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60" yWindow="135" windowWidth="15585" windowHeight="11055" tabRatio="976" activeTab="14"/>
  </bookViews>
  <sheets>
    <sheet name="пр.1дох.20" sheetId="1" r:id="rId1"/>
    <sheet name="Пр.1.1. дох.21-22" sheetId="12" r:id="rId2"/>
    <sheet name="пр.2 Рд,пр 20" sheetId="2" r:id="rId3"/>
    <sheet name="пр.2.1. рдпр 21-22" sheetId="13" r:id="rId4"/>
    <sheet name="Пр.3 Рд,пр, ЦС,ВР 20" sheetId="3" r:id="rId5"/>
    <sheet name="пр.3.1.рдпрцс 21-22" sheetId="14" r:id="rId6"/>
    <sheet name="Пр.4 ведом.20" sheetId="4" r:id="rId7"/>
    <sheet name="Прил.№5 ведомств.старая" sheetId="10" state="hidden" r:id="rId8"/>
    <sheet name="пр.4.1.ведом.21-22" sheetId="15" r:id="rId9"/>
    <sheet name="прил.№6 МП старая" sheetId="11" state="hidden" r:id="rId10"/>
    <sheet name="пр.5 МП 20" sheetId="5" r:id="rId11"/>
    <sheet name="пр.5.1.МП 21-22" sheetId="16" r:id="rId12"/>
    <sheet name="пр.8 публ. 20" sheetId="6" state="hidden" r:id="rId13"/>
    <sheet name="пр.8.1.публ.21-22" sheetId="17" state="hidden" r:id="rId14"/>
    <sheet name="пр.6 ист-ки 20" sheetId="7" r:id="rId15"/>
    <sheet name="пр.9.1.ист-ки 21-22 " sheetId="18" state="hidden" r:id="rId16"/>
  </sheets>
  <definedNames>
    <definedName name="_xlnm._FilterDatabase" localSheetId="0" hidden="1">пр.1дох.20!$A$1:$C$152</definedName>
    <definedName name="_xlnm._FilterDatabase" localSheetId="6" hidden="1">'Пр.4 ведом.20'!$A$120:$I$471</definedName>
    <definedName name="_xlnm.Print_Area" localSheetId="1">'Пр.1.1. дох.21-22'!$A$1:$D$148</definedName>
    <definedName name="_xlnm.Print_Area" localSheetId="0">пр.1дох.20!$A$1:$C$152</definedName>
    <definedName name="_xlnm.Print_Area" localSheetId="2">'пр.2 Рд,пр 20'!$A$1:$D$52</definedName>
    <definedName name="_xlnm.Print_Area" localSheetId="4">'Пр.3 Рд,пр, ЦС,ВР 20'!$A$1:$F$1053</definedName>
    <definedName name="_xlnm.Print_Area" localSheetId="6">'Пр.4 ведом.20'!$A$1:$H$1145</definedName>
    <definedName name="_xlnm.Print_Area" localSheetId="8">'пр.4.1.ведом.21-22'!$A$1:$K$1103</definedName>
    <definedName name="_xlnm.Print_Area" localSheetId="10">'пр.5 МП 20'!$A$1:$G$990</definedName>
    <definedName name="_xlnm.Print_Area" localSheetId="14">'пр.6 ист-ки 20'!$A$1:$C$17</definedName>
    <definedName name="_xlnm.Print_Area" localSheetId="7">'Прил.№5 ведомств.старая'!$A$1:$H$975</definedName>
    <definedName name="_xlnm.Print_Area" localSheetId="9">'прил.№6 МП старая'!$A$1:$G$534</definedName>
  </definedNames>
  <calcPr calcId="145621"/>
</workbook>
</file>

<file path=xl/calcChain.xml><?xml version="1.0" encoding="utf-8"?>
<calcChain xmlns="http://schemas.openxmlformats.org/spreadsheetml/2006/main">
  <c r="G868" i="4" l="1"/>
  <c r="G856" i="4"/>
  <c r="G1083" i="4"/>
  <c r="G1062" i="4"/>
  <c r="G1085" i="4"/>
  <c r="G1022" i="4"/>
  <c r="G1101" i="4"/>
  <c r="G889" i="4"/>
  <c r="G776" i="4" l="1"/>
  <c r="G774" i="4"/>
  <c r="G694" i="4"/>
  <c r="G490" i="4" l="1"/>
  <c r="G480" i="4"/>
  <c r="G299" i="4"/>
  <c r="G891" i="4" l="1"/>
  <c r="G887" i="4"/>
  <c r="G626" i="14" l="1"/>
  <c r="G625" i="14" s="1"/>
  <c r="G624" i="14" s="1"/>
  <c r="G623" i="14" s="1"/>
  <c r="F626" i="14"/>
  <c r="F625" i="14" s="1"/>
  <c r="F624" i="14" s="1"/>
  <c r="F623" i="14" s="1"/>
  <c r="G692" i="15"/>
  <c r="G691" i="15" s="1"/>
  <c r="H242" i="16" l="1"/>
  <c r="H241" i="16" s="1"/>
  <c r="H240" i="16" s="1"/>
  <c r="H243" i="16" s="1"/>
  <c r="G242" i="16"/>
  <c r="G241" i="16" s="1"/>
  <c r="G240" i="16" s="1"/>
  <c r="G243" i="16" s="1"/>
  <c r="G642" i="14"/>
  <c r="F642" i="14"/>
  <c r="F641" i="14" s="1"/>
  <c r="F640" i="14" s="1"/>
  <c r="G641" i="14"/>
  <c r="G640" i="14" s="1"/>
  <c r="H708" i="15"/>
  <c r="H707" i="15" s="1"/>
  <c r="G707" i="15"/>
  <c r="G708" i="15"/>
  <c r="G709" i="15"/>
  <c r="H217" i="16"/>
  <c r="H216" i="16" s="1"/>
  <c r="H215" i="16" s="1"/>
  <c r="H218" i="16" s="1"/>
  <c r="G217" i="16"/>
  <c r="G216" i="16" s="1"/>
  <c r="G215" i="16" s="1"/>
  <c r="G218" i="16" s="1"/>
  <c r="G567" i="14"/>
  <c r="G566" i="14" s="1"/>
  <c r="G565" i="14" s="1"/>
  <c r="F567" i="14"/>
  <c r="F566" i="14" s="1"/>
  <c r="F565" i="14" s="1"/>
  <c r="H633" i="15"/>
  <c r="H632" i="15" s="1"/>
  <c r="G632" i="15"/>
  <c r="G633" i="15"/>
  <c r="H196" i="16"/>
  <c r="H195" i="16" s="1"/>
  <c r="H194" i="16" s="1"/>
  <c r="G196" i="16"/>
  <c r="G195" i="16" s="1"/>
  <c r="G194" i="16" s="1"/>
  <c r="G197" i="16" s="1"/>
  <c r="K491" i="14"/>
  <c r="H492" i="14"/>
  <c r="H491" i="14" s="1"/>
  <c r="I492" i="14"/>
  <c r="I491" i="14" s="1"/>
  <c r="J492" i="14"/>
  <c r="J491" i="14" s="1"/>
  <c r="K492" i="14"/>
  <c r="G493" i="14"/>
  <c r="G492" i="14" s="1"/>
  <c r="G491" i="14" s="1"/>
  <c r="F493" i="14"/>
  <c r="F492" i="14" s="1"/>
  <c r="F491" i="14" s="1"/>
  <c r="G557" i="15"/>
  <c r="H559" i="15"/>
  <c r="H558" i="15" s="1"/>
  <c r="G558" i="15"/>
  <c r="G559" i="15"/>
  <c r="H602" i="16"/>
  <c r="H601" i="16" s="1"/>
  <c r="H600" i="16" s="1"/>
  <c r="H603" i="16" s="1"/>
  <c r="G602" i="16"/>
  <c r="G601" i="16" s="1"/>
  <c r="G600" i="16" s="1"/>
  <c r="G603" i="16" s="1"/>
  <c r="G819" i="14"/>
  <c r="G818" i="14" s="1"/>
  <c r="G817" i="14" s="1"/>
  <c r="F819" i="14"/>
  <c r="F818" i="14" s="1"/>
  <c r="F817" i="14" s="1"/>
  <c r="H397" i="15"/>
  <c r="H396" i="15" s="1"/>
  <c r="I397" i="15"/>
  <c r="I396" i="15" s="1"/>
  <c r="J397" i="15"/>
  <c r="J396" i="15" s="1"/>
  <c r="K397" i="15"/>
  <c r="K396" i="15" s="1"/>
  <c r="G396" i="15"/>
  <c r="G397" i="15"/>
  <c r="H655" i="16"/>
  <c r="H654" i="16" s="1"/>
  <c r="H653" i="16" s="1"/>
  <c r="H656" i="16" s="1"/>
  <c r="G655" i="16"/>
  <c r="G654" i="16" s="1"/>
  <c r="G653" i="16" s="1"/>
  <c r="G656" i="16" s="1"/>
  <c r="G688" i="14"/>
  <c r="G687" i="14" s="1"/>
  <c r="G686" i="14" s="1"/>
  <c r="F688" i="14"/>
  <c r="F687" i="14" s="1"/>
  <c r="F686" i="14" s="1"/>
  <c r="G315" i="15"/>
  <c r="H305" i="15"/>
  <c r="H304" i="15" s="1"/>
  <c r="G305" i="15"/>
  <c r="G304" i="15" s="1"/>
  <c r="G633" i="5"/>
  <c r="G632" i="5" s="1"/>
  <c r="G631" i="5" s="1"/>
  <c r="G634" i="5" s="1"/>
  <c r="F843" i="3"/>
  <c r="F842" i="3" s="1"/>
  <c r="F841" i="3" s="1"/>
  <c r="F808" i="3"/>
  <c r="G576" i="5" s="1"/>
  <c r="G575" i="5" s="1"/>
  <c r="G574" i="5" s="1"/>
  <c r="G577" i="5" s="1"/>
  <c r="G394" i="4"/>
  <c r="G395" i="4"/>
  <c r="G396" i="4"/>
  <c r="G403" i="4"/>
  <c r="G359" i="4"/>
  <c r="G360" i="4"/>
  <c r="G361" i="4"/>
  <c r="G365" i="4"/>
  <c r="G508" i="5"/>
  <c r="G348" i="4"/>
  <c r="G346" i="4"/>
  <c r="G344" i="4"/>
  <c r="G282" i="4"/>
  <c r="G280" i="4"/>
  <c r="G861" i="4"/>
  <c r="G863" i="4"/>
  <c r="F807" i="3" l="1"/>
  <c r="F806" i="3" s="1"/>
  <c r="H197" i="16"/>
  <c r="I353" i="15"/>
  <c r="J353" i="15"/>
  <c r="K353" i="15"/>
  <c r="G355" i="15"/>
  <c r="C12" i="12" l="1"/>
  <c r="D129" i="12"/>
  <c r="D130" i="12"/>
  <c r="D128" i="12"/>
  <c r="D138" i="12"/>
  <c r="F369" i="14" l="1"/>
  <c r="F368" i="14" s="1"/>
  <c r="F367" i="14" s="1"/>
  <c r="F322" i="14"/>
  <c r="F321" i="14" s="1"/>
  <c r="F320" i="14" s="1"/>
  <c r="G593" i="14"/>
  <c r="G592" i="14" s="1"/>
  <c r="G591" i="14" s="1"/>
  <c r="F593" i="14"/>
  <c r="F592" i="14" s="1"/>
  <c r="F591" i="14" s="1"/>
  <c r="H948" i="15"/>
  <c r="H947" i="15" s="1"/>
  <c r="G948" i="15"/>
  <c r="G947" i="15" s="1"/>
  <c r="G940" i="15"/>
  <c r="G939" i="15" s="1"/>
  <c r="G893" i="15"/>
  <c r="G892" i="15" s="1"/>
  <c r="H659" i="15"/>
  <c r="H658" i="15" s="1"/>
  <c r="G659" i="15"/>
  <c r="G658" i="15" s="1"/>
  <c r="G29" i="15" l="1"/>
  <c r="F985" i="3" l="1"/>
  <c r="F984" i="3" s="1"/>
  <c r="F983" i="3" s="1"/>
  <c r="G827" i="4"/>
  <c r="G826" i="4" s="1"/>
  <c r="F65" i="3"/>
  <c r="F64" i="3" s="1"/>
  <c r="G50" i="4"/>
  <c r="G51" i="4"/>
  <c r="G370" i="15"/>
  <c r="G244" i="5"/>
  <c r="G243" i="5" s="1"/>
  <c r="G242" i="5" s="1"/>
  <c r="G198" i="5"/>
  <c r="G197" i="5" s="1"/>
  <c r="G196" i="5" s="1"/>
  <c r="G199" i="5" s="1"/>
  <c r="G219" i="5"/>
  <c r="G218" i="5" s="1"/>
  <c r="G217" i="5" s="1"/>
  <c r="G220" i="5" s="1"/>
  <c r="G686" i="5"/>
  <c r="G685" i="5" s="1"/>
  <c r="G684" i="5" s="1"/>
  <c r="G687" i="5" s="1"/>
  <c r="F709" i="3"/>
  <c r="F708" i="3" s="1"/>
  <c r="F707" i="3" s="1"/>
  <c r="G311" i="4"/>
  <c r="G301" i="4"/>
  <c r="G300" i="4" s="1"/>
  <c r="F507" i="3"/>
  <c r="F506" i="3" s="1"/>
  <c r="F505" i="3" s="1"/>
  <c r="F663" i="3"/>
  <c r="F662" i="3" s="1"/>
  <c r="F661" i="3" s="1"/>
  <c r="G730" i="4"/>
  <c r="G720" i="4"/>
  <c r="G719" i="4" s="1"/>
  <c r="G577" i="4"/>
  <c r="G564" i="4"/>
  <c r="G563" i="4" s="1"/>
  <c r="F581" i="3"/>
  <c r="F580" i="3" s="1"/>
  <c r="F579" i="3" s="1"/>
  <c r="G654" i="4"/>
  <c r="G638" i="4"/>
  <c r="G637" i="4" s="1"/>
  <c r="G245" i="5" l="1"/>
  <c r="G374" i="5" l="1"/>
  <c r="G373" i="5" s="1"/>
  <c r="G372" i="5" s="1"/>
  <c r="G371" i="5" s="1"/>
  <c r="F638" i="3"/>
  <c r="F637" i="3" s="1"/>
  <c r="F636" i="3" s="1"/>
  <c r="G693" i="4"/>
  <c r="G675" i="4"/>
  <c r="G695" i="4"/>
  <c r="G1119" i="4" l="1"/>
  <c r="G78" i="4"/>
  <c r="G261" i="4" l="1"/>
  <c r="G526" i="5"/>
  <c r="G525" i="5" s="1"/>
  <c r="G524" i="5" s="1"/>
  <c r="G527" i="5" s="1"/>
  <c r="G522" i="5"/>
  <c r="G521" i="5" s="1"/>
  <c r="G520" i="5" s="1"/>
  <c r="G561" i="4"/>
  <c r="G804" i="4"/>
  <c r="F289" i="3"/>
  <c r="F288" i="3" s="1"/>
  <c r="F287" i="3" s="1"/>
  <c r="F286" i="3" s="1"/>
  <c r="F285" i="3" s="1"/>
  <c r="G924" i="4"/>
  <c r="G923" i="4" s="1"/>
  <c r="G922" i="4" s="1"/>
  <c r="G921" i="4" s="1"/>
  <c r="G920" i="4" s="1"/>
  <c r="G710" i="4"/>
  <c r="G33" i="4"/>
  <c r="F473" i="3"/>
  <c r="F472" i="3" s="1"/>
  <c r="G1073" i="4"/>
  <c r="G519" i="5" l="1"/>
  <c r="G518" i="5" s="1"/>
  <c r="G517" i="5" s="1"/>
  <c r="G523" i="5"/>
  <c r="G1028" i="4"/>
  <c r="G1069" i="4"/>
  <c r="F347" i="3"/>
  <c r="F346" i="3" s="1"/>
  <c r="G946" i="4"/>
  <c r="G947" i="4"/>
  <c r="G932" i="4"/>
  <c r="G1056" i="4"/>
  <c r="G1007" i="4"/>
  <c r="G1088" i="4"/>
  <c r="G884" i="4"/>
  <c r="G807" i="4"/>
  <c r="G801" i="4"/>
  <c r="G824" i="4"/>
  <c r="G558" i="4"/>
  <c r="G632" i="4"/>
  <c r="G515" i="4"/>
  <c r="G413" i="4"/>
  <c r="G376" i="4"/>
  <c r="G316" i="4"/>
  <c r="G374" i="4"/>
  <c r="G354" i="4"/>
  <c r="F998" i="3" l="1"/>
  <c r="F997" i="3" s="1"/>
  <c r="F995" i="3"/>
  <c r="F994" i="3" s="1"/>
  <c r="F993" i="3" l="1"/>
  <c r="G841" i="4"/>
  <c r="G840" i="4" s="1"/>
  <c r="G838" i="4"/>
  <c r="G837" i="4" s="1"/>
  <c r="C112" i="1"/>
  <c r="G836" i="4" l="1"/>
  <c r="F952" i="3"/>
  <c r="F951" i="3" s="1"/>
  <c r="F950" i="3" s="1"/>
  <c r="F949" i="3" s="1"/>
  <c r="G794" i="4"/>
  <c r="G793" i="4" s="1"/>
  <c r="G792" i="4" s="1"/>
  <c r="C107" i="1" l="1"/>
  <c r="C145" i="1"/>
  <c r="C143" i="1"/>
  <c r="C144" i="1"/>
  <c r="C102" i="1" l="1"/>
  <c r="G629" i="4" l="1"/>
  <c r="F347" i="14" l="1"/>
  <c r="F346" i="14" s="1"/>
  <c r="F345" i="14" s="1"/>
  <c r="F349" i="14"/>
  <c r="F348" i="14" s="1"/>
  <c r="G918" i="15"/>
  <c r="G383" i="15" l="1"/>
  <c r="G218" i="4" l="1"/>
  <c r="G635" i="4" l="1"/>
  <c r="F336" i="14" l="1"/>
  <c r="F335" i="14" s="1"/>
  <c r="G907" i="15"/>
  <c r="F350" i="3" l="1"/>
  <c r="G949" i="4"/>
  <c r="H265" i="15" l="1"/>
  <c r="H1010" i="15"/>
  <c r="D100" i="12"/>
  <c r="D127" i="12"/>
  <c r="G835" i="4" l="1"/>
  <c r="G515" i="5" s="1"/>
  <c r="G514" i="5" s="1"/>
  <c r="G513" i="5" s="1"/>
  <c r="G512" i="5" s="1"/>
  <c r="G511" i="5" s="1"/>
  <c r="G510" i="5" s="1"/>
  <c r="G516" i="5" s="1"/>
  <c r="F992" i="3" l="1"/>
  <c r="F991" i="3" s="1"/>
  <c r="F990" i="3" s="1"/>
  <c r="F989" i="3" s="1"/>
  <c r="G834" i="4"/>
  <c r="G833" i="4" s="1"/>
  <c r="G832" i="4" s="1"/>
  <c r="C83" i="1"/>
  <c r="G524" i="15"/>
  <c r="H524" i="15" s="1"/>
  <c r="G429" i="4" l="1"/>
  <c r="G419" i="4" l="1"/>
  <c r="F933" i="3" l="1"/>
  <c r="G1109" i="4"/>
  <c r="G1139" i="4"/>
  <c r="G369" i="4" l="1"/>
  <c r="G1101" i="15"/>
  <c r="G1098" i="15"/>
  <c r="G1096" i="15"/>
  <c r="G1087" i="15"/>
  <c r="G1085" i="15"/>
  <c r="G1079" i="15"/>
  <c r="G1068" i="15"/>
  <c r="G1066" i="15"/>
  <c r="G1058" i="15"/>
  <c r="G1045" i="15"/>
  <c r="G1042" i="15"/>
  <c r="G1040" i="15"/>
  <c r="G1033" i="15"/>
  <c r="G1028" i="15"/>
  <c r="G1025" i="15"/>
  <c r="G1023" i="15"/>
  <c r="G1021" i="15"/>
  <c r="G1015" i="15"/>
  <c r="G1010" i="15"/>
  <c r="G1003" i="15"/>
  <c r="G1000" i="15"/>
  <c r="G997" i="15"/>
  <c r="G995" i="15"/>
  <c r="G992" i="15"/>
  <c r="G987" i="15"/>
  <c r="G981" i="15"/>
  <c r="G978" i="15"/>
  <c r="G972" i="15"/>
  <c r="G913" i="15"/>
  <c r="G902" i="15"/>
  <c r="G899" i="15"/>
  <c r="G875" i="15"/>
  <c r="G868" i="15"/>
  <c r="G861" i="15"/>
  <c r="G859" i="15"/>
  <c r="G857" i="15"/>
  <c r="G854" i="15"/>
  <c r="G846" i="15"/>
  <c r="G844" i="15"/>
  <c r="G838" i="15"/>
  <c r="G835" i="15"/>
  <c r="G833" i="15"/>
  <c r="G826" i="15"/>
  <c r="G823" i="15"/>
  <c r="G817" i="15"/>
  <c r="G812" i="15"/>
  <c r="G808" i="15"/>
  <c r="G801" i="15"/>
  <c r="G791" i="15"/>
  <c r="G788" i="15"/>
  <c r="G785" i="15"/>
  <c r="G777" i="15"/>
  <c r="G769" i="15"/>
  <c r="G766" i="15"/>
  <c r="G764" i="15"/>
  <c r="G762" i="15"/>
  <c r="G758" i="15"/>
  <c r="G753" i="15"/>
  <c r="G750" i="15"/>
  <c r="G748" i="15"/>
  <c r="G739" i="15"/>
  <c r="G732" i="15"/>
  <c r="G727" i="15"/>
  <c r="G715" i="15"/>
  <c r="G712" i="15"/>
  <c r="G705" i="15"/>
  <c r="G698" i="15"/>
  <c r="G688" i="15"/>
  <c r="G684" i="15"/>
  <c r="G677" i="15"/>
  <c r="G674" i="15"/>
  <c r="G667" i="15"/>
  <c r="G663" i="15"/>
  <c r="G646" i="15"/>
  <c r="G643" i="15"/>
  <c r="G640" i="15"/>
  <c r="G637" i="15"/>
  <c r="G630" i="15"/>
  <c r="G627" i="15"/>
  <c r="G624" i="15"/>
  <c r="G617" i="15"/>
  <c r="G612" i="15"/>
  <c r="G600" i="15"/>
  <c r="G597" i="15"/>
  <c r="G593" i="15"/>
  <c r="G590" i="15"/>
  <c r="G583" i="15"/>
  <c r="G569" i="15"/>
  <c r="G566" i="15"/>
  <c r="G563" i="15"/>
  <c r="G556" i="15"/>
  <c r="G553" i="15"/>
  <c r="G542" i="15"/>
  <c r="G534" i="15"/>
  <c r="G531" i="15"/>
  <c r="G516" i="15"/>
  <c r="G510" i="15"/>
  <c r="G506" i="15"/>
  <c r="G503" i="15"/>
  <c r="G501" i="15"/>
  <c r="G499" i="15"/>
  <c r="G491" i="15"/>
  <c r="G486" i="15"/>
  <c r="G483" i="15"/>
  <c r="G481" i="15"/>
  <c r="G472" i="15"/>
  <c r="G467" i="15"/>
  <c r="G465" i="15"/>
  <c r="G461" i="15"/>
  <c r="G456" i="15"/>
  <c r="G443" i="15"/>
  <c r="G437" i="15"/>
  <c r="G434" i="15"/>
  <c r="G432" i="15"/>
  <c r="G430" i="15"/>
  <c r="G425" i="15"/>
  <c r="G420" i="15"/>
  <c r="G414" i="15"/>
  <c r="G401" i="15"/>
  <c r="G394" i="15"/>
  <c r="G391" i="15"/>
  <c r="G387" i="15"/>
  <c r="G379" i="15"/>
  <c r="G377" i="15"/>
  <c r="G375" i="15"/>
  <c r="G366" i="15"/>
  <c r="G362" i="15"/>
  <c r="G358" i="15"/>
  <c r="G352" i="15"/>
  <c r="G350" i="15"/>
  <c r="G348" i="15"/>
  <c r="G340" i="15"/>
  <c r="G336" i="15"/>
  <c r="G334" i="15"/>
  <c r="G327" i="15"/>
  <c r="G320" i="15"/>
  <c r="G892" i="16" s="1"/>
  <c r="G312" i="15"/>
  <c r="G309" i="15"/>
  <c r="G302" i="15"/>
  <c r="G296" i="15"/>
  <c r="G292" i="15"/>
  <c r="G288" i="15"/>
  <c r="G286" i="15"/>
  <c r="G284" i="15"/>
  <c r="G276" i="15"/>
  <c r="G265" i="15"/>
  <c r="F296" i="14" s="1"/>
  <c r="F295" i="14" s="1"/>
  <c r="F294" i="14" s="1"/>
  <c r="G262" i="15"/>
  <c r="G41" i="15"/>
  <c r="G247" i="15"/>
  <c r="G242" i="15"/>
  <c r="G236" i="15"/>
  <c r="G233" i="15"/>
  <c r="G222" i="15"/>
  <c r="G213" i="15"/>
  <c r="G211" i="15"/>
  <c r="G202" i="15"/>
  <c r="G201" i="15" s="1"/>
  <c r="G196" i="15"/>
  <c r="G173" i="15"/>
  <c r="G169" i="15"/>
  <c r="G166" i="15"/>
  <c r="G159" i="15"/>
  <c r="G156" i="15"/>
  <c r="G154" i="15"/>
  <c r="G150" i="15"/>
  <c r="G147" i="15"/>
  <c r="G123" i="15"/>
  <c r="G114" i="15"/>
  <c r="G111" i="15"/>
  <c r="G109" i="15"/>
  <c r="G95" i="15"/>
  <c r="G92" i="15"/>
  <c r="G83" i="15"/>
  <c r="G79" i="15"/>
  <c r="G77" i="15"/>
  <c r="G73" i="15"/>
  <c r="G68" i="15"/>
  <c r="G66" i="15"/>
  <c r="G63" i="15"/>
  <c r="G61" i="15"/>
  <c r="G56" i="15"/>
  <c r="G49" i="15"/>
  <c r="G46" i="15"/>
  <c r="G45" i="15" s="1"/>
  <c r="G44" i="15" s="1"/>
  <c r="G43" i="15"/>
  <c r="G39" i="15"/>
  <c r="G37" i="15"/>
  <c r="G23" i="15"/>
  <c r="G18" i="15"/>
  <c r="G16" i="15"/>
  <c r="G705" i="4" l="1"/>
  <c r="G1114" i="4"/>
  <c r="G533" i="4"/>
  <c r="G165" i="4"/>
  <c r="G172" i="4"/>
  <c r="G22" i="5"/>
  <c r="G21" i="5" s="1"/>
  <c r="F272" i="3"/>
  <c r="F271" i="3" s="1"/>
  <c r="G917" i="4"/>
  <c r="G914" i="4"/>
  <c r="G853" i="4"/>
  <c r="G153" i="4"/>
  <c r="G31" i="4"/>
  <c r="G498" i="4"/>
  <c r="G760" i="4"/>
  <c r="G16" i="4"/>
  <c r="G954" i="4"/>
  <c r="G770" i="4"/>
  <c r="G874" i="4"/>
  <c r="G1128" i="4" l="1"/>
  <c r="G108" i="4"/>
  <c r="G91" i="4"/>
  <c r="G40" i="4"/>
  <c r="G35" i="4"/>
  <c r="G209" i="4"/>
  <c r="G207" i="4"/>
  <c r="G67" i="4"/>
  <c r="G65" i="4"/>
  <c r="G471" i="5" l="1"/>
  <c r="G475" i="5"/>
  <c r="F964" i="3"/>
  <c r="F961" i="3"/>
  <c r="F577" i="3"/>
  <c r="F574" i="3"/>
  <c r="F503" i="3"/>
  <c r="H556" i="15"/>
  <c r="H555" i="15" s="1"/>
  <c r="H554" i="15" s="1"/>
  <c r="G634" i="4"/>
  <c r="G633" i="4" s="1"/>
  <c r="G631" i="4"/>
  <c r="G630" i="4" s="1"/>
  <c r="G560" i="4"/>
  <c r="G559" i="4" s="1"/>
  <c r="G806" i="4"/>
  <c r="G805" i="4" s="1"/>
  <c r="G803" i="4"/>
  <c r="G802" i="4" s="1"/>
  <c r="F489" i="14" l="1"/>
  <c r="G171" i="16"/>
  <c r="G489" i="14"/>
  <c r="H171" i="16"/>
  <c r="G555" i="15"/>
  <c r="G554" i="15" s="1"/>
  <c r="G571" i="4" l="1"/>
  <c r="G727" i="4"/>
  <c r="G648" i="4"/>
  <c r="G645" i="4"/>
  <c r="G724" i="4"/>
  <c r="G568" i="4"/>
  <c r="G308" i="4"/>
  <c r="F996" i="14" l="1"/>
  <c r="F995" i="14" s="1"/>
  <c r="G948" i="14"/>
  <c r="G947" i="14"/>
  <c r="G946" i="14"/>
  <c r="G941" i="14"/>
  <c r="G940" i="14"/>
  <c r="G939" i="14"/>
  <c r="G938" i="14"/>
  <c r="G937" i="14"/>
  <c r="G936" i="14"/>
  <c r="G907" i="14"/>
  <c r="G906" i="14" s="1"/>
  <c r="G905" i="14" s="1"/>
  <c r="F907" i="14"/>
  <c r="F906" i="14" s="1"/>
  <c r="F905" i="14" s="1"/>
  <c r="F878" i="14"/>
  <c r="G843" i="14"/>
  <c r="G842" i="14"/>
  <c r="G791" i="14"/>
  <c r="G790" i="14" s="1"/>
  <c r="G789" i="14" s="1"/>
  <c r="F791" i="14"/>
  <c r="F790" i="14" s="1"/>
  <c r="F789" i="14" s="1"/>
  <c r="G777" i="14"/>
  <c r="G776" i="14"/>
  <c r="F734" i="14"/>
  <c r="F733" i="14" s="1"/>
  <c r="F732" i="14" s="1"/>
  <c r="G614" i="14"/>
  <c r="G613" i="14"/>
  <c r="G612" i="14"/>
  <c r="G603" i="14"/>
  <c r="G602" i="14" s="1"/>
  <c r="G601" i="14" s="1"/>
  <c r="G590" i="14"/>
  <c r="G589" i="14"/>
  <c r="G588" i="14"/>
  <c r="G587" i="14"/>
  <c r="G586" i="14"/>
  <c r="G585" i="14"/>
  <c r="G412" i="14"/>
  <c r="G411" i="14"/>
  <c r="G410" i="14"/>
  <c r="F280" i="14"/>
  <c r="F279" i="14" s="1"/>
  <c r="F278" i="14"/>
  <c r="F277" i="14" s="1"/>
  <c r="G214" i="14"/>
  <c r="F214" i="14"/>
  <c r="F209" i="14"/>
  <c r="G187" i="14"/>
  <c r="G186" i="14"/>
  <c r="G185" i="14"/>
  <c r="G175" i="14"/>
  <c r="G174" i="14"/>
  <c r="G173" i="14"/>
  <c r="H936" i="15"/>
  <c r="H935" i="15" s="1"/>
  <c r="H884" i="15"/>
  <c r="H883" i="15" s="1"/>
  <c r="G884" i="15"/>
  <c r="G883" i="15" s="1"/>
  <c r="G741" i="15"/>
  <c r="G740" i="15" s="1"/>
  <c r="H669" i="15"/>
  <c r="H668" i="15" s="1"/>
  <c r="G669" i="15"/>
  <c r="G668" i="15" s="1"/>
  <c r="H608" i="15"/>
  <c r="H607" i="15" s="1"/>
  <c r="G608" i="15"/>
  <c r="G607" i="15" s="1"/>
  <c r="G498" i="15"/>
  <c r="G478" i="15"/>
  <c r="G450" i="15"/>
  <c r="G369" i="15"/>
  <c r="H118" i="15"/>
  <c r="H117" i="15" s="1"/>
  <c r="H116" i="15" s="1"/>
  <c r="G118" i="15"/>
  <c r="G117" i="15" s="1"/>
  <c r="G116" i="15" s="1"/>
  <c r="G52" i="15"/>
  <c r="G51" i="15" s="1"/>
  <c r="G28" i="15"/>
  <c r="F276" i="14" l="1"/>
  <c r="C11" i="1" l="1"/>
  <c r="C10" i="1" s="1"/>
  <c r="G1111" i="4" l="1"/>
  <c r="G65" i="14" l="1"/>
  <c r="G64" i="14" s="1"/>
  <c r="F65" i="14"/>
  <c r="F64" i="14" s="1"/>
  <c r="F603" i="14"/>
  <c r="F602" i="14" s="1"/>
  <c r="F601" i="14" s="1"/>
  <c r="G788" i="14"/>
  <c r="G537" i="14"/>
  <c r="G536" i="14" s="1"/>
  <c r="G535" i="14" s="1"/>
  <c r="F537" i="14"/>
  <c r="F536" i="14" s="1"/>
  <c r="F535" i="14" s="1"/>
  <c r="H556" i="16"/>
  <c r="H555" i="16" s="1"/>
  <c r="H554" i="16" s="1"/>
  <c r="H553" i="16" s="1"/>
  <c r="H552" i="16" s="1"/>
  <c r="H551" i="16" s="1"/>
  <c r="H557" i="16" s="1"/>
  <c r="G556" i="16"/>
  <c r="G555" i="16" s="1"/>
  <c r="G554" i="16" s="1"/>
  <c r="G553" i="16" s="1"/>
  <c r="G552" i="16" s="1"/>
  <c r="G551" i="16" s="1"/>
  <c r="G557" i="16" s="1"/>
  <c r="H369" i="15"/>
  <c r="H368" i="15" s="1"/>
  <c r="H367" i="15" s="1"/>
  <c r="G368" i="15"/>
  <c r="G367" i="15" s="1"/>
  <c r="G60" i="14"/>
  <c r="G59" i="14" s="1"/>
  <c r="G58" i="14" s="1"/>
  <c r="F60" i="14"/>
  <c r="F59" i="14" s="1"/>
  <c r="F58" i="14" s="1"/>
  <c r="F788" i="14" l="1"/>
  <c r="H303" i="16"/>
  <c r="H302" i="16" s="1"/>
  <c r="H301" i="16" s="1"/>
  <c r="G303" i="16"/>
  <c r="G302" i="16" s="1"/>
  <c r="G301" i="16" s="1"/>
  <c r="H449" i="16"/>
  <c r="H448" i="16" s="1"/>
  <c r="H447" i="16" s="1"/>
  <c r="H450" i="16" s="1"/>
  <c r="G449" i="16"/>
  <c r="G448" i="16" s="1"/>
  <c r="G447" i="16" s="1"/>
  <c r="G450" i="16" s="1"/>
  <c r="H204" i="15"/>
  <c r="H203" i="15" s="1"/>
  <c r="G204" i="15"/>
  <c r="G203" i="15" s="1"/>
  <c r="H304" i="16" l="1"/>
  <c r="G304" i="16"/>
  <c r="F540" i="14"/>
  <c r="F539" i="14" s="1"/>
  <c r="F538" i="14" s="1"/>
  <c r="F534" i="14" s="1"/>
  <c r="G509" i="15"/>
  <c r="H52" i="15"/>
  <c r="H51" i="15" s="1"/>
  <c r="G587" i="5"/>
  <c r="G586" i="5" s="1"/>
  <c r="G585" i="5" s="1"/>
  <c r="G380" i="5"/>
  <c r="G379" i="5" s="1"/>
  <c r="G378" i="5" s="1"/>
  <c r="G305" i="5"/>
  <c r="G304" i="5" s="1"/>
  <c r="G303" i="5" s="1"/>
  <c r="G309" i="5"/>
  <c r="G308" i="5" s="1"/>
  <c r="G307" i="5" s="1"/>
  <c r="G310" i="5" s="1"/>
  <c r="G611" i="15" l="1"/>
  <c r="G610" i="15" s="1"/>
  <c r="G606" i="15" s="1"/>
  <c r="H510" i="15"/>
  <c r="F78" i="14"/>
  <c r="F77" i="14" s="1"/>
  <c r="F76" i="14" s="1"/>
  <c r="G302" i="5"/>
  <c r="G301" i="5" s="1"/>
  <c r="G377" i="5"/>
  <c r="G376" i="5" s="1"/>
  <c r="G375" i="5" s="1"/>
  <c r="G381" i="5" s="1"/>
  <c r="G582" i="5"/>
  <c r="G588" i="5" s="1"/>
  <c r="G584" i="5"/>
  <c r="G583" i="5" s="1"/>
  <c r="H612" i="15"/>
  <c r="G540" i="14" s="1"/>
  <c r="G539" i="14" s="1"/>
  <c r="G538" i="14" s="1"/>
  <c r="G534" i="14" s="1"/>
  <c r="G307" i="16"/>
  <c r="G306" i="16" s="1"/>
  <c r="G305" i="16" s="1"/>
  <c r="G300" i="16" s="1"/>
  <c r="G299" i="16" s="1"/>
  <c r="G298" i="16" s="1"/>
  <c r="G508" i="15"/>
  <c r="G507" i="15" s="1"/>
  <c r="F647" i="3"/>
  <c r="F646" i="3" s="1"/>
  <c r="F645" i="3" s="1"/>
  <c r="F644" i="3" s="1"/>
  <c r="F558" i="3"/>
  <c r="F557" i="3" s="1"/>
  <c r="F555" i="3"/>
  <c r="F554" i="3" s="1"/>
  <c r="F932" i="3"/>
  <c r="F931" i="3" s="1"/>
  <c r="F930" i="3" s="1"/>
  <c r="F929" i="3" s="1"/>
  <c r="D43" i="2" s="1"/>
  <c r="F815" i="3"/>
  <c r="F814" i="3" s="1"/>
  <c r="F813" i="3" s="1"/>
  <c r="F812" i="3" s="1"/>
  <c r="F63" i="3"/>
  <c r="F62" i="3" s="1"/>
  <c r="F61" i="3" s="1"/>
  <c r="F83" i="3"/>
  <c r="F82" i="3" s="1"/>
  <c r="F81" i="3" s="1"/>
  <c r="F553" i="3" l="1"/>
  <c r="H39" i="15"/>
  <c r="H38" i="15" s="1"/>
  <c r="G38" i="15"/>
  <c r="H509" i="15"/>
  <c r="H508" i="15" s="1"/>
  <c r="H507" i="15" s="1"/>
  <c r="G78" i="14"/>
  <c r="G77" i="14" s="1"/>
  <c r="G76" i="14" s="1"/>
  <c r="G306" i="5"/>
  <c r="G300" i="5"/>
  <c r="H611" i="15"/>
  <c r="H610" i="15" s="1"/>
  <c r="H606" i="15" s="1"/>
  <c r="H307" i="16"/>
  <c r="H306" i="16" s="1"/>
  <c r="H305" i="16" s="1"/>
  <c r="H300" i="16" s="1"/>
  <c r="H299" i="16" s="1"/>
  <c r="H298" i="16" s="1"/>
  <c r="G308" i="16"/>
  <c r="G49" i="4"/>
  <c r="G704" i="4"/>
  <c r="G703" i="4" s="1"/>
  <c r="G702" i="4" s="1"/>
  <c r="D86" i="1" s="1"/>
  <c r="G538" i="4"/>
  <c r="G537" i="4" s="1"/>
  <c r="G536" i="4" s="1"/>
  <c r="G535" i="4" s="1"/>
  <c r="G534" i="4" s="1"/>
  <c r="D129" i="1" s="1"/>
  <c r="C134" i="1"/>
  <c r="G508" i="4"/>
  <c r="G507" i="4" s="1"/>
  <c r="G506" i="4" s="1"/>
  <c r="D128" i="1" s="1"/>
  <c r="G368" i="4"/>
  <c r="G367" i="4" s="1"/>
  <c r="G366" i="4" s="1"/>
  <c r="D88" i="1" s="1"/>
  <c r="G608" i="4"/>
  <c r="G607" i="4" s="1"/>
  <c r="G611" i="4"/>
  <c r="G610" i="4" s="1"/>
  <c r="D131" i="12"/>
  <c r="C131" i="12"/>
  <c r="D91" i="12"/>
  <c r="D99" i="12"/>
  <c r="C91" i="12"/>
  <c r="C85" i="12"/>
  <c r="C83" i="12"/>
  <c r="C136" i="1"/>
  <c r="C87" i="1"/>
  <c r="C85" i="1"/>
  <c r="C93" i="1"/>
  <c r="G48" i="4" l="1"/>
  <c r="D136" i="1" s="1"/>
  <c r="H308" i="16"/>
  <c r="G606" i="4"/>
  <c r="D101" i="1" s="1"/>
  <c r="D145" i="1"/>
  <c r="E145" i="1" s="1"/>
  <c r="D143" i="1"/>
  <c r="E143" i="1" s="1"/>
  <c r="D130" i="1"/>
  <c r="D125" i="1"/>
  <c r="D117" i="1"/>
  <c r="D116" i="1"/>
  <c r="D111" i="1"/>
  <c r="D109" i="1"/>
  <c r="D107" i="1"/>
  <c r="D103" i="1"/>
  <c r="D100" i="1"/>
  <c r="G60" i="4"/>
  <c r="H57" i="15"/>
  <c r="G57" i="15"/>
  <c r="I812" i="15"/>
  <c r="G450" i="4"/>
  <c r="D90" i="1" s="1"/>
  <c r="I404" i="15"/>
  <c r="H264" i="15"/>
  <c r="H263" i="15" l="1"/>
  <c r="G296" i="14"/>
  <c r="G295" i="14" s="1"/>
  <c r="G294" i="14" s="1"/>
  <c r="F570" i="14"/>
  <c r="F569" i="14" s="1"/>
  <c r="F568" i="14" s="1"/>
  <c r="G636" i="15"/>
  <c r="G635" i="15" s="1"/>
  <c r="G1009" i="15"/>
  <c r="G1008" i="15" s="1"/>
  <c r="F438" i="14"/>
  <c r="F437" i="14" s="1"/>
  <c r="F436" i="14" s="1"/>
  <c r="G210" i="15"/>
  <c r="F913" i="14"/>
  <c r="F912" i="14" s="1"/>
  <c r="D144" i="1"/>
  <c r="E144" i="1" s="1"/>
  <c r="G264" i="15"/>
  <c r="G263" i="15" s="1"/>
  <c r="C78" i="1"/>
  <c r="G941" i="5" l="1"/>
  <c r="D12" i="12"/>
  <c r="G878" i="14"/>
  <c r="G877" i="14" s="1"/>
  <c r="G876" i="14" s="1"/>
  <c r="F877" i="14"/>
  <c r="F876" i="14" s="1"/>
  <c r="F1044" i="3"/>
  <c r="F1047" i="3"/>
  <c r="F1052" i="3"/>
  <c r="H479" i="15"/>
  <c r="G489" i="4"/>
  <c r="G488" i="4" s="1"/>
  <c r="G484" i="4"/>
  <c r="G483" i="4" s="1"/>
  <c r="G481" i="4"/>
  <c r="G479" i="4"/>
  <c r="G478" i="4"/>
  <c r="G477" i="4" s="1"/>
  <c r="G18" i="4"/>
  <c r="G476" i="4" l="1"/>
  <c r="G475" i="4" s="1"/>
  <c r="G474" i="4" s="1"/>
  <c r="G996" i="14"/>
  <c r="G995" i="14" s="1"/>
  <c r="H478" i="15"/>
  <c r="G910" i="16"/>
  <c r="F1008" i="14"/>
  <c r="F1007" i="14" s="1"/>
  <c r="F1006" i="14" s="1"/>
  <c r="H483" i="15"/>
  <c r="F1000" i="14"/>
  <c r="F999" i="14" s="1"/>
  <c r="G482" i="15"/>
  <c r="H486" i="15"/>
  <c r="F1003" i="14"/>
  <c r="F1002" i="14" s="1"/>
  <c r="F1001" i="14" s="1"/>
  <c r="F1042" i="3"/>
  <c r="F1040" i="3"/>
  <c r="G485" i="15"/>
  <c r="G484" i="15" s="1"/>
  <c r="G490" i="15"/>
  <c r="G489" i="15" s="1"/>
  <c r="G488" i="15" s="1"/>
  <c r="H491" i="15"/>
  <c r="G1008" i="14" s="1"/>
  <c r="G1007" i="14" s="1"/>
  <c r="G1006" i="14" s="1"/>
  <c r="G486" i="4"/>
  <c r="G487" i="4"/>
  <c r="G473" i="4" l="1"/>
  <c r="G472" i="4" s="1"/>
  <c r="G17" i="15"/>
  <c r="F113" i="14"/>
  <c r="F112" i="14" s="1"/>
  <c r="H481" i="15"/>
  <c r="F998" i="14"/>
  <c r="F997" i="14" s="1"/>
  <c r="G480" i="15"/>
  <c r="G477" i="15" s="1"/>
  <c r="G476" i="15" s="1"/>
  <c r="G475" i="15" s="1"/>
  <c r="G1000" i="14"/>
  <c r="G999" i="14" s="1"/>
  <c r="H482" i="15"/>
  <c r="H485" i="15"/>
  <c r="H484" i="15" s="1"/>
  <c r="G1003" i="14"/>
  <c r="G1002" i="14" s="1"/>
  <c r="G1001" i="14" s="1"/>
  <c r="G487" i="15"/>
  <c r="H910" i="16"/>
  <c r="H490" i="15"/>
  <c r="H489" i="15" s="1"/>
  <c r="G998" i="14" l="1"/>
  <c r="G997" i="14" s="1"/>
  <c r="H480" i="15"/>
  <c r="H477" i="15" s="1"/>
  <c r="H476" i="15" s="1"/>
  <c r="H475" i="15" s="1"/>
  <c r="G474" i="15"/>
  <c r="G473" i="15" s="1"/>
  <c r="G1132" i="15" s="1"/>
  <c r="H488" i="15"/>
  <c r="H487" i="15"/>
  <c r="G124" i="14"/>
  <c r="G123" i="14" s="1"/>
  <c r="G126" i="14"/>
  <c r="G125" i="14" s="1"/>
  <c r="F126" i="14"/>
  <c r="F125" i="14" s="1"/>
  <c r="F124" i="14"/>
  <c r="F123" i="14" s="1"/>
  <c r="F129" i="3"/>
  <c r="F128" i="3" s="1"/>
  <c r="F131" i="3"/>
  <c r="F130" i="3" s="1"/>
  <c r="H102" i="15"/>
  <c r="H100" i="15"/>
  <c r="G102" i="15"/>
  <c r="G100" i="15"/>
  <c r="G99" i="4"/>
  <c r="G101" i="4"/>
  <c r="H474" i="15" l="1"/>
  <c r="H473" i="15" s="1"/>
  <c r="H1132" i="15" s="1"/>
  <c r="G98" i="4"/>
  <c r="G97" i="4" s="1"/>
  <c r="G96" i="4" s="1"/>
  <c r="G95" i="4" s="1"/>
  <c r="G99" i="15"/>
  <c r="G98" i="15" s="1"/>
  <c r="G97" i="15" s="1"/>
  <c r="G96" i="15" s="1"/>
  <c r="G122" i="14"/>
  <c r="G121" i="14" s="1"/>
  <c r="G120" i="14" s="1"/>
  <c r="G119" i="14" s="1"/>
  <c r="E15" i="13" s="1"/>
  <c r="F122" i="14"/>
  <c r="F121" i="14" s="1"/>
  <c r="F120" i="14" s="1"/>
  <c r="F119" i="14" s="1"/>
  <c r="D15" i="13" s="1"/>
  <c r="H99" i="15"/>
  <c r="H98" i="15" s="1"/>
  <c r="H97" i="15" s="1"/>
  <c r="H96" i="15" s="1"/>
  <c r="F127" i="3"/>
  <c r="F126" i="3" s="1"/>
  <c r="F125" i="3" s="1"/>
  <c r="F124" i="3" s="1"/>
  <c r="D15" i="2" s="1"/>
  <c r="G394" i="14"/>
  <c r="G393" i="14" s="1"/>
  <c r="G392" i="14" s="1"/>
  <c r="G391" i="14" s="1"/>
  <c r="G390" i="14" s="1"/>
  <c r="F394" i="14"/>
  <c r="F393" i="14" s="1"/>
  <c r="F392" i="14" s="1"/>
  <c r="F391" i="14" s="1"/>
  <c r="F390" i="14" s="1"/>
  <c r="F406" i="3"/>
  <c r="F405" i="3" s="1"/>
  <c r="F404" i="3" s="1"/>
  <c r="F403" i="3" s="1"/>
  <c r="F402" i="3" s="1"/>
  <c r="H958" i="16"/>
  <c r="H957" i="16" s="1"/>
  <c r="H956" i="16" s="1"/>
  <c r="H955" i="16" s="1"/>
  <c r="H954" i="16" s="1"/>
  <c r="H953" i="16" s="1"/>
  <c r="H952" i="16" s="1"/>
  <c r="H951" i="16" s="1"/>
  <c r="G958" i="16"/>
  <c r="G957" i="16" s="1"/>
  <c r="G956" i="16" s="1"/>
  <c r="G955" i="16" s="1"/>
  <c r="G954" i="16" s="1"/>
  <c r="G953" i="16" s="1"/>
  <c r="G952" i="16" s="1"/>
  <c r="G951" i="16" s="1"/>
  <c r="G989" i="5"/>
  <c r="G988" i="5" s="1"/>
  <c r="G987" i="5" s="1"/>
  <c r="G986" i="5" s="1"/>
  <c r="G985" i="5" s="1"/>
  <c r="G984" i="5" s="1"/>
  <c r="G983" i="5" s="1"/>
  <c r="G982" i="5" s="1"/>
  <c r="H965" i="15"/>
  <c r="H964" i="15" s="1"/>
  <c r="H963" i="15" s="1"/>
  <c r="H962" i="15" s="1"/>
  <c r="H1156" i="15" s="1"/>
  <c r="G965" i="15"/>
  <c r="G964" i="15" s="1"/>
  <c r="G963" i="15" s="1"/>
  <c r="G962" i="15" s="1"/>
  <c r="G1156" i="15" s="1"/>
  <c r="G1006" i="4"/>
  <c r="G1005" i="4" s="1"/>
  <c r="G1004" i="4" s="1"/>
  <c r="G1003" i="4" s="1"/>
  <c r="H450" i="15"/>
  <c r="H449" i="15" s="1"/>
  <c r="G449" i="15"/>
  <c r="G518" i="4" l="1"/>
  <c r="G149" i="14" l="1"/>
  <c r="G148" i="14" s="1"/>
  <c r="G147" i="14" s="1"/>
  <c r="F149" i="14"/>
  <c r="F148" i="14" s="1"/>
  <c r="F147" i="14" s="1"/>
  <c r="H28" i="15"/>
  <c r="H27" i="15" s="1"/>
  <c r="H26" i="15" s="1"/>
  <c r="H25" i="15" s="1"/>
  <c r="H24" i="15" s="1"/>
  <c r="G27" i="15"/>
  <c r="G26" i="15" s="1"/>
  <c r="G25" i="15" s="1"/>
  <c r="G24" i="15" s="1"/>
  <c r="D79" i="1" l="1"/>
  <c r="G717" i="4"/>
  <c r="D80" i="12" l="1"/>
  <c r="C80" i="12"/>
  <c r="C80" i="1"/>
  <c r="D37" i="12"/>
  <c r="D35" i="12"/>
  <c r="C37" i="12"/>
  <c r="C35" i="12"/>
  <c r="C37" i="1"/>
  <c r="C35" i="1"/>
  <c r="D29" i="12"/>
  <c r="C29" i="12"/>
  <c r="C52" i="1"/>
  <c r="C49" i="1" s="1"/>
  <c r="C29" i="1"/>
  <c r="C25" i="1"/>
  <c r="C34" i="12" l="1"/>
  <c r="C34" i="1"/>
  <c r="D34" i="12"/>
  <c r="F270" i="14"/>
  <c r="F269" i="14" s="1"/>
  <c r="F268" i="14" s="1"/>
  <c r="C65" i="1"/>
  <c r="C67" i="1"/>
  <c r="C69" i="1"/>
  <c r="D64" i="12"/>
  <c r="D66" i="12"/>
  <c r="C66" i="12"/>
  <c r="D68" i="12"/>
  <c r="C68" i="12"/>
  <c r="C64" i="12"/>
  <c r="C124" i="12"/>
  <c r="D124" i="12" s="1"/>
  <c r="G55" i="4"/>
  <c r="G178" i="15"/>
  <c r="D140" i="12"/>
  <c r="D139" i="12"/>
  <c r="C127" i="12"/>
  <c r="C123" i="12"/>
  <c r="D123" i="12" s="1"/>
  <c r="C122" i="12"/>
  <c r="D122" i="12" s="1"/>
  <c r="C121" i="12"/>
  <c r="D121" i="12" s="1"/>
  <c r="C120" i="12"/>
  <c r="D120" i="12" s="1"/>
  <c r="C118" i="12"/>
  <c r="D118" i="12" s="1"/>
  <c r="C117" i="12"/>
  <c r="D117" i="12" s="1"/>
  <c r="C116" i="12"/>
  <c r="D116" i="12" s="1"/>
  <c r="C115" i="12"/>
  <c r="D115" i="12" s="1"/>
  <c r="C114" i="12"/>
  <c r="D114" i="12" s="1"/>
  <c r="C113" i="12"/>
  <c r="D113" i="12" l="1"/>
  <c r="D63" i="12"/>
  <c r="D62" i="12" s="1"/>
  <c r="C63" i="12"/>
  <c r="C62" i="12" s="1"/>
  <c r="C64" i="1"/>
  <c r="C63" i="1" s="1"/>
  <c r="E18" i="13" l="1"/>
  <c r="E17" i="13"/>
  <c r="D17" i="12"/>
  <c r="D16" i="12" s="1"/>
  <c r="D24" i="12"/>
  <c r="C24" i="12"/>
  <c r="D56" i="12"/>
  <c r="D55" i="12" s="1"/>
  <c r="D143" i="12"/>
  <c r="D142" i="12" s="1"/>
  <c r="D141" i="12" s="1"/>
  <c r="C143" i="12"/>
  <c r="C142" i="12" s="1"/>
  <c r="C141" i="12" s="1"/>
  <c r="D133" i="12"/>
  <c r="C133" i="12"/>
  <c r="D107" i="12"/>
  <c r="C107" i="12"/>
  <c r="D102" i="12"/>
  <c r="C102" i="12"/>
  <c r="D93" i="12"/>
  <c r="C93" i="12"/>
  <c r="D89" i="12"/>
  <c r="C89" i="12"/>
  <c r="D87" i="12"/>
  <c r="C87" i="12"/>
  <c r="D77" i="12"/>
  <c r="C77" i="12"/>
  <c r="D71" i="12"/>
  <c r="D70" i="12" s="1"/>
  <c r="C71" i="12"/>
  <c r="C70" i="12" s="1"/>
  <c r="D60" i="12"/>
  <c r="C60" i="12"/>
  <c r="D58" i="12"/>
  <c r="C58" i="12"/>
  <c r="C55" i="12"/>
  <c r="C54" i="12"/>
  <c r="D49" i="12"/>
  <c r="D48" i="12" s="1"/>
  <c r="C49" i="12"/>
  <c r="C48" i="12" s="1"/>
  <c r="D46" i="12"/>
  <c r="C46" i="12"/>
  <c r="D44" i="12"/>
  <c r="C44" i="12"/>
  <c r="D40" i="12"/>
  <c r="D39" i="12" s="1"/>
  <c r="C40" i="12"/>
  <c r="C39" i="12" s="1"/>
  <c r="D32" i="12"/>
  <c r="C32" i="12"/>
  <c r="C31" i="12" s="1"/>
  <c r="D27" i="12"/>
  <c r="C27" i="12"/>
  <c r="C17" i="12"/>
  <c r="C16" i="12" s="1"/>
  <c r="D11" i="12"/>
  <c r="D10" i="12" s="1"/>
  <c r="C11" i="12"/>
  <c r="C10" i="12" s="1"/>
  <c r="H37" i="17"/>
  <c r="H36" i="17" s="1"/>
  <c r="H35" i="17" s="1"/>
  <c r="H34" i="17" s="1"/>
  <c r="H33" i="17" s="1"/>
  <c r="H949" i="16"/>
  <c r="H948" i="16" s="1"/>
  <c r="H947" i="16" s="1"/>
  <c r="H946" i="16" s="1"/>
  <c r="H945" i="16" s="1"/>
  <c r="H943" i="16" s="1"/>
  <c r="H941" i="16"/>
  <c r="H940" i="16" s="1"/>
  <c r="H939" i="16" s="1"/>
  <c r="H938" i="16" s="1"/>
  <c r="H937" i="16" s="1"/>
  <c r="H892" i="16"/>
  <c r="H891" i="16" s="1"/>
  <c r="H890" i="16" s="1"/>
  <c r="H867" i="16"/>
  <c r="H866" i="16" s="1"/>
  <c r="H865" i="16" s="1"/>
  <c r="H840" i="16"/>
  <c r="H838" i="16"/>
  <c r="H837" i="16" s="1"/>
  <c r="H782" i="16"/>
  <c r="H783" i="16" s="1"/>
  <c r="H699" i="16"/>
  <c r="H697" i="16"/>
  <c r="H696" i="16" s="1"/>
  <c r="H695" i="16" s="1"/>
  <c r="H694" i="16" s="1"/>
  <c r="H692" i="16"/>
  <c r="H693" i="16" s="1"/>
  <c r="H675" i="16"/>
  <c r="H676" i="16" s="1"/>
  <c r="G949" i="16"/>
  <c r="G941" i="16"/>
  <c r="G940" i="16" s="1"/>
  <c r="G939" i="16" s="1"/>
  <c r="G938" i="16" s="1"/>
  <c r="G937" i="16" s="1"/>
  <c r="G867" i="16"/>
  <c r="G866" i="16" s="1"/>
  <c r="G865" i="16" s="1"/>
  <c r="G838" i="16"/>
  <c r="G837" i="16" s="1"/>
  <c r="G782" i="16"/>
  <c r="G783" i="16" s="1"/>
  <c r="G692" i="16"/>
  <c r="G693" i="16" s="1"/>
  <c r="G675" i="16"/>
  <c r="G676" i="16" s="1"/>
  <c r="G22" i="16"/>
  <c r="G23" i="16" s="1"/>
  <c r="G948" i="16"/>
  <c r="G947" i="16" s="1"/>
  <c r="G946" i="16" s="1"/>
  <c r="G945" i="16" s="1"/>
  <c r="G891" i="16"/>
  <c r="G890" i="16" s="1"/>
  <c r="G699" i="16"/>
  <c r="G697" i="16"/>
  <c r="G696" i="16" s="1"/>
  <c r="G695" i="16" s="1"/>
  <c r="G694" i="16" s="1"/>
  <c r="C96" i="12" l="1"/>
  <c r="C82" i="12" s="1"/>
  <c r="D96" i="12"/>
  <c r="D82" i="12" s="1"/>
  <c r="D57" i="12"/>
  <c r="D54" i="12"/>
  <c r="H781" i="16"/>
  <c r="H780" i="16" s="1"/>
  <c r="H779" i="16" s="1"/>
  <c r="H778" i="16" s="1"/>
  <c r="H777" i="16" s="1"/>
  <c r="G21" i="16"/>
  <c r="D43" i="12"/>
  <c r="D42" i="12" s="1"/>
  <c r="C43" i="12"/>
  <c r="C42" i="12" s="1"/>
  <c r="H935" i="16"/>
  <c r="H942" i="16" s="1"/>
  <c r="H936" i="16"/>
  <c r="G781" i="16"/>
  <c r="G780" i="16" s="1"/>
  <c r="G779" i="16" s="1"/>
  <c r="G778" i="16" s="1"/>
  <c r="G777" i="16" s="1"/>
  <c r="H691" i="16"/>
  <c r="H690" i="16" s="1"/>
  <c r="H689" i="16" s="1"/>
  <c r="H688" i="16" s="1"/>
  <c r="H868" i="16"/>
  <c r="H674" i="16"/>
  <c r="H673" i="16" s="1"/>
  <c r="H672" i="16" s="1"/>
  <c r="H671" i="16" s="1"/>
  <c r="C57" i="12"/>
  <c r="D75" i="12"/>
  <c r="D76" i="12"/>
  <c r="C75" i="12"/>
  <c r="C76" i="12"/>
  <c r="D26" i="12"/>
  <c r="D25" i="12" s="1"/>
  <c r="D23" i="12"/>
  <c r="C26" i="12"/>
  <c r="C25" i="12" s="1"/>
  <c r="C23" i="12"/>
  <c r="C95" i="12"/>
  <c r="D31" i="12"/>
  <c r="H944" i="16"/>
  <c r="H950" i="16"/>
  <c r="G674" i="16"/>
  <c r="G673" i="16" s="1"/>
  <c r="G672" i="16" s="1"/>
  <c r="G671" i="16" s="1"/>
  <c r="G935" i="16"/>
  <c r="G942" i="16" s="1"/>
  <c r="G936" i="16"/>
  <c r="G943" i="16"/>
  <c r="G944" i="16"/>
  <c r="G691" i="16"/>
  <c r="G690" i="16" s="1"/>
  <c r="G689" i="16" s="1"/>
  <c r="G688" i="16" s="1"/>
  <c r="G840" i="16"/>
  <c r="G868" i="16"/>
  <c r="F213" i="14"/>
  <c r="F212" i="14" s="1"/>
  <c r="F211" i="14" s="1"/>
  <c r="F210" i="14" s="1"/>
  <c r="F267" i="14"/>
  <c r="H406" i="15"/>
  <c r="G406" i="15"/>
  <c r="F316" i="3"/>
  <c r="F315" i="3" s="1"/>
  <c r="F314" i="3" s="1"/>
  <c r="F313" i="3" s="1"/>
  <c r="G37" i="4"/>
  <c r="G195" i="4"/>
  <c r="G284" i="4"/>
  <c r="G292" i="4"/>
  <c r="G431" i="4"/>
  <c r="G502" i="4"/>
  <c r="G530" i="4"/>
  <c r="G668" i="4"/>
  <c r="G778" i="4"/>
  <c r="G847" i="4"/>
  <c r="G865" i="4"/>
  <c r="D95" i="12" l="1"/>
  <c r="F307" i="14"/>
  <c r="F306" i="14" s="1"/>
  <c r="F305" i="14" s="1"/>
  <c r="F304" i="14" s="1"/>
  <c r="F42" i="12"/>
  <c r="E42" i="12"/>
  <c r="G146" i="16"/>
  <c r="H276" i="15"/>
  <c r="H275" i="15" s="1"/>
  <c r="H274" i="15" s="1"/>
  <c r="H273" i="15" s="1"/>
  <c r="C22" i="12"/>
  <c r="C21" i="12" s="1"/>
  <c r="E9" i="12" s="1"/>
  <c r="D22" i="12"/>
  <c r="D21" i="12" s="1"/>
  <c r="G950" i="16"/>
  <c r="G148" i="5"/>
  <c r="G149" i="5" s="1"/>
  <c r="G275" i="15"/>
  <c r="G274" i="15" s="1"/>
  <c r="G273" i="15" s="1"/>
  <c r="G271" i="4"/>
  <c r="G270" i="4" s="1"/>
  <c r="G269" i="4" s="1"/>
  <c r="F9" i="12" l="1"/>
  <c r="D9" i="12"/>
  <c r="H146" i="16"/>
  <c r="G307" i="14"/>
  <c r="G306" i="14" s="1"/>
  <c r="G305" i="14" s="1"/>
  <c r="G304" i="14" s="1"/>
  <c r="G145" i="16"/>
  <c r="G144" i="16" s="1"/>
  <c r="G143" i="16" s="1"/>
  <c r="G142" i="16" s="1"/>
  <c r="G141" i="16" s="1"/>
  <c r="G147" i="16"/>
  <c r="C9" i="12"/>
  <c r="G147" i="5"/>
  <c r="G146" i="5" s="1"/>
  <c r="G145" i="5" s="1"/>
  <c r="H147" i="16" l="1"/>
  <c r="H145" i="16"/>
  <c r="H144" i="16" s="1"/>
  <c r="H143" i="16" s="1"/>
  <c r="H142" i="16" s="1"/>
  <c r="H141" i="16" s="1"/>
  <c r="G144" i="5"/>
  <c r="G143" i="5" s="1"/>
  <c r="G830" i="14" l="1"/>
  <c r="G829" i="14" s="1"/>
  <c r="G828" i="14" s="1"/>
  <c r="G827" i="14" s="1"/>
  <c r="G826" i="14" s="1"/>
  <c r="F830" i="14"/>
  <c r="F829" i="14" s="1"/>
  <c r="F828" i="14" s="1"/>
  <c r="F827" i="14" s="1"/>
  <c r="F826" i="14" s="1"/>
  <c r="G478" i="14"/>
  <c r="G477" i="14" s="1"/>
  <c r="G476" i="14" s="1"/>
  <c r="G475" i="14" s="1"/>
  <c r="G474" i="14" s="1"/>
  <c r="F478" i="14"/>
  <c r="F477" i="14" s="1"/>
  <c r="F476" i="14" s="1"/>
  <c r="F475" i="14" s="1"/>
  <c r="F474" i="14" s="1"/>
  <c r="F492" i="3"/>
  <c r="F491" i="3" s="1"/>
  <c r="F490" i="3" s="1"/>
  <c r="F489" i="3" s="1"/>
  <c r="F488" i="3" s="1"/>
  <c r="G707" i="5" l="1"/>
  <c r="G706" i="5" s="1"/>
  <c r="G705" i="5" s="1"/>
  <c r="G704" i="5" s="1"/>
  <c r="G703" i="5" s="1"/>
  <c r="G702" i="5" s="1"/>
  <c r="H408" i="15"/>
  <c r="H407" i="15" s="1"/>
  <c r="H405" i="15" s="1"/>
  <c r="G408" i="15"/>
  <c r="G407" i="15" s="1"/>
  <c r="G405" i="15" s="1"/>
  <c r="H1049" i="15"/>
  <c r="H1048" i="15" s="1"/>
  <c r="H1047" i="15" s="1"/>
  <c r="H1046" i="15" s="1"/>
  <c r="G1049" i="15"/>
  <c r="G1048" i="15" s="1"/>
  <c r="G1047" i="15" s="1"/>
  <c r="G1046" i="15" s="1"/>
  <c r="G1092" i="4" l="1"/>
  <c r="G1091" i="4" s="1"/>
  <c r="G1090" i="4" s="1"/>
  <c r="G1089" i="4" s="1"/>
  <c r="G365" i="14"/>
  <c r="G364" i="14" s="1"/>
  <c r="G363" i="14" s="1"/>
  <c r="G362" i="14" s="1"/>
  <c r="F365" i="14"/>
  <c r="F364" i="14" s="1"/>
  <c r="F363" i="14" s="1"/>
  <c r="F362" i="14" s="1"/>
  <c r="G936" i="15"/>
  <c r="G935" i="15" s="1"/>
  <c r="G934" i="15" s="1"/>
  <c r="G209" i="14"/>
  <c r="G208" i="14" s="1"/>
  <c r="G207" i="14" s="1"/>
  <c r="G206" i="14" s="1"/>
  <c r="G205" i="14" s="1"/>
  <c r="F208" i="14"/>
  <c r="F207" i="14" s="1"/>
  <c r="F206" i="14" s="1"/>
  <c r="F205" i="14" s="1"/>
  <c r="H127" i="15"/>
  <c r="H126" i="15" s="1"/>
  <c r="H125" i="15" s="1"/>
  <c r="H124" i="15" s="1"/>
  <c r="G127" i="15"/>
  <c r="G126" i="15" s="1"/>
  <c r="G125" i="15" s="1"/>
  <c r="G124" i="15" s="1"/>
  <c r="G980" i="5"/>
  <c r="H132" i="15"/>
  <c r="H131" i="15" s="1"/>
  <c r="G132" i="15"/>
  <c r="G131" i="15" s="1"/>
  <c r="G130" i="15" l="1"/>
  <c r="G129" i="15"/>
  <c r="H129" i="15"/>
  <c r="H130" i="15"/>
  <c r="F186" i="3"/>
  <c r="F185" i="3" s="1"/>
  <c r="F174" i="3"/>
  <c r="G863" i="5"/>
  <c r="G864" i="5" s="1"/>
  <c r="G866" i="5"/>
  <c r="G865" i="5" s="1"/>
  <c r="G788" i="4"/>
  <c r="G787" i="4" s="1"/>
  <c r="G786" i="4" s="1"/>
  <c r="G785" i="4" s="1"/>
  <c r="G776" i="15" l="1"/>
  <c r="G775" i="15" s="1"/>
  <c r="H777" i="15"/>
  <c r="G835" i="16"/>
  <c r="G867" i="5"/>
  <c r="G784" i="4"/>
  <c r="F918" i="3"/>
  <c r="F917" i="3" s="1"/>
  <c r="F38" i="3"/>
  <c r="F19" i="3"/>
  <c r="D125" i="12"/>
  <c r="C138" i="1"/>
  <c r="H835" i="16" l="1"/>
  <c r="H836" i="16" s="1"/>
  <c r="H776" i="15"/>
  <c r="H775" i="15" s="1"/>
  <c r="H774" i="15" s="1"/>
  <c r="H773" i="15" s="1"/>
  <c r="H772" i="15" s="1"/>
  <c r="H771" i="15" s="1"/>
  <c r="G774" i="15"/>
  <c r="G773" i="15" s="1"/>
  <c r="G772" i="15" s="1"/>
  <c r="G771" i="15" s="1"/>
  <c r="G834" i="16"/>
  <c r="G836" i="16"/>
  <c r="G783" i="4"/>
  <c r="H834" i="16" l="1"/>
  <c r="C24" i="1"/>
  <c r="C23" i="1" s="1"/>
  <c r="C22" i="1" s="1"/>
  <c r="G110" i="4"/>
  <c r="G92" i="5" l="1"/>
  <c r="G91" i="5" s="1"/>
  <c r="F894" i="14" l="1"/>
  <c r="F893" i="14" s="1"/>
  <c r="G466" i="15"/>
  <c r="H467" i="15"/>
  <c r="G89" i="16"/>
  <c r="G32" i="17"/>
  <c r="G90" i="5"/>
  <c r="G894" i="14" l="1"/>
  <c r="G893" i="14" s="1"/>
  <c r="H466" i="15"/>
  <c r="G90" i="16"/>
  <c r="G88" i="16"/>
  <c r="H89" i="16"/>
  <c r="H32" i="17"/>
  <c r="H31" i="17" s="1"/>
  <c r="H30" i="17" s="1"/>
  <c r="H29" i="17" s="1"/>
  <c r="H28" i="17" s="1"/>
  <c r="H27" i="17" s="1"/>
  <c r="G37" i="17"/>
  <c r="G36" i="17" s="1"/>
  <c r="G35" i="17" s="1"/>
  <c r="G34" i="17" s="1"/>
  <c r="G33" i="17" s="1"/>
  <c r="G40" i="6"/>
  <c r="G34" i="6"/>
  <c r="G33" i="6" s="1"/>
  <c r="H464" i="4"/>
  <c r="I464" i="4" s="1"/>
  <c r="H466" i="4"/>
  <c r="H465" i="4" s="1"/>
  <c r="G465" i="4"/>
  <c r="H88" i="16" l="1"/>
  <c r="H90" i="16"/>
  <c r="G31" i="17"/>
  <c r="G30" i="17" s="1"/>
  <c r="G29" i="17" s="1"/>
  <c r="G28" i="17" s="1"/>
  <c r="G27" i="17" s="1"/>
  <c r="I466" i="4"/>
  <c r="I465" i="4" s="1"/>
  <c r="G22" i="6" l="1"/>
  <c r="G21" i="6" s="1"/>
  <c r="G20" i="6" s="1"/>
  <c r="G19" i="6" s="1"/>
  <c r="G18" i="6" s="1"/>
  <c r="G17" i="6" s="1"/>
  <c r="G16" i="6"/>
  <c r="G15" i="6" s="1"/>
  <c r="F187" i="14" l="1"/>
  <c r="F38" i="14"/>
  <c r="G38" i="14" s="1"/>
  <c r="D18" i="13" l="1"/>
  <c r="G1090" i="15"/>
  <c r="H1090" i="15" s="1"/>
  <c r="G1036" i="15"/>
  <c r="H1036" i="15" s="1"/>
  <c r="G1007" i="15"/>
  <c r="G983" i="15"/>
  <c r="G961" i="15"/>
  <c r="G957" i="15"/>
  <c r="G953" i="15"/>
  <c r="G932" i="15"/>
  <c r="H932" i="15" s="1"/>
  <c r="G929" i="15"/>
  <c r="H929" i="15" s="1"/>
  <c r="G927" i="15"/>
  <c r="H927" i="15" s="1"/>
  <c r="G924" i="15"/>
  <c r="H924" i="15" s="1"/>
  <c r="H921" i="15"/>
  <c r="H919" i="15"/>
  <c r="G915" i="15"/>
  <c r="H915" i="15" s="1"/>
  <c r="G912" i="15"/>
  <c r="G911" i="15" s="1"/>
  <c r="G910" i="15"/>
  <c r="H908" i="15"/>
  <c r="G270" i="14"/>
  <c r="G269" i="14" s="1"/>
  <c r="G268" i="14" s="1"/>
  <c r="G881" i="15"/>
  <c r="G805" i="15"/>
  <c r="G798" i="15"/>
  <c r="G795" i="15"/>
  <c r="G723" i="15"/>
  <c r="H723" i="15" s="1"/>
  <c r="G686" i="16"/>
  <c r="G681" i="15"/>
  <c r="G605" i="15"/>
  <c r="G681" i="16" s="1"/>
  <c r="G587" i="15"/>
  <c r="G580" i="15"/>
  <c r="G545" i="15"/>
  <c r="G519" i="15"/>
  <c r="H519" i="15" s="1"/>
  <c r="G422" i="15"/>
  <c r="H422" i="15" s="1"/>
  <c r="G330" i="15"/>
  <c r="G272" i="15"/>
  <c r="G269" i="15"/>
  <c r="G258" i="15"/>
  <c r="G255" i="15"/>
  <c r="G246" i="15"/>
  <c r="G245" i="15" s="1"/>
  <c r="G239" i="15"/>
  <c r="F184" i="14" s="1"/>
  <c r="F183" i="14" s="1"/>
  <c r="F182" i="14" s="1"/>
  <c r="F178" i="14"/>
  <c r="F177" i="14" s="1"/>
  <c r="F176" i="14" s="1"/>
  <c r="G230" i="15"/>
  <c r="H230" i="15" s="1"/>
  <c r="G225" i="15"/>
  <c r="G189" i="15"/>
  <c r="G186" i="15"/>
  <c r="G140" i="15"/>
  <c r="H140" i="15" s="1"/>
  <c r="G86" i="15"/>
  <c r="G20" i="15"/>
  <c r="H18" i="15"/>
  <c r="H910" i="15" l="1"/>
  <c r="G909" i="15"/>
  <c r="G906" i="15" s="1"/>
  <c r="F338" i="14"/>
  <c r="F337" i="14" s="1"/>
  <c r="F334" i="14" s="1"/>
  <c r="F87" i="14"/>
  <c r="F86" i="14" s="1"/>
  <c r="G76" i="15"/>
  <c r="H95" i="15"/>
  <c r="H94" i="15" s="1"/>
  <c r="H93" i="15" s="1"/>
  <c r="G94" i="15"/>
  <c r="G93" i="15" s="1"/>
  <c r="H147" i="15"/>
  <c r="F228" i="14"/>
  <c r="F227" i="14" s="1"/>
  <c r="F226" i="14" s="1"/>
  <c r="G146" i="15"/>
  <c r="G145" i="15" s="1"/>
  <c r="F678" i="14"/>
  <c r="F677" i="14" s="1"/>
  <c r="F676" i="14" s="1"/>
  <c r="G295" i="15"/>
  <c r="G294" i="15" s="1"/>
  <c r="F808" i="14"/>
  <c r="F807" i="14" s="1"/>
  <c r="F806" i="14" s="1"/>
  <c r="G386" i="15"/>
  <c r="G385" i="15" s="1"/>
  <c r="H425" i="15"/>
  <c r="F846" i="14"/>
  <c r="F845" i="14" s="1"/>
  <c r="F844" i="14" s="1"/>
  <c r="G424" i="15"/>
  <c r="G423" i="15" s="1"/>
  <c r="H437" i="15"/>
  <c r="F858" i="14"/>
  <c r="F857" i="14" s="1"/>
  <c r="F856" i="14" s="1"/>
  <c r="G436" i="15"/>
  <c r="G435" i="15" s="1"/>
  <c r="F486" i="14"/>
  <c r="F485" i="14" s="1"/>
  <c r="F484" i="14" s="1"/>
  <c r="G552" i="15"/>
  <c r="G551" i="15" s="1"/>
  <c r="G550" i="15" s="1"/>
  <c r="F533" i="14"/>
  <c r="F532" i="14" s="1"/>
  <c r="F531" i="14" s="1"/>
  <c r="G599" i="15"/>
  <c r="G598" i="15" s="1"/>
  <c r="F631" i="14"/>
  <c r="F630" i="14" s="1"/>
  <c r="F629" i="14" s="1"/>
  <c r="G697" i="15"/>
  <c r="G696" i="15" s="1"/>
  <c r="F934" i="14"/>
  <c r="F933" i="14" s="1"/>
  <c r="F932" i="14" s="1"/>
  <c r="G790" i="15"/>
  <c r="G789" i="15" s="1"/>
  <c r="H868" i="15"/>
  <c r="H867" i="15" s="1"/>
  <c r="H866" i="15" s="1"/>
  <c r="G867" i="15"/>
  <c r="G866" i="15" s="1"/>
  <c r="H972" i="15"/>
  <c r="G971" i="15"/>
  <c r="G970" i="15" s="1"/>
  <c r="F400" i="14"/>
  <c r="F399" i="14" s="1"/>
  <c r="F398" i="14" s="1"/>
  <c r="F431" i="14"/>
  <c r="F430" i="14" s="1"/>
  <c r="F429" i="14" s="1"/>
  <c r="G1002" i="15"/>
  <c r="G1001" i="15" s="1"/>
  <c r="H1068" i="15"/>
  <c r="G1067" i="15"/>
  <c r="F16" i="14"/>
  <c r="F15" i="14" s="1"/>
  <c r="F93" i="14"/>
  <c r="F92" i="14" s="1"/>
  <c r="F91" i="14" s="1"/>
  <c r="G82" i="15"/>
  <c r="G81" i="15" s="1"/>
  <c r="H114" i="15"/>
  <c r="F158" i="14"/>
  <c r="F157" i="14" s="1"/>
  <c r="F156" i="14" s="1"/>
  <c r="G113" i="15"/>
  <c r="G112" i="15" s="1"/>
  <c r="G241" i="15"/>
  <c r="G240" i="15" s="1"/>
  <c r="F190" i="14"/>
  <c r="F189" i="14" s="1"/>
  <c r="F188" i="14" s="1"/>
  <c r="F668" i="14"/>
  <c r="F667" i="14" s="1"/>
  <c r="G285" i="15"/>
  <c r="F721" i="14"/>
  <c r="F720" i="14" s="1"/>
  <c r="G335" i="15"/>
  <c r="F798" i="14"/>
  <c r="F797" i="14" s="1"/>
  <c r="G376" i="15"/>
  <c r="F835" i="14"/>
  <c r="F834" i="14" s="1"/>
  <c r="F833" i="14" s="1"/>
  <c r="G413" i="15"/>
  <c r="G412" i="15" s="1"/>
  <c r="H430" i="15"/>
  <c r="F851" i="14"/>
  <c r="F850" i="14" s="1"/>
  <c r="G429" i="15"/>
  <c r="F883" i="14"/>
  <c r="F882" i="14" s="1"/>
  <c r="F881" i="14" s="1"/>
  <c r="G455" i="15"/>
  <c r="G454" i="15" s="1"/>
  <c r="F488" i="14"/>
  <c r="F487" i="14" s="1"/>
  <c r="F516" i="14"/>
  <c r="F515" i="14" s="1"/>
  <c r="F514" i="14" s="1"/>
  <c r="G582" i="15"/>
  <c r="G581" i="15" s="1"/>
  <c r="F563" i="14"/>
  <c r="F562" i="14" s="1"/>
  <c r="F561" i="14" s="1"/>
  <c r="G629" i="15"/>
  <c r="G628" i="15" s="1"/>
  <c r="H769" i="15"/>
  <c r="F761" i="14"/>
  <c r="F760" i="14" s="1"/>
  <c r="F759" i="14" s="1"/>
  <c r="G768" i="15"/>
  <c r="G767" i="15" s="1"/>
  <c r="H826" i="15"/>
  <c r="F969" i="14"/>
  <c r="F968" i="14" s="1"/>
  <c r="F967" i="14" s="1"/>
  <c r="G825" i="15"/>
  <c r="G824" i="15" s="1"/>
  <c r="F406" i="14"/>
  <c r="F405" i="14" s="1"/>
  <c r="F404" i="14" s="1"/>
  <c r="G977" i="15"/>
  <c r="G976" i="15" s="1"/>
  <c r="F420" i="14"/>
  <c r="F419" i="14" s="1"/>
  <c r="F418" i="14" s="1"/>
  <c r="G991" i="15"/>
  <c r="G990" i="15" s="1"/>
  <c r="H1021" i="15"/>
  <c r="F449" i="14"/>
  <c r="F448" i="14" s="1"/>
  <c r="G1020" i="15"/>
  <c r="H1040" i="15"/>
  <c r="F468" i="14"/>
  <c r="F467" i="14" s="1"/>
  <c r="G1039" i="15"/>
  <c r="H1071" i="15"/>
  <c r="F19" i="14"/>
  <c r="F18" i="14" s="1"/>
  <c r="F17" i="14" s="1"/>
  <c r="G1070" i="15"/>
  <c r="G1069" i="15" s="1"/>
  <c r="H1098" i="15"/>
  <c r="F104" i="14"/>
  <c r="F103" i="14" s="1"/>
  <c r="G1097" i="15"/>
  <c r="H41" i="15"/>
  <c r="F48" i="14"/>
  <c r="F47" i="14" s="1"/>
  <c r="G40" i="15"/>
  <c r="F199" i="14"/>
  <c r="F198" i="14" s="1"/>
  <c r="F197" i="14" s="1"/>
  <c r="G122" i="15"/>
  <c r="G121" i="15" s="1"/>
  <c r="G120" i="15" s="1"/>
  <c r="F247" i="14"/>
  <c r="F246" i="14" s="1"/>
  <c r="F245" i="14" s="1"/>
  <c r="G165" i="15"/>
  <c r="G164" i="15" s="1"/>
  <c r="H196" i="15"/>
  <c r="F871" i="14"/>
  <c r="F870" i="14" s="1"/>
  <c r="F869" i="14" s="1"/>
  <c r="G195" i="15"/>
  <c r="G194" i="15" s="1"/>
  <c r="G193" i="15" s="1"/>
  <c r="G192" i="15" s="1"/>
  <c r="F670" i="14"/>
  <c r="F669" i="14" s="1"/>
  <c r="G287" i="15"/>
  <c r="F702" i="14"/>
  <c r="F701" i="14" s="1"/>
  <c r="F700" i="14" s="1"/>
  <c r="G319" i="15"/>
  <c r="G318" i="15" s="1"/>
  <c r="F725" i="14"/>
  <c r="F724" i="14" s="1"/>
  <c r="F723" i="14" s="1"/>
  <c r="G339" i="15"/>
  <c r="G338" i="15" s="1"/>
  <c r="F779" i="14"/>
  <c r="F778" i="14" s="1"/>
  <c r="F775" i="14" s="1"/>
  <c r="G357" i="15"/>
  <c r="G354" i="15" s="1"/>
  <c r="G353" i="15" s="1"/>
  <c r="F800" i="14"/>
  <c r="F799" i="14" s="1"/>
  <c r="G378" i="15"/>
  <c r="F815" i="14"/>
  <c r="F814" i="14" s="1"/>
  <c r="F813" i="14" s="1"/>
  <c r="H394" i="15"/>
  <c r="H595" i="16" s="1"/>
  <c r="G393" i="15"/>
  <c r="G392" i="15" s="1"/>
  <c r="H420" i="15"/>
  <c r="F841" i="14"/>
  <c r="F840" i="14" s="1"/>
  <c r="F839" i="14" s="1"/>
  <c r="G419" i="15"/>
  <c r="G418" i="15" s="1"/>
  <c r="H432" i="15"/>
  <c r="F853" i="14"/>
  <c r="F852" i="14" s="1"/>
  <c r="G431" i="15"/>
  <c r="F892" i="14"/>
  <c r="F891" i="14" s="1"/>
  <c r="F890" i="14" s="1"/>
  <c r="F889" i="14" s="1"/>
  <c r="G464" i="15"/>
  <c r="G463" i="15" s="1"/>
  <c r="G832" i="16"/>
  <c r="G831" i="16" s="1"/>
  <c r="G830" i="16" s="1"/>
  <c r="G541" i="15"/>
  <c r="G540" i="15" s="1"/>
  <c r="F172" i="14"/>
  <c r="F171" i="14" s="1"/>
  <c r="F170" i="14" s="1"/>
  <c r="F550" i="14"/>
  <c r="F549" i="14" s="1"/>
  <c r="F548" i="14" s="1"/>
  <c r="G616" i="15"/>
  <c r="G615" i="15" s="1"/>
  <c r="F621" i="14"/>
  <c r="F620" i="14" s="1"/>
  <c r="F619" i="14" s="1"/>
  <c r="G687" i="15"/>
  <c r="G686" i="15" s="1"/>
  <c r="F928" i="14"/>
  <c r="F927" i="14" s="1"/>
  <c r="F926" i="14" s="1"/>
  <c r="G784" i="15"/>
  <c r="G783" i="15" s="1"/>
  <c r="H838" i="15"/>
  <c r="F981" i="14"/>
  <c r="F980" i="14" s="1"/>
  <c r="F979" i="14" s="1"/>
  <c r="G837" i="15"/>
  <c r="G836" i="15" s="1"/>
  <c r="G996" i="15"/>
  <c r="F425" i="14"/>
  <c r="F424" i="14" s="1"/>
  <c r="H1023" i="15"/>
  <c r="F451" i="14"/>
  <c r="F450" i="14" s="1"/>
  <c r="G1022" i="15"/>
  <c r="H1045" i="15"/>
  <c r="F473" i="14"/>
  <c r="F472" i="14" s="1"/>
  <c r="F471" i="14" s="1"/>
  <c r="G1044" i="15"/>
  <c r="G1043" i="15" s="1"/>
  <c r="F24" i="14"/>
  <c r="F23" i="14" s="1"/>
  <c r="F22" i="14" s="1"/>
  <c r="G1075" i="15"/>
  <c r="G1074" i="15" s="1"/>
  <c r="H1101" i="15"/>
  <c r="F107" i="14"/>
  <c r="F106" i="14" s="1"/>
  <c r="F105" i="14" s="1"/>
  <c r="G1100" i="15"/>
  <c r="G1099" i="15" s="1"/>
  <c r="H20" i="15"/>
  <c r="F115" i="14"/>
  <c r="F114" i="14" s="1"/>
  <c r="G19" i="15"/>
  <c r="F666" i="14"/>
  <c r="F665" i="14" s="1"/>
  <c r="G283" i="15"/>
  <c r="F773" i="14"/>
  <c r="F772" i="14" s="1"/>
  <c r="G351" i="15"/>
  <c r="H506" i="15"/>
  <c r="H505" i="15" s="1"/>
  <c r="H504" i="15" s="1"/>
  <c r="G505" i="15"/>
  <c r="G504" i="15" s="1"/>
  <c r="F560" i="14"/>
  <c r="F559" i="14" s="1"/>
  <c r="F558" i="14" s="1"/>
  <c r="G626" i="15"/>
  <c r="G625" i="15" s="1"/>
  <c r="H753" i="15"/>
  <c r="F745" i="14"/>
  <c r="F744" i="14" s="1"/>
  <c r="F743" i="14" s="1"/>
  <c r="G752" i="15"/>
  <c r="G751" i="15" s="1"/>
  <c r="H23" i="15"/>
  <c r="F118" i="14"/>
  <c r="F117" i="14" s="1"/>
  <c r="F116" i="14" s="1"/>
  <c r="G22" i="15"/>
  <c r="G21" i="15" s="1"/>
  <c r="H159" i="15"/>
  <c r="F240" i="14"/>
  <c r="F239" i="14" s="1"/>
  <c r="F238" i="14" s="1"/>
  <c r="G158" i="15"/>
  <c r="G157" i="15" s="1"/>
  <c r="F293" i="14"/>
  <c r="F292" i="14" s="1"/>
  <c r="F291" i="14" s="1"/>
  <c r="G261" i="15"/>
  <c r="G260" i="15" s="1"/>
  <c r="F684" i="14"/>
  <c r="F683" i="14" s="1"/>
  <c r="F682" i="14" s="1"/>
  <c r="G301" i="15"/>
  <c r="G300" i="15" s="1"/>
  <c r="H391" i="15"/>
  <c r="F812" i="14"/>
  <c r="F811" i="14" s="1"/>
  <c r="F810" i="14" s="1"/>
  <c r="G390" i="15"/>
  <c r="G389" i="15" s="1"/>
  <c r="G113" i="14"/>
  <c r="G112" i="14" s="1"/>
  <c r="H17" i="15"/>
  <c r="H49" i="15"/>
  <c r="F56" i="14"/>
  <c r="F55" i="14" s="1"/>
  <c r="F54" i="14" s="1"/>
  <c r="G48" i="15"/>
  <c r="G47" i="15" s="1"/>
  <c r="H92" i="15"/>
  <c r="G91" i="15"/>
  <c r="G90" i="15" s="1"/>
  <c r="F254" i="14"/>
  <c r="F253" i="14" s="1"/>
  <c r="F252" i="14" s="1"/>
  <c r="G172" i="15"/>
  <c r="G171" i="15" s="1"/>
  <c r="F904" i="14"/>
  <c r="F903" i="14" s="1"/>
  <c r="F902" i="14" s="1"/>
  <c r="G200" i="15"/>
  <c r="F181" i="14"/>
  <c r="F180" i="14" s="1"/>
  <c r="F179" i="14" s="1"/>
  <c r="G235" i="15"/>
  <c r="G234" i="15" s="1"/>
  <c r="G291" i="15"/>
  <c r="G290" i="15" s="1"/>
  <c r="F674" i="14"/>
  <c r="F673" i="14" s="1"/>
  <c r="F672" i="14" s="1"/>
  <c r="F712" i="14"/>
  <c r="F711" i="14" s="1"/>
  <c r="F710" i="14" s="1"/>
  <c r="G326" i="15"/>
  <c r="G325" i="15" s="1"/>
  <c r="G349" i="15"/>
  <c r="F771" i="14"/>
  <c r="F770" i="14" s="1"/>
  <c r="F783" i="14"/>
  <c r="F782" i="14" s="1"/>
  <c r="F781" i="14" s="1"/>
  <c r="G361" i="15"/>
  <c r="G360" i="15" s="1"/>
  <c r="G382" i="15"/>
  <c r="G381" i="15" s="1"/>
  <c r="F804" i="14"/>
  <c r="F803" i="14" s="1"/>
  <c r="F802" i="14" s="1"/>
  <c r="F822" i="14"/>
  <c r="F821" i="14" s="1"/>
  <c r="F820" i="14" s="1"/>
  <c r="G400" i="15"/>
  <c r="G399" i="15" s="1"/>
  <c r="H434" i="15"/>
  <c r="F855" i="14"/>
  <c r="F854" i="14" s="1"/>
  <c r="G433" i="15"/>
  <c r="F899" i="14"/>
  <c r="F898" i="14" s="1"/>
  <c r="F897" i="14" s="1"/>
  <c r="G471" i="15"/>
  <c r="G470" i="15" s="1"/>
  <c r="F502" i="14"/>
  <c r="F501" i="14" s="1"/>
  <c r="F500" i="14" s="1"/>
  <c r="G568" i="15"/>
  <c r="G567" i="15" s="1"/>
  <c r="F530" i="14"/>
  <c r="F529" i="14" s="1"/>
  <c r="F528" i="14" s="1"/>
  <c r="G596" i="15"/>
  <c r="G595" i="15" s="1"/>
  <c r="G623" i="15"/>
  <c r="G622" i="15" s="1"/>
  <c r="F557" i="14"/>
  <c r="F556" i="14" s="1"/>
  <c r="F555" i="14" s="1"/>
  <c r="F579" i="14"/>
  <c r="F578" i="14" s="1"/>
  <c r="F577" i="14" s="1"/>
  <c r="G645" i="15"/>
  <c r="G644" i="15" s="1"/>
  <c r="F705" i="14"/>
  <c r="F704" i="14" s="1"/>
  <c r="F703" i="14" s="1"/>
  <c r="G731" i="15"/>
  <c r="G730" i="15" s="1"/>
  <c r="F931" i="14"/>
  <c r="F930" i="14" s="1"/>
  <c r="F929" i="14" s="1"/>
  <c r="G787" i="15"/>
  <c r="G786" i="15" s="1"/>
  <c r="F944" i="14"/>
  <c r="F943" i="14" s="1"/>
  <c r="F942" i="14" s="1"/>
  <c r="G800" i="15"/>
  <c r="G799" i="15" s="1"/>
  <c r="H854" i="15"/>
  <c r="F132" i="14"/>
  <c r="F131" i="14" s="1"/>
  <c r="F130" i="14" s="1"/>
  <c r="G853" i="15"/>
  <c r="G852" i="15" s="1"/>
  <c r="G986" i="15"/>
  <c r="G985" i="15" s="1"/>
  <c r="F415" i="14"/>
  <c r="F414" i="14" s="1"/>
  <c r="F413" i="14" s="1"/>
  <c r="H1028" i="15"/>
  <c r="F456" i="14"/>
  <c r="F455" i="14" s="1"/>
  <c r="F454" i="14" s="1"/>
  <c r="G1027" i="15"/>
  <c r="G1026" i="15" s="1"/>
  <c r="H1058" i="15"/>
  <c r="F920" i="14"/>
  <c r="F919" i="14" s="1"/>
  <c r="F918" i="14" s="1"/>
  <c r="G1057" i="15"/>
  <c r="G1056" i="15" s="1"/>
  <c r="H1087" i="15"/>
  <c r="F35" i="14"/>
  <c r="F34" i="14" s="1"/>
  <c r="G1086" i="15"/>
  <c r="F787" i="14"/>
  <c r="F786" i="14" s="1"/>
  <c r="F785" i="14" s="1"/>
  <c r="G365" i="15"/>
  <c r="G364" i="15" s="1"/>
  <c r="G403" i="15"/>
  <c r="G402" i="15" s="1"/>
  <c r="G395" i="15" s="1"/>
  <c r="F825" i="14"/>
  <c r="F824" i="14" s="1"/>
  <c r="F823" i="14" s="1"/>
  <c r="F573" i="14"/>
  <c r="F572" i="14" s="1"/>
  <c r="F571" i="14" s="1"/>
  <c r="G639" i="15"/>
  <c r="G638" i="15" s="1"/>
  <c r="G711" i="15"/>
  <c r="G710" i="15" s="1"/>
  <c r="F645" i="14"/>
  <c r="F644" i="14" s="1"/>
  <c r="F643" i="14" s="1"/>
  <c r="F496" i="14"/>
  <c r="F495" i="14" s="1"/>
  <c r="F494" i="14" s="1"/>
  <c r="G562" i="15"/>
  <c r="G561" i="15" s="1"/>
  <c r="F341" i="14"/>
  <c r="F340" i="14" s="1"/>
  <c r="F339" i="14" s="1"/>
  <c r="H913" i="15"/>
  <c r="H912" i="15" s="1"/>
  <c r="H911" i="15" s="1"/>
  <c r="H83" i="15"/>
  <c r="G433" i="16"/>
  <c r="H242" i="15"/>
  <c r="G859" i="16"/>
  <c r="H330" i="15"/>
  <c r="H38" i="16" s="1"/>
  <c r="H39" i="16" s="1"/>
  <c r="G38" i="16"/>
  <c r="H646" i="15"/>
  <c r="G233" i="16"/>
  <c r="H732" i="15"/>
  <c r="G888" i="16"/>
  <c r="H801" i="15"/>
  <c r="G481" i="16"/>
  <c r="H987" i="15"/>
  <c r="G721" i="16"/>
  <c r="H123" i="15"/>
  <c r="G917" i="16"/>
  <c r="H166" i="15"/>
  <c r="G763" i="16"/>
  <c r="H233" i="15"/>
  <c r="G843" i="16"/>
  <c r="H302" i="15"/>
  <c r="G648" i="16"/>
  <c r="H336" i="15"/>
  <c r="G48" i="16"/>
  <c r="H377" i="15"/>
  <c r="G567" i="16"/>
  <c r="H414" i="15"/>
  <c r="G898" i="16"/>
  <c r="H698" i="15"/>
  <c r="G883" i="16"/>
  <c r="H1007" i="15"/>
  <c r="H751" i="16" s="1"/>
  <c r="G751" i="16"/>
  <c r="H173" i="15"/>
  <c r="G774" i="16"/>
  <c r="H236" i="15"/>
  <c r="G181" i="14" s="1"/>
  <c r="G180" i="14" s="1"/>
  <c r="G179" i="14" s="1"/>
  <c r="G847" i="16"/>
  <c r="H288" i="15"/>
  <c r="G624" i="16"/>
  <c r="H320" i="15"/>
  <c r="H893" i="16" s="1"/>
  <c r="G893" i="16"/>
  <c r="G595" i="16"/>
  <c r="H77" i="15"/>
  <c r="G423" i="16"/>
  <c r="H186" i="15"/>
  <c r="H395" i="16" s="1"/>
  <c r="G395" i="16"/>
  <c r="H292" i="15"/>
  <c r="G631" i="16"/>
  <c r="H327" i="15"/>
  <c r="G34" i="16"/>
  <c r="H350" i="15"/>
  <c r="G522" i="16"/>
  <c r="H362" i="15"/>
  <c r="G542" i="16"/>
  <c r="G577" i="16"/>
  <c r="H401" i="15"/>
  <c r="G606" i="16"/>
  <c r="H472" i="15"/>
  <c r="G38" i="17"/>
  <c r="G97" i="16"/>
  <c r="H597" i="15"/>
  <c r="G292" i="16"/>
  <c r="H640" i="15"/>
  <c r="G225" i="16"/>
  <c r="H688" i="15"/>
  <c r="G367" i="16"/>
  <c r="H997" i="15"/>
  <c r="G425" i="14" s="1"/>
  <c r="G424" i="14" s="1"/>
  <c r="G736" i="16"/>
  <c r="H262" i="15"/>
  <c r="G124" i="16"/>
  <c r="H296" i="15"/>
  <c r="G638" i="16"/>
  <c r="H352" i="15"/>
  <c r="G525" i="16"/>
  <c r="H387" i="15"/>
  <c r="G584" i="16"/>
  <c r="H600" i="15"/>
  <c r="G296" i="16"/>
  <c r="H1076" i="15"/>
  <c r="G414" i="16"/>
  <c r="H86" i="15"/>
  <c r="H437" i="16" s="1"/>
  <c r="G437" i="16"/>
  <c r="G871" i="16"/>
  <c r="F195" i="14"/>
  <c r="F194" i="14" s="1"/>
  <c r="F193" i="14" s="1"/>
  <c r="F192" i="14" s="1"/>
  <c r="H286" i="15"/>
  <c r="G621" i="16"/>
  <c r="G591" i="16"/>
  <c r="H456" i="15"/>
  <c r="G71" i="16"/>
  <c r="G20" i="17"/>
  <c r="G19" i="17" s="1"/>
  <c r="G18" i="17" s="1"/>
  <c r="G17" i="17" s="1"/>
  <c r="G16" i="17" s="1"/>
  <c r="G15" i="17" s="1"/>
  <c r="H583" i="15"/>
  <c r="G270" i="16"/>
  <c r="H1003" i="15"/>
  <c r="G744" i="16"/>
  <c r="H202" i="15"/>
  <c r="G445" i="16"/>
  <c r="H340" i="15"/>
  <c r="G55" i="16"/>
  <c r="G14" i="17"/>
  <c r="G13" i="17" s="1"/>
  <c r="G12" i="17" s="1"/>
  <c r="G11" i="17" s="1"/>
  <c r="G10" i="17" s="1"/>
  <c r="G9" i="17" s="1"/>
  <c r="H379" i="15"/>
  <c r="G570" i="16"/>
  <c r="H465" i="15"/>
  <c r="G86" i="16"/>
  <c r="H563" i="15"/>
  <c r="G200" i="16"/>
  <c r="H617" i="15"/>
  <c r="G878" i="16"/>
  <c r="H712" i="15"/>
  <c r="G246" i="16"/>
  <c r="H978" i="15"/>
  <c r="G707" i="16"/>
  <c r="H992" i="15"/>
  <c r="G729" i="16"/>
  <c r="G755" i="16"/>
  <c r="H545" i="15"/>
  <c r="H855" i="16" s="1"/>
  <c r="H854" i="16" s="1"/>
  <c r="H853" i="16" s="1"/>
  <c r="G855" i="16"/>
  <c r="H189" i="15"/>
  <c r="H399" i="16" s="1"/>
  <c r="G399" i="16"/>
  <c r="H225" i="15"/>
  <c r="H158" i="16" s="1"/>
  <c r="G158" i="16"/>
  <c r="H239" i="15"/>
  <c r="G851" i="16"/>
  <c r="H255" i="15"/>
  <c r="H113" i="16" s="1"/>
  <c r="H114" i="16" s="1"/>
  <c r="G113" i="16"/>
  <c r="H258" i="15"/>
  <c r="H117" i="16" s="1"/>
  <c r="H118" i="16" s="1"/>
  <c r="G117" i="16"/>
  <c r="H272" i="15"/>
  <c r="H139" i="16" s="1"/>
  <c r="H138" i="16" s="1"/>
  <c r="H137" i="16" s="1"/>
  <c r="G139" i="16"/>
  <c r="H128" i="16"/>
  <c r="H127" i="16" s="1"/>
  <c r="H126" i="16" s="1"/>
  <c r="G128" i="16"/>
  <c r="H269" i="15"/>
  <c r="H135" i="16" s="1"/>
  <c r="H136" i="16" s="1"/>
  <c r="G135" i="16"/>
  <c r="H580" i="15"/>
  <c r="H266" i="16" s="1"/>
  <c r="H267" i="16" s="1"/>
  <c r="G266" i="16"/>
  <c r="H587" i="15"/>
  <c r="H277" i="16" s="1"/>
  <c r="H278" i="16" s="1"/>
  <c r="G277" i="16"/>
  <c r="G680" i="16"/>
  <c r="G679" i="16" s="1"/>
  <c r="G678" i="16" s="1"/>
  <c r="G682" i="16"/>
  <c r="H323" i="16"/>
  <c r="H322" i="16" s="1"/>
  <c r="H321" i="16" s="1"/>
  <c r="G323" i="16"/>
  <c r="H681" i="15"/>
  <c r="H356" i="16" s="1"/>
  <c r="G356" i="16"/>
  <c r="G685" i="16"/>
  <c r="G684" i="16" s="1"/>
  <c r="G683" i="16" s="1"/>
  <c r="G687" i="16"/>
  <c r="H805" i="15"/>
  <c r="H488" i="16" s="1"/>
  <c r="H487" i="16" s="1"/>
  <c r="H486" i="16" s="1"/>
  <c r="G488" i="16"/>
  <c r="H798" i="15"/>
  <c r="H477" i="16" s="1"/>
  <c r="H476" i="16" s="1"/>
  <c r="H475" i="16" s="1"/>
  <c r="G477" i="16"/>
  <c r="H795" i="15"/>
  <c r="H473" i="16" s="1"/>
  <c r="H472" i="16" s="1"/>
  <c r="H471" i="16" s="1"/>
  <c r="G473" i="16"/>
  <c r="H881" i="15"/>
  <c r="H15" i="16" s="1"/>
  <c r="H14" i="16" s="1"/>
  <c r="H13" i="16" s="1"/>
  <c r="G15" i="16"/>
  <c r="H957" i="15"/>
  <c r="H817" i="16" s="1"/>
  <c r="H818" i="16" s="1"/>
  <c r="G817" i="16"/>
  <c r="H953" i="15"/>
  <c r="H810" i="16" s="1"/>
  <c r="H809" i="16" s="1"/>
  <c r="H808" i="16" s="1"/>
  <c r="H807" i="16" s="1"/>
  <c r="H806" i="16" s="1"/>
  <c r="H805" i="16" s="1"/>
  <c r="G810" i="16"/>
  <c r="H961" i="15"/>
  <c r="H824" i="16" s="1"/>
  <c r="H825" i="16" s="1"/>
  <c r="G824" i="16"/>
  <c r="H1000" i="15"/>
  <c r="H740" i="16" s="1"/>
  <c r="G740" i="16"/>
  <c r="H983" i="15"/>
  <c r="H714" i="16" s="1"/>
  <c r="H715" i="16" s="1"/>
  <c r="G714" i="16"/>
  <c r="H404" i="15"/>
  <c r="G610" i="16"/>
  <c r="H366" i="15"/>
  <c r="G549" i="16"/>
  <c r="H630" i="15"/>
  <c r="G184" i="16"/>
  <c r="H627" i="15"/>
  <c r="G180" i="16"/>
  <c r="H624" i="15"/>
  <c r="G176" i="16"/>
  <c r="H553" i="15"/>
  <c r="G167" i="16"/>
  <c r="H791" i="15"/>
  <c r="G466" i="16"/>
  <c r="H788" i="15"/>
  <c r="G462" i="16"/>
  <c r="H785" i="15"/>
  <c r="G458" i="16"/>
  <c r="H637" i="15"/>
  <c r="G221" i="16"/>
  <c r="H569" i="15"/>
  <c r="G208" i="16"/>
  <c r="H22" i="16"/>
  <c r="H358" i="15"/>
  <c r="G535" i="16"/>
  <c r="H356" i="15"/>
  <c r="H532" i="16" s="1"/>
  <c r="G532" i="16"/>
  <c r="H284" i="15"/>
  <c r="G618" i="16"/>
  <c r="H686" i="16"/>
  <c r="H605" i="15"/>
  <c r="H681" i="16" s="1"/>
  <c r="H247" i="15"/>
  <c r="H246" i="15" s="1"/>
  <c r="H245" i="15" s="1"/>
  <c r="H542" i="15"/>
  <c r="G902" i="5"/>
  <c r="G886" i="5"/>
  <c r="G752" i="5"/>
  <c r="G730" i="5"/>
  <c r="F816" i="14" l="1"/>
  <c r="G782" i="15"/>
  <c r="G282" i="15"/>
  <c r="F664" i="14"/>
  <c r="G833" i="16"/>
  <c r="F849" i="14"/>
  <c r="G899" i="14"/>
  <c r="G898" i="14" s="1"/>
  <c r="G897" i="14" s="1"/>
  <c r="H471" i="15"/>
  <c r="H470" i="15" s="1"/>
  <c r="H631" i="16"/>
  <c r="H632" i="16" s="1"/>
  <c r="G674" i="14"/>
  <c r="G673" i="14" s="1"/>
  <c r="G672" i="14" s="1"/>
  <c r="H291" i="15"/>
  <c r="H290" i="15" s="1"/>
  <c r="H898" i="16"/>
  <c r="H897" i="16" s="1"/>
  <c r="H896" i="16" s="1"/>
  <c r="H895" i="16" s="1"/>
  <c r="H894" i="16" s="1"/>
  <c r="G835" i="14"/>
  <c r="G834" i="14" s="1"/>
  <c r="G833" i="14" s="1"/>
  <c r="H413" i="15"/>
  <c r="H412" i="15" s="1"/>
  <c r="H843" i="16"/>
  <c r="H842" i="16" s="1"/>
  <c r="H841" i="16" s="1"/>
  <c r="G178" i="14"/>
  <c r="G177" i="14" s="1"/>
  <c r="G176" i="14" s="1"/>
  <c r="H917" i="16"/>
  <c r="H918" i="16" s="1"/>
  <c r="G199" i="14"/>
  <c r="G198" i="14" s="1"/>
  <c r="G197" i="14" s="1"/>
  <c r="H122" i="15"/>
  <c r="H121" i="15" s="1"/>
  <c r="H120" i="15" s="1"/>
  <c r="H481" i="16"/>
  <c r="H480" i="16" s="1"/>
  <c r="H479" i="16" s="1"/>
  <c r="H470" i="16" s="1"/>
  <c r="H469" i="16" s="1"/>
  <c r="H468" i="16" s="1"/>
  <c r="G944" i="14"/>
  <c r="G943" i="14" s="1"/>
  <c r="G942" i="14" s="1"/>
  <c r="G935" i="14" s="1"/>
  <c r="H800" i="15"/>
  <c r="H799" i="15" s="1"/>
  <c r="H233" i="16"/>
  <c r="H234" i="16" s="1"/>
  <c r="G579" i="14"/>
  <c r="G578" i="14" s="1"/>
  <c r="G577" i="14" s="1"/>
  <c r="H645" i="15"/>
  <c r="H644" i="15" s="1"/>
  <c r="H859" i="16"/>
  <c r="H860" i="16" s="1"/>
  <c r="G190" i="14"/>
  <c r="G189" i="14" s="1"/>
  <c r="G188" i="14" s="1"/>
  <c r="H241" i="15"/>
  <c r="H240" i="15" s="1"/>
  <c r="G920" i="14"/>
  <c r="G919" i="14" s="1"/>
  <c r="G918" i="14" s="1"/>
  <c r="H1057" i="15"/>
  <c r="H1056" i="15" s="1"/>
  <c r="H853" i="15"/>
  <c r="H852" i="15" s="1"/>
  <c r="G132" i="14"/>
  <c r="G131" i="14" s="1"/>
  <c r="G130" i="14" s="1"/>
  <c r="G981" i="14"/>
  <c r="G980" i="14" s="1"/>
  <c r="G979" i="14" s="1"/>
  <c r="H837" i="15"/>
  <c r="H836" i="15" s="1"/>
  <c r="G400" i="14"/>
  <c r="G399" i="14" s="1"/>
  <c r="G398" i="14" s="1"/>
  <c r="H971" i="15"/>
  <c r="H970" i="15" s="1"/>
  <c r="G846" i="14"/>
  <c r="G845" i="14" s="1"/>
  <c r="G844" i="14" s="1"/>
  <c r="H424" i="15"/>
  <c r="H423" i="15" s="1"/>
  <c r="H208" i="16"/>
  <c r="H207" i="16" s="1"/>
  <c r="H206" i="16" s="1"/>
  <c r="G502" i="14"/>
  <c r="G501" i="14" s="1"/>
  <c r="G500" i="14" s="1"/>
  <c r="H568" i="15"/>
  <c r="H567" i="15" s="1"/>
  <c r="H167" i="16"/>
  <c r="H166" i="16" s="1"/>
  <c r="H165" i="16" s="1"/>
  <c r="G486" i="14"/>
  <c r="G485" i="14" s="1"/>
  <c r="G484" i="14" s="1"/>
  <c r="H552" i="15"/>
  <c r="H551" i="15" s="1"/>
  <c r="H550" i="15" s="1"/>
  <c r="H851" i="16"/>
  <c r="H850" i="16" s="1"/>
  <c r="H849" i="16" s="1"/>
  <c r="G184" i="14"/>
  <c r="G183" i="14" s="1"/>
  <c r="G182" i="14" s="1"/>
  <c r="H755" i="16"/>
  <c r="H756" i="16" s="1"/>
  <c r="H1009" i="15"/>
  <c r="H1008" i="15" s="1"/>
  <c r="G438" i="14"/>
  <c r="G437" i="14" s="1"/>
  <c r="G436" i="14" s="1"/>
  <c r="H878" i="16"/>
  <c r="H879" i="16" s="1"/>
  <c r="G550" i="14"/>
  <c r="G549" i="14" s="1"/>
  <c r="G548" i="14" s="1"/>
  <c r="H616" i="15"/>
  <c r="H615" i="15" s="1"/>
  <c r="H570" i="16"/>
  <c r="H569" i="16" s="1"/>
  <c r="G800" i="14"/>
  <c r="G799" i="14" s="1"/>
  <c r="G883" i="14"/>
  <c r="G882" i="14" s="1"/>
  <c r="G881" i="14" s="1"/>
  <c r="H455" i="15"/>
  <c r="H454" i="15" s="1"/>
  <c r="H296" i="16"/>
  <c r="H297" i="16" s="1"/>
  <c r="G533" i="14"/>
  <c r="G532" i="14" s="1"/>
  <c r="G531" i="14" s="1"/>
  <c r="H599" i="15"/>
  <c r="H598" i="15" s="1"/>
  <c r="H525" i="16"/>
  <c r="H526" i="16" s="1"/>
  <c r="G773" i="14"/>
  <c r="G772" i="14" s="1"/>
  <c r="H351" i="15"/>
  <c r="H124" i="16"/>
  <c r="H125" i="16" s="1"/>
  <c r="G293" i="14"/>
  <c r="G292" i="14" s="1"/>
  <c r="G291" i="14" s="1"/>
  <c r="H261" i="15"/>
  <c r="H260" i="15" s="1"/>
  <c r="H292" i="16"/>
  <c r="H291" i="16" s="1"/>
  <c r="H290" i="16" s="1"/>
  <c r="G530" i="14"/>
  <c r="G529" i="14" s="1"/>
  <c r="G528" i="14" s="1"/>
  <c r="H596" i="15"/>
  <c r="H595" i="15" s="1"/>
  <c r="H1086" i="15"/>
  <c r="G35" i="14"/>
  <c r="G34" i="14" s="1"/>
  <c r="G745" i="14"/>
  <c r="G744" i="14" s="1"/>
  <c r="G743" i="14" s="1"/>
  <c r="H752" i="15"/>
  <c r="H751" i="15" s="1"/>
  <c r="G841" i="14"/>
  <c r="G840" i="14" s="1"/>
  <c r="G839" i="14" s="1"/>
  <c r="H419" i="15"/>
  <c r="H418" i="15" s="1"/>
  <c r="G871" i="14"/>
  <c r="G870" i="14" s="1"/>
  <c r="G869" i="14" s="1"/>
  <c r="H195" i="15"/>
  <c r="H194" i="15" s="1"/>
  <c r="H193" i="15" s="1"/>
  <c r="H192" i="15" s="1"/>
  <c r="H191" i="15" s="1"/>
  <c r="G468" i="14"/>
  <c r="G467" i="14" s="1"/>
  <c r="H1039" i="15"/>
  <c r="G851" i="14"/>
  <c r="G850" i="14" s="1"/>
  <c r="H429" i="15"/>
  <c r="G858" i="14"/>
  <c r="G857" i="14" s="1"/>
  <c r="G856" i="14" s="1"/>
  <c r="H436" i="15"/>
  <c r="H435" i="15" s="1"/>
  <c r="H618" i="16"/>
  <c r="H619" i="16" s="1"/>
  <c r="G666" i="14"/>
  <c r="G665" i="14" s="1"/>
  <c r="H283" i="15"/>
  <c r="H535" i="16"/>
  <c r="H536" i="16" s="1"/>
  <c r="G779" i="14"/>
  <c r="G778" i="14" s="1"/>
  <c r="G775" i="14" s="1"/>
  <c r="H357" i="15"/>
  <c r="H354" i="15" s="1"/>
  <c r="H445" i="16"/>
  <c r="H444" i="16" s="1"/>
  <c r="H443" i="16" s="1"/>
  <c r="G904" i="14"/>
  <c r="G903" i="14" s="1"/>
  <c r="G902" i="14" s="1"/>
  <c r="H201" i="15"/>
  <c r="H200" i="15" s="1"/>
  <c r="H270" i="16"/>
  <c r="H271" i="16" s="1"/>
  <c r="G516" i="14"/>
  <c r="G515" i="14" s="1"/>
  <c r="G514" i="14" s="1"/>
  <c r="H582" i="15"/>
  <c r="H581" i="15" s="1"/>
  <c r="H606" i="16"/>
  <c r="H607" i="16" s="1"/>
  <c r="G822" i="14"/>
  <c r="G821" i="14" s="1"/>
  <c r="G820" i="14" s="1"/>
  <c r="H400" i="15"/>
  <c r="H399" i="15" s="1"/>
  <c r="H542" i="16"/>
  <c r="H541" i="16" s="1"/>
  <c r="H540" i="16" s="1"/>
  <c r="H537" i="16" s="1"/>
  <c r="G783" i="14"/>
  <c r="G782" i="14" s="1"/>
  <c r="G781" i="14" s="1"/>
  <c r="H361" i="15"/>
  <c r="H360" i="15" s="1"/>
  <c r="H34" i="16"/>
  <c r="H33" i="16" s="1"/>
  <c r="H32" i="16" s="1"/>
  <c r="G712" i="14"/>
  <c r="G711" i="14" s="1"/>
  <c r="G710" i="14" s="1"/>
  <c r="H326" i="15"/>
  <c r="H325" i="15" s="1"/>
  <c r="H624" i="16"/>
  <c r="H625" i="16" s="1"/>
  <c r="G670" i="14"/>
  <c r="G669" i="14" s="1"/>
  <c r="H287" i="15"/>
  <c r="H774" i="16"/>
  <c r="H773" i="16" s="1"/>
  <c r="H772" i="16" s="1"/>
  <c r="H771" i="16" s="1"/>
  <c r="H770" i="16" s="1"/>
  <c r="H769" i="16" s="1"/>
  <c r="G254" i="14"/>
  <c r="G253" i="14" s="1"/>
  <c r="G252" i="14" s="1"/>
  <c r="G251" i="14" s="1"/>
  <c r="H172" i="15"/>
  <c r="H171" i="15" s="1"/>
  <c r="H883" i="16"/>
  <c r="H882" i="16" s="1"/>
  <c r="H881" i="16" s="1"/>
  <c r="H880" i="16" s="1"/>
  <c r="G631" i="14"/>
  <c r="G630" i="14" s="1"/>
  <c r="G629" i="14" s="1"/>
  <c r="H697" i="15"/>
  <c r="H696" i="15" s="1"/>
  <c r="H567" i="16"/>
  <c r="H568" i="16" s="1"/>
  <c r="G798" i="14"/>
  <c r="G797" i="14" s="1"/>
  <c r="H648" i="16"/>
  <c r="H649" i="16" s="1"/>
  <c r="G684" i="14"/>
  <c r="G683" i="14" s="1"/>
  <c r="G682" i="14" s="1"/>
  <c r="H301" i="15"/>
  <c r="H300" i="15" s="1"/>
  <c r="H763" i="16"/>
  <c r="H764" i="16" s="1"/>
  <c r="G247" i="14"/>
  <c r="G246" i="14" s="1"/>
  <c r="G245" i="14" s="1"/>
  <c r="H165" i="15"/>
  <c r="H164" i="15" s="1"/>
  <c r="H721" i="16"/>
  <c r="H720" i="16" s="1"/>
  <c r="H719" i="16" s="1"/>
  <c r="H986" i="15"/>
  <c r="H985" i="15" s="1"/>
  <c r="G415" i="14"/>
  <c r="G414" i="14" s="1"/>
  <c r="G413" i="14" s="1"/>
  <c r="H888" i="16"/>
  <c r="H887" i="16" s="1"/>
  <c r="H886" i="16" s="1"/>
  <c r="H885" i="16" s="1"/>
  <c r="G705" i="14"/>
  <c r="G704" i="14" s="1"/>
  <c r="G703" i="14" s="1"/>
  <c r="H731" i="15"/>
  <c r="H730" i="15" s="1"/>
  <c r="H433" i="16"/>
  <c r="H432" i="16" s="1"/>
  <c r="H431" i="16" s="1"/>
  <c r="G93" i="14"/>
  <c r="G92" i="14" s="1"/>
  <c r="G91" i="14" s="1"/>
  <c r="H82" i="15"/>
  <c r="H81" i="15" s="1"/>
  <c r="G118" i="14"/>
  <c r="G117" i="14" s="1"/>
  <c r="G116" i="14" s="1"/>
  <c r="H22" i="15"/>
  <c r="H21" i="15" s="1"/>
  <c r="G853" i="14"/>
  <c r="G852" i="14" s="1"/>
  <c r="H431" i="15"/>
  <c r="H1070" i="15"/>
  <c r="H1069" i="15" s="1"/>
  <c r="G19" i="14"/>
  <c r="G18" i="14" s="1"/>
  <c r="G761" i="14"/>
  <c r="G760" i="14" s="1"/>
  <c r="G759" i="14" s="1"/>
  <c r="H768" i="15"/>
  <c r="H767" i="15" s="1"/>
  <c r="G158" i="14"/>
  <c r="G157" i="14" s="1"/>
  <c r="G156" i="14" s="1"/>
  <c r="H113" i="15"/>
  <c r="H112" i="15" s="1"/>
  <c r="G725" i="14"/>
  <c r="G724" i="14" s="1"/>
  <c r="G723" i="14" s="1"/>
  <c r="H339" i="15"/>
  <c r="H338" i="15" s="1"/>
  <c r="H744" i="16"/>
  <c r="H745" i="16" s="1"/>
  <c r="H1002" i="15"/>
  <c r="H1001" i="15" s="1"/>
  <c r="G431" i="14"/>
  <c r="G430" i="14" s="1"/>
  <c r="G429" i="14" s="1"/>
  <c r="H577" i="16"/>
  <c r="H576" i="16" s="1"/>
  <c r="H575" i="16" s="1"/>
  <c r="G804" i="14"/>
  <c r="G803" i="14" s="1"/>
  <c r="G802" i="14" s="1"/>
  <c r="H382" i="15"/>
  <c r="H381" i="15" s="1"/>
  <c r="H522" i="16"/>
  <c r="H523" i="16" s="1"/>
  <c r="G771" i="14"/>
  <c r="G770" i="14" s="1"/>
  <c r="H349" i="15"/>
  <c r="H423" i="16"/>
  <c r="H422" i="16" s="1"/>
  <c r="G87" i="14"/>
  <c r="G86" i="14" s="1"/>
  <c r="H76" i="15"/>
  <c r="G702" i="14"/>
  <c r="G701" i="14" s="1"/>
  <c r="G700" i="14" s="1"/>
  <c r="H319" i="15"/>
  <c r="H318" i="15" s="1"/>
  <c r="H48" i="16"/>
  <c r="H47" i="16" s="1"/>
  <c r="G721" i="14"/>
  <c r="G720" i="14" s="1"/>
  <c r="H335" i="15"/>
  <c r="H91" i="15"/>
  <c r="H90" i="15" s="1"/>
  <c r="H390" i="15"/>
  <c r="H389" i="15" s="1"/>
  <c r="G812" i="14"/>
  <c r="G811" i="14" s="1"/>
  <c r="G810" i="14" s="1"/>
  <c r="G115" i="14"/>
  <c r="G114" i="14" s="1"/>
  <c r="H19" i="15"/>
  <c r="H1044" i="15"/>
  <c r="H1043" i="15" s="1"/>
  <c r="G473" i="14"/>
  <c r="G472" i="14" s="1"/>
  <c r="G471" i="14" s="1"/>
  <c r="G48" i="14"/>
  <c r="G47" i="14" s="1"/>
  <c r="H40" i="15"/>
  <c r="G449" i="14"/>
  <c r="G448" i="14" s="1"/>
  <c r="H1020" i="15"/>
  <c r="H832" i="16"/>
  <c r="H833" i="16" s="1"/>
  <c r="H541" i="15"/>
  <c r="H540" i="15" s="1"/>
  <c r="G172" i="14"/>
  <c r="G171" i="14" s="1"/>
  <c r="G170" i="14" s="1"/>
  <c r="H458" i="16"/>
  <c r="H457" i="16" s="1"/>
  <c r="H456" i="16" s="1"/>
  <c r="G928" i="14"/>
  <c r="G927" i="14" s="1"/>
  <c r="G926" i="14" s="1"/>
  <c r="H784" i="15"/>
  <c r="H783" i="15" s="1"/>
  <c r="H466" i="16"/>
  <c r="H465" i="16" s="1"/>
  <c r="H464" i="16" s="1"/>
  <c r="G934" i="14"/>
  <c r="G933" i="14" s="1"/>
  <c r="G932" i="14" s="1"/>
  <c r="H790" i="15"/>
  <c r="H789" i="15" s="1"/>
  <c r="H180" i="16"/>
  <c r="H181" i="16" s="1"/>
  <c r="G560" i="14"/>
  <c r="G559" i="14" s="1"/>
  <c r="G558" i="14" s="1"/>
  <c r="H626" i="15"/>
  <c r="H625" i="15" s="1"/>
  <c r="H707" i="16"/>
  <c r="H706" i="16" s="1"/>
  <c r="H705" i="16" s="1"/>
  <c r="H977" i="15"/>
  <c r="H976" i="15" s="1"/>
  <c r="G406" i="14"/>
  <c r="G405" i="14" s="1"/>
  <c r="G404" i="14" s="1"/>
  <c r="H621" i="16"/>
  <c r="H622" i="16" s="1"/>
  <c r="G668" i="14"/>
  <c r="G667" i="14" s="1"/>
  <c r="H285" i="15"/>
  <c r="H367" i="16"/>
  <c r="H368" i="16" s="1"/>
  <c r="G621" i="14"/>
  <c r="G620" i="14" s="1"/>
  <c r="G619" i="14" s="1"/>
  <c r="G618" i="14" s="1"/>
  <c r="H687" i="15"/>
  <c r="H686" i="15" s="1"/>
  <c r="G570" i="14"/>
  <c r="G569" i="14" s="1"/>
  <c r="G568" i="14" s="1"/>
  <c r="H636" i="15"/>
  <c r="H635" i="15" s="1"/>
  <c r="H462" i="16"/>
  <c r="H463" i="16" s="1"/>
  <c r="G931" i="14"/>
  <c r="G930" i="14" s="1"/>
  <c r="G929" i="14" s="1"/>
  <c r="H787" i="15"/>
  <c r="H786" i="15" s="1"/>
  <c r="H172" i="16"/>
  <c r="G488" i="14"/>
  <c r="G487" i="14" s="1"/>
  <c r="H176" i="16"/>
  <c r="H175" i="16" s="1"/>
  <c r="H174" i="16" s="1"/>
  <c r="G557" i="14"/>
  <c r="G556" i="14" s="1"/>
  <c r="G555" i="14" s="1"/>
  <c r="H623" i="15"/>
  <c r="H622" i="15" s="1"/>
  <c r="H184" i="16"/>
  <c r="H183" i="16" s="1"/>
  <c r="H182" i="16" s="1"/>
  <c r="G563" i="14"/>
  <c r="G562" i="14" s="1"/>
  <c r="G561" i="14" s="1"/>
  <c r="H629" i="15"/>
  <c r="H628" i="15" s="1"/>
  <c r="H729" i="16"/>
  <c r="H728" i="16" s="1"/>
  <c r="H727" i="16" s="1"/>
  <c r="H991" i="15"/>
  <c r="H990" i="15" s="1"/>
  <c r="G420" i="14"/>
  <c r="G419" i="14" s="1"/>
  <c r="G418" i="14" s="1"/>
  <c r="H86" i="16"/>
  <c r="H87" i="16" s="1"/>
  <c r="G892" i="14"/>
  <c r="G891" i="14" s="1"/>
  <c r="G890" i="14" s="1"/>
  <c r="G889" i="14" s="1"/>
  <c r="H464" i="15"/>
  <c r="H463" i="15" s="1"/>
  <c r="H591" i="16"/>
  <c r="H590" i="16" s="1"/>
  <c r="H589" i="16" s="1"/>
  <c r="H414" i="16"/>
  <c r="H413" i="16" s="1"/>
  <c r="H412" i="16" s="1"/>
  <c r="H1075" i="15"/>
  <c r="H1074" i="15" s="1"/>
  <c r="G24" i="14"/>
  <c r="G23" i="14" s="1"/>
  <c r="G22" i="14" s="1"/>
  <c r="H584" i="16"/>
  <c r="H585" i="16" s="1"/>
  <c r="G808" i="14"/>
  <c r="G807" i="14" s="1"/>
  <c r="G806" i="14" s="1"/>
  <c r="H386" i="15"/>
  <c r="H385" i="15" s="1"/>
  <c r="H638" i="16"/>
  <c r="H637" i="16" s="1"/>
  <c r="G678" i="14"/>
  <c r="G677" i="14" s="1"/>
  <c r="G676" i="14" s="1"/>
  <c r="H295" i="15"/>
  <c r="H294" i="15" s="1"/>
  <c r="G456" i="14"/>
  <c r="G455" i="14" s="1"/>
  <c r="G454" i="14" s="1"/>
  <c r="H1027" i="15"/>
  <c r="H1026" i="15" s="1"/>
  <c r="G855" i="14"/>
  <c r="G854" i="14" s="1"/>
  <c r="H433" i="15"/>
  <c r="G56" i="14"/>
  <c r="G55" i="14" s="1"/>
  <c r="G54" i="14" s="1"/>
  <c r="H48" i="15"/>
  <c r="H47" i="15" s="1"/>
  <c r="G240" i="14"/>
  <c r="G239" i="14" s="1"/>
  <c r="G238" i="14" s="1"/>
  <c r="H158" i="15"/>
  <c r="H157" i="15" s="1"/>
  <c r="H1100" i="15"/>
  <c r="H1099" i="15" s="1"/>
  <c r="G107" i="14"/>
  <c r="G106" i="14" s="1"/>
  <c r="G105" i="14" s="1"/>
  <c r="G451" i="14"/>
  <c r="G450" i="14" s="1"/>
  <c r="H1022" i="15"/>
  <c r="H393" i="15"/>
  <c r="H392" i="15" s="1"/>
  <c r="G815" i="14"/>
  <c r="G814" i="14" s="1"/>
  <c r="G813" i="14" s="1"/>
  <c r="H1097" i="15"/>
  <c r="G104" i="14"/>
  <c r="G103" i="14" s="1"/>
  <c r="H825" i="15"/>
  <c r="H824" i="15" s="1"/>
  <c r="G969" i="14"/>
  <c r="G968" i="14" s="1"/>
  <c r="G967" i="14" s="1"/>
  <c r="G428" i="15"/>
  <c r="G16" i="14"/>
  <c r="G15" i="14" s="1"/>
  <c r="H1067" i="15"/>
  <c r="G228" i="14"/>
  <c r="G227" i="14" s="1"/>
  <c r="G226" i="14" s="1"/>
  <c r="H146" i="15"/>
  <c r="H145" i="15" s="1"/>
  <c r="H549" i="16"/>
  <c r="H550" i="16" s="1"/>
  <c r="H365" i="15"/>
  <c r="H364" i="15" s="1"/>
  <c r="G787" i="14"/>
  <c r="G786" i="14" s="1"/>
  <c r="G785" i="14" s="1"/>
  <c r="H610" i="16"/>
  <c r="H611" i="16" s="1"/>
  <c r="H403" i="15"/>
  <c r="H402" i="15" s="1"/>
  <c r="G825" i="14"/>
  <c r="G824" i="14" s="1"/>
  <c r="G823" i="14" s="1"/>
  <c r="H225" i="16"/>
  <c r="H226" i="16" s="1"/>
  <c r="G573" i="14"/>
  <c r="G572" i="14" s="1"/>
  <c r="G571" i="14" s="1"/>
  <c r="H639" i="15"/>
  <c r="H638" i="15" s="1"/>
  <c r="H246" i="16"/>
  <c r="H247" i="16" s="1"/>
  <c r="G645" i="14"/>
  <c r="G644" i="14" s="1"/>
  <c r="G643" i="14" s="1"/>
  <c r="H711" i="15"/>
  <c r="H710" i="15" s="1"/>
  <c r="H200" i="16"/>
  <c r="H199" i="16" s="1"/>
  <c r="H198" i="16" s="1"/>
  <c r="H562" i="15"/>
  <c r="H561" i="15" s="1"/>
  <c r="G496" i="14"/>
  <c r="G495" i="14" s="1"/>
  <c r="G494" i="14" s="1"/>
  <c r="H736" i="16"/>
  <c r="H737" i="16" s="1"/>
  <c r="H996" i="15"/>
  <c r="H847" i="16"/>
  <c r="H846" i="16" s="1"/>
  <c r="H845" i="16" s="1"/>
  <c r="H235" i="15"/>
  <c r="H234" i="15" s="1"/>
  <c r="H221" i="16"/>
  <c r="H220" i="16" s="1"/>
  <c r="H219" i="16" s="1"/>
  <c r="G341" i="14"/>
  <c r="G340" i="14" s="1"/>
  <c r="G339" i="14" s="1"/>
  <c r="H37" i="16"/>
  <c r="H36" i="16" s="1"/>
  <c r="H265" i="16"/>
  <c r="H264" i="16" s="1"/>
  <c r="H116" i="16"/>
  <c r="H115" i="16" s="1"/>
  <c r="H713" i="16"/>
  <c r="G677" i="16"/>
  <c r="G670" i="16" s="1"/>
  <c r="G669" i="16" s="1"/>
  <c r="H489" i="16"/>
  <c r="H134" i="16"/>
  <c r="H133" i="16" s="1"/>
  <c r="H132" i="16" s="1"/>
  <c r="H131" i="16" s="1"/>
  <c r="H276" i="16"/>
  <c r="H275" i="16" s="1"/>
  <c r="H16" i="16"/>
  <c r="H112" i="16"/>
  <c r="H111" i="16" s="1"/>
  <c r="H856" i="16"/>
  <c r="H478" i="16"/>
  <c r="H816" i="16"/>
  <c r="H815" i="16" s="1"/>
  <c r="H814" i="16" s="1"/>
  <c r="H813" i="16" s="1"/>
  <c r="H812" i="16" s="1"/>
  <c r="G870" i="16"/>
  <c r="G869" i="16" s="1"/>
  <c r="G864" i="16" s="1"/>
  <c r="G863" i="16" s="1"/>
  <c r="G862" i="16" s="1"/>
  <c r="G872" i="16"/>
  <c r="G521" i="16"/>
  <c r="G523" i="16"/>
  <c r="G422" i="16"/>
  <c r="G424" i="16"/>
  <c r="G846" i="16"/>
  <c r="G845" i="16" s="1"/>
  <c r="G848" i="16"/>
  <c r="G899" i="16"/>
  <c r="G897" i="16"/>
  <c r="G896" i="16" s="1"/>
  <c r="G895" i="16" s="1"/>
  <c r="G894" i="16" s="1"/>
  <c r="G842" i="16"/>
  <c r="G841" i="16" s="1"/>
  <c r="G844" i="16"/>
  <c r="G234" i="16"/>
  <c r="G232" i="16"/>
  <c r="G231" i="16" s="1"/>
  <c r="H55" i="16"/>
  <c r="H14" i="17"/>
  <c r="H13" i="17" s="1"/>
  <c r="H12" i="17" s="1"/>
  <c r="H11" i="17" s="1"/>
  <c r="H10" i="17" s="1"/>
  <c r="H9" i="17" s="1"/>
  <c r="G70" i="16"/>
  <c r="G69" i="16" s="1"/>
  <c r="G68" i="16" s="1"/>
  <c r="G67" i="16" s="1"/>
  <c r="G72" i="16"/>
  <c r="G297" i="16"/>
  <c r="G295" i="16"/>
  <c r="G294" i="16" s="1"/>
  <c r="G125" i="16"/>
  <c r="G123" i="16"/>
  <c r="G122" i="16" s="1"/>
  <c r="G293" i="16"/>
  <c r="G291" i="16"/>
  <c r="G290" i="16" s="1"/>
  <c r="H38" i="17"/>
  <c r="H97" i="16"/>
  <c r="H750" i="16"/>
  <c r="H749" i="16" s="1"/>
  <c r="H752" i="16"/>
  <c r="H324" i="16"/>
  <c r="H811" i="16"/>
  <c r="G444" i="16"/>
  <c r="G443" i="16" s="1"/>
  <c r="G446" i="16"/>
  <c r="G271" i="16"/>
  <c r="G269" i="16"/>
  <c r="G268" i="16" s="1"/>
  <c r="H20" i="17"/>
  <c r="H19" i="17" s="1"/>
  <c r="H18" i="17" s="1"/>
  <c r="H17" i="17" s="1"/>
  <c r="H16" i="17" s="1"/>
  <c r="H15" i="17" s="1"/>
  <c r="H71" i="16"/>
  <c r="H436" i="16"/>
  <c r="H435" i="16" s="1"/>
  <c r="H438" i="16"/>
  <c r="G607" i="16"/>
  <c r="G605" i="16"/>
  <c r="G604" i="16" s="1"/>
  <c r="G541" i="16"/>
  <c r="G540" i="16" s="1"/>
  <c r="G537" i="16" s="1"/>
  <c r="G543" i="16"/>
  <c r="G35" i="16"/>
  <c r="G33" i="16"/>
  <c r="G32" i="16" s="1"/>
  <c r="G394" i="16"/>
  <c r="G393" i="16" s="1"/>
  <c r="G396" i="16"/>
  <c r="G594" i="16"/>
  <c r="G593" i="16" s="1"/>
  <c r="G596" i="16"/>
  <c r="G623" i="16"/>
  <c r="G625" i="16"/>
  <c r="G775" i="16"/>
  <c r="G773" i="16"/>
  <c r="G772" i="16" s="1"/>
  <c r="G771" i="16" s="1"/>
  <c r="G770" i="16" s="1"/>
  <c r="G769" i="16" s="1"/>
  <c r="G882" i="16"/>
  <c r="G881" i="16" s="1"/>
  <c r="G880" i="16" s="1"/>
  <c r="G884" i="16"/>
  <c r="G566" i="16"/>
  <c r="G568" i="16"/>
  <c r="G647" i="16"/>
  <c r="G646" i="16" s="1"/>
  <c r="G649" i="16"/>
  <c r="G762" i="16"/>
  <c r="G761" i="16" s="1"/>
  <c r="G764" i="16"/>
  <c r="G722" i="16"/>
  <c r="G720" i="16"/>
  <c r="G719" i="16" s="1"/>
  <c r="G889" i="16"/>
  <c r="G887" i="16"/>
  <c r="G886" i="16" s="1"/>
  <c r="G885" i="16" s="1"/>
  <c r="G37" i="16"/>
  <c r="G36" i="16" s="1"/>
  <c r="G39" i="16"/>
  <c r="G432" i="16"/>
  <c r="G431" i="16" s="1"/>
  <c r="G434" i="16"/>
  <c r="H871" i="16"/>
  <c r="G195" i="14"/>
  <c r="G54" i="16"/>
  <c r="G53" i="16" s="1"/>
  <c r="G56" i="16"/>
  <c r="G745" i="16"/>
  <c r="G743" i="16"/>
  <c r="G742" i="16" s="1"/>
  <c r="G578" i="16"/>
  <c r="G576" i="16"/>
  <c r="G575" i="16" s="1"/>
  <c r="G632" i="16"/>
  <c r="G630" i="16"/>
  <c r="G629" i="16" s="1"/>
  <c r="G750" i="16"/>
  <c r="G749" i="16" s="1"/>
  <c r="G752" i="16"/>
  <c r="G49" i="16"/>
  <c r="G47" i="16"/>
  <c r="G918" i="16"/>
  <c r="G916" i="16"/>
  <c r="G915" i="16" s="1"/>
  <c r="G914" i="16" s="1"/>
  <c r="G913" i="16" s="1"/>
  <c r="G912" i="16" s="1"/>
  <c r="G480" i="16"/>
  <c r="G479" i="16" s="1"/>
  <c r="G482" i="16"/>
  <c r="G858" i="16"/>
  <c r="G857" i="16" s="1"/>
  <c r="G860" i="16"/>
  <c r="H140" i="16"/>
  <c r="G754" i="16"/>
  <c r="G753" i="16" s="1"/>
  <c r="G756" i="16"/>
  <c r="G706" i="16"/>
  <c r="G705" i="16" s="1"/>
  <c r="G708" i="16"/>
  <c r="G879" i="16"/>
  <c r="G877" i="16"/>
  <c r="G876" i="16" s="1"/>
  <c r="G875" i="16" s="1"/>
  <c r="G571" i="16"/>
  <c r="G569" i="16"/>
  <c r="G620" i="16"/>
  <c r="G622" i="16"/>
  <c r="G436" i="16"/>
  <c r="G435" i="16" s="1"/>
  <c r="G438" i="16"/>
  <c r="G524" i="16"/>
  <c r="G526" i="16"/>
  <c r="G366" i="16"/>
  <c r="G365" i="16" s="1"/>
  <c r="G368" i="16"/>
  <c r="G730" i="16"/>
  <c r="G728" i="16"/>
  <c r="G727" i="16" s="1"/>
  <c r="G247" i="16"/>
  <c r="G245" i="16"/>
  <c r="G244" i="16" s="1"/>
  <c r="G201" i="16"/>
  <c r="G199" i="16"/>
  <c r="G198" i="16" s="1"/>
  <c r="G85" i="16"/>
  <c r="G84" i="16" s="1"/>
  <c r="G87" i="16"/>
  <c r="G592" i="16"/>
  <c r="G590" i="16"/>
  <c r="G589" i="16" s="1"/>
  <c r="G415" i="16"/>
  <c r="G413" i="16"/>
  <c r="G412" i="16" s="1"/>
  <c r="G585" i="16"/>
  <c r="G583" i="16"/>
  <c r="G582" i="16" s="1"/>
  <c r="G637" i="16"/>
  <c r="G639" i="16"/>
  <c r="G737" i="16"/>
  <c r="G735" i="16"/>
  <c r="G224" i="16"/>
  <c r="G223" i="16" s="1"/>
  <c r="G226" i="16"/>
  <c r="G98" i="16"/>
  <c r="G96" i="16"/>
  <c r="G95" i="16" s="1"/>
  <c r="G94" i="16" s="1"/>
  <c r="G93" i="16" s="1"/>
  <c r="H394" i="16"/>
  <c r="H393" i="16" s="1"/>
  <c r="H396" i="16"/>
  <c r="H596" i="16"/>
  <c r="H594" i="16"/>
  <c r="H593" i="16" s="1"/>
  <c r="G854" i="16"/>
  <c r="G853" i="16" s="1"/>
  <c r="G856" i="16"/>
  <c r="G398" i="16"/>
  <c r="G397" i="16" s="1"/>
  <c r="G400" i="16"/>
  <c r="H398" i="16"/>
  <c r="H397" i="16" s="1"/>
  <c r="H400" i="16"/>
  <c r="G159" i="16"/>
  <c r="G157" i="16"/>
  <c r="G156" i="16" s="1"/>
  <c r="H157" i="16"/>
  <c r="H156" i="16" s="1"/>
  <c r="H159" i="16"/>
  <c r="G850" i="16"/>
  <c r="G849" i="16" s="1"/>
  <c r="G852" i="16"/>
  <c r="G112" i="16"/>
  <c r="G111" i="16" s="1"/>
  <c r="G114" i="16"/>
  <c r="G118" i="16"/>
  <c r="G116" i="16"/>
  <c r="G115" i="16" s="1"/>
  <c r="G134" i="16"/>
  <c r="G133" i="16" s="1"/>
  <c r="G136" i="16"/>
  <c r="G138" i="16"/>
  <c r="G137" i="16" s="1"/>
  <c r="G140" i="16"/>
  <c r="H129" i="16"/>
  <c r="G129" i="16"/>
  <c r="G127" i="16"/>
  <c r="G126" i="16" s="1"/>
  <c r="G267" i="16"/>
  <c r="G265" i="16"/>
  <c r="G264" i="16" s="1"/>
  <c r="G278" i="16"/>
  <c r="G276" i="16"/>
  <c r="G275" i="16" s="1"/>
  <c r="H682" i="16"/>
  <c r="H680" i="16"/>
  <c r="H679" i="16" s="1"/>
  <c r="H678" i="16" s="1"/>
  <c r="G322" i="16"/>
  <c r="G321" i="16" s="1"/>
  <c r="G324" i="16"/>
  <c r="G355" i="16"/>
  <c r="G354" i="16" s="1"/>
  <c r="G357" i="16"/>
  <c r="H355" i="16"/>
  <c r="H354" i="16" s="1"/>
  <c r="H357" i="16"/>
  <c r="G489" i="16"/>
  <c r="G487" i="16"/>
  <c r="G486" i="16" s="1"/>
  <c r="G472" i="16"/>
  <c r="G471" i="16" s="1"/>
  <c r="G474" i="16"/>
  <c r="H474" i="16"/>
  <c r="G476" i="16"/>
  <c r="G475" i="16" s="1"/>
  <c r="G478" i="16"/>
  <c r="G14" i="16"/>
  <c r="G13" i="16" s="1"/>
  <c r="G16" i="16"/>
  <c r="G811" i="16"/>
  <c r="G809" i="16"/>
  <c r="G808" i="16" s="1"/>
  <c r="G807" i="16" s="1"/>
  <c r="G806" i="16" s="1"/>
  <c r="G805" i="16" s="1"/>
  <c r="H823" i="16"/>
  <c r="H822" i="16" s="1"/>
  <c r="H821" i="16" s="1"/>
  <c r="H820" i="16" s="1"/>
  <c r="H819" i="16" s="1"/>
  <c r="G825" i="16"/>
  <c r="G823" i="16"/>
  <c r="G822" i="16" s="1"/>
  <c r="G821" i="16" s="1"/>
  <c r="G820" i="16" s="1"/>
  <c r="G819" i="16" s="1"/>
  <c r="G818" i="16"/>
  <c r="G816" i="16"/>
  <c r="G815" i="16" s="1"/>
  <c r="G814" i="16" s="1"/>
  <c r="G813" i="16" s="1"/>
  <c r="G812" i="16" s="1"/>
  <c r="G741" i="16"/>
  <c r="G739" i="16"/>
  <c r="G738" i="16" s="1"/>
  <c r="H741" i="16"/>
  <c r="H739" i="16"/>
  <c r="H738" i="16" s="1"/>
  <c r="G715" i="16"/>
  <c r="G713" i="16"/>
  <c r="G609" i="16"/>
  <c r="G608" i="16" s="1"/>
  <c r="G611" i="16"/>
  <c r="G550" i="16"/>
  <c r="G548" i="16"/>
  <c r="G547" i="16" s="1"/>
  <c r="H10" i="16"/>
  <c r="H12" i="16"/>
  <c r="H11" i="16" s="1"/>
  <c r="H685" i="16"/>
  <c r="H684" i="16" s="1"/>
  <c r="H683" i="16" s="1"/>
  <c r="H687" i="16"/>
  <c r="G183" i="16"/>
  <c r="G182" i="16" s="1"/>
  <c r="G185" i="16"/>
  <c r="G181" i="16"/>
  <c r="G179" i="16"/>
  <c r="G178" i="16" s="1"/>
  <c r="G177" i="16"/>
  <c r="G175" i="16"/>
  <c r="G174" i="16" s="1"/>
  <c r="G166" i="16"/>
  <c r="G165" i="16" s="1"/>
  <c r="G168" i="16"/>
  <c r="G170" i="16"/>
  <c r="G169" i="16" s="1"/>
  <c r="G172" i="16"/>
  <c r="G465" i="16"/>
  <c r="G464" i="16" s="1"/>
  <c r="G467" i="16"/>
  <c r="G463" i="16"/>
  <c r="G461" i="16"/>
  <c r="G460" i="16" s="1"/>
  <c r="G457" i="16"/>
  <c r="G456" i="16" s="1"/>
  <c r="G459" i="16"/>
  <c r="G222" i="16"/>
  <c r="G220" i="16"/>
  <c r="G219" i="16" s="1"/>
  <c r="G209" i="16"/>
  <c r="G207" i="16"/>
  <c r="G206" i="16" s="1"/>
  <c r="H21" i="16"/>
  <c r="H23" i="16"/>
  <c r="G536" i="16"/>
  <c r="G534" i="16"/>
  <c r="H533" i="16"/>
  <c r="H531" i="16"/>
  <c r="H530" i="16" s="1"/>
  <c r="G531" i="16"/>
  <c r="G530" i="16" s="1"/>
  <c r="G533" i="16"/>
  <c r="G617" i="16"/>
  <c r="G619" i="16"/>
  <c r="G885" i="5"/>
  <c r="G753" i="5"/>
  <c r="G903" i="5"/>
  <c r="G901" i="5"/>
  <c r="G887" i="5"/>
  <c r="G717" i="5"/>
  <c r="G723" i="5"/>
  <c r="G679" i="5"/>
  <c r="G669" i="5"/>
  <c r="G662" i="5"/>
  <c r="G655" i="5"/>
  <c r="G652" i="5"/>
  <c r="G649" i="5"/>
  <c r="G608" i="5"/>
  <c r="G615" i="5"/>
  <c r="G622" i="5"/>
  <c r="G626" i="5"/>
  <c r="G637" i="5"/>
  <c r="G641" i="5"/>
  <c r="G248" i="5"/>
  <c r="G15" i="5"/>
  <c r="F895" i="3"/>
  <c r="F1025" i="3"/>
  <c r="F1013" i="3"/>
  <c r="G816" i="14" l="1"/>
  <c r="G599" i="16"/>
  <c r="H395" i="15"/>
  <c r="H848" i="16"/>
  <c r="H295" i="16"/>
  <c r="H294" i="16" s="1"/>
  <c r="H289" i="16" s="1"/>
  <c r="H288" i="16" s="1"/>
  <c r="H287" i="16" s="1"/>
  <c r="H708" i="16"/>
  <c r="H743" i="16"/>
  <c r="H742" i="16" s="1"/>
  <c r="H730" i="16"/>
  <c r="H620" i="16"/>
  <c r="H844" i="16"/>
  <c r="H185" i="16"/>
  <c r="H415" i="16"/>
  <c r="H467" i="16"/>
  <c r="H722" i="16"/>
  <c r="H446" i="16"/>
  <c r="H170" i="16"/>
  <c r="H169" i="16" s="1"/>
  <c r="H164" i="16" s="1"/>
  <c r="H35" i="16"/>
  <c r="H366" i="16"/>
  <c r="H365" i="16" s="1"/>
  <c r="H362" i="16" s="1"/>
  <c r="H623" i="16"/>
  <c r="H609" i="16"/>
  <c r="H608" i="16" s="1"/>
  <c r="H889" i="16"/>
  <c r="H269" i="16"/>
  <c r="H268" i="16" s="1"/>
  <c r="H482" i="16"/>
  <c r="H524" i="16"/>
  <c r="H899" i="16"/>
  <c r="H583" i="16"/>
  <c r="H582" i="16" s="1"/>
  <c r="H581" i="16" s="1"/>
  <c r="H580" i="16" s="1"/>
  <c r="H521" i="16"/>
  <c r="H592" i="16"/>
  <c r="H31" i="16"/>
  <c r="H30" i="16" s="1"/>
  <c r="H29" i="16" s="1"/>
  <c r="H209" i="16"/>
  <c r="H224" i="16"/>
  <c r="H223" i="16" s="1"/>
  <c r="H232" i="16"/>
  <c r="H231" i="16" s="1"/>
  <c r="H534" i="16"/>
  <c r="H527" i="16" s="1"/>
  <c r="H434" i="16"/>
  <c r="H123" i="16"/>
  <c r="H122" i="16" s="1"/>
  <c r="H119" i="16" s="1"/>
  <c r="H754" i="16"/>
  <c r="H753" i="16" s="1"/>
  <c r="H748" i="16" s="1"/>
  <c r="H747" i="16" s="1"/>
  <c r="H746" i="16" s="1"/>
  <c r="H424" i="16"/>
  <c r="H461" i="16"/>
  <c r="H460" i="16" s="1"/>
  <c r="H455" i="16" s="1"/>
  <c r="H454" i="16" s="1"/>
  <c r="H453" i="16" s="1"/>
  <c r="H884" i="16"/>
  <c r="H639" i="16"/>
  <c r="H85" i="16"/>
  <c r="H84" i="16" s="1"/>
  <c r="H83" i="16" s="1"/>
  <c r="H82" i="16" s="1"/>
  <c r="H877" i="16"/>
  <c r="H876" i="16" s="1"/>
  <c r="H875" i="16" s="1"/>
  <c r="H874" i="16" s="1"/>
  <c r="H916" i="16"/>
  <c r="H915" i="16" s="1"/>
  <c r="H914" i="16" s="1"/>
  <c r="H913" i="16" s="1"/>
  <c r="H912" i="16" s="1"/>
  <c r="H647" i="16"/>
  <c r="H646" i="16" s="1"/>
  <c r="H643" i="16" s="1"/>
  <c r="H459" i="16"/>
  <c r="H168" i="16"/>
  <c r="G430" i="16"/>
  <c r="G429" i="16" s="1"/>
  <c r="G428" i="16" s="1"/>
  <c r="H245" i="16"/>
  <c r="H244" i="16" s="1"/>
  <c r="H293" i="16"/>
  <c r="H548" i="16"/>
  <c r="H547" i="16" s="1"/>
  <c r="H544" i="16" s="1"/>
  <c r="H539" i="16" s="1"/>
  <c r="H538" i="16" s="1"/>
  <c r="H566" i="16"/>
  <c r="H543" i="16"/>
  <c r="H630" i="16"/>
  <c r="H629" i="16" s="1"/>
  <c r="H628" i="16" s="1"/>
  <c r="H627" i="16" s="1"/>
  <c r="H201" i="16"/>
  <c r="H428" i="15"/>
  <c r="H571" i="16"/>
  <c r="G664" i="14"/>
  <c r="H177" i="16"/>
  <c r="H130" i="16"/>
  <c r="H617" i="16"/>
  <c r="H179" i="16"/>
  <c r="H178" i="16" s="1"/>
  <c r="H173" i="16" s="1"/>
  <c r="H852" i="16"/>
  <c r="H762" i="16"/>
  <c r="H761" i="16" s="1"/>
  <c r="H775" i="16"/>
  <c r="H605" i="16"/>
  <c r="H604" i="16" s="1"/>
  <c r="H831" i="16"/>
  <c r="H830" i="16" s="1"/>
  <c r="H578" i="16"/>
  <c r="H858" i="16"/>
  <c r="H857" i="16" s="1"/>
  <c r="H49" i="16"/>
  <c r="H282" i="15"/>
  <c r="H735" i="16"/>
  <c r="G849" i="14"/>
  <c r="H430" i="16"/>
  <c r="H429" i="16" s="1"/>
  <c r="H428" i="16" s="1"/>
  <c r="H442" i="16"/>
  <c r="H441" i="16" s="1"/>
  <c r="G442" i="16"/>
  <c r="G441" i="16" s="1"/>
  <c r="H222" i="16"/>
  <c r="G289" i="16"/>
  <c r="G288" i="16" s="1"/>
  <c r="G287" i="16" s="1"/>
  <c r="G598" i="16"/>
  <c r="G597" i="16" s="1"/>
  <c r="H110" i="16"/>
  <c r="H109" i="16" s="1"/>
  <c r="H108" i="16" s="1"/>
  <c r="H392" i="16"/>
  <c r="H391" i="16" s="1"/>
  <c r="H390" i="16" s="1"/>
  <c r="G455" i="16"/>
  <c r="G454" i="16" s="1"/>
  <c r="G453" i="16" s="1"/>
  <c r="H677" i="16"/>
  <c r="H670" i="16" s="1"/>
  <c r="H669" i="16" s="1"/>
  <c r="G81" i="16"/>
  <c r="G83" i="16"/>
  <c r="G82" i="16" s="1"/>
  <c r="G364" i="16"/>
  <c r="G363" i="16" s="1"/>
  <c r="G362" i="16"/>
  <c r="G626" i="16"/>
  <c r="G628" i="16"/>
  <c r="G627" i="16" s="1"/>
  <c r="H870" i="16"/>
  <c r="H869" i="16" s="1"/>
  <c r="H864" i="16" s="1"/>
  <c r="H863" i="16" s="1"/>
  <c r="H862" i="16" s="1"/>
  <c r="H872" i="16"/>
  <c r="G645" i="16"/>
  <c r="G644" i="16" s="1"/>
  <c r="G643" i="16"/>
  <c r="G65" i="16"/>
  <c r="G66" i="16"/>
  <c r="G91" i="16"/>
  <c r="G92" i="16"/>
  <c r="G586" i="16"/>
  <c r="G588" i="16"/>
  <c r="G587" i="16" s="1"/>
  <c r="G31" i="16"/>
  <c r="G30" i="16" s="1"/>
  <c r="H70" i="16"/>
  <c r="H69" i="16" s="1"/>
  <c r="H68" i="16" s="1"/>
  <c r="H67" i="16" s="1"/>
  <c r="H72" i="16"/>
  <c r="G616" i="16"/>
  <c r="G615" i="16" s="1"/>
  <c r="G614" i="16" s="1"/>
  <c r="G613" i="16" s="1"/>
  <c r="G164" i="16"/>
  <c r="G173" i="16"/>
  <c r="G874" i="16"/>
  <c r="G748" i="16"/>
  <c r="G747" i="16" s="1"/>
  <c r="G746" i="16" s="1"/>
  <c r="G52" i="16"/>
  <c r="G51" i="16" s="1"/>
  <c r="G50" i="16"/>
  <c r="H98" i="16"/>
  <c r="H96" i="16"/>
  <c r="H95" i="16" s="1"/>
  <c r="H94" i="16" s="1"/>
  <c r="H93" i="16" s="1"/>
  <c r="G581" i="16"/>
  <c r="G580" i="16" s="1"/>
  <c r="G579" i="16"/>
  <c r="G829" i="16"/>
  <c r="G828" i="16" s="1"/>
  <c r="G827" i="16" s="1"/>
  <c r="G826" i="16" s="1"/>
  <c r="G392" i="16"/>
  <c r="G391" i="16" s="1"/>
  <c r="G389" i="16" s="1"/>
  <c r="H572" i="16"/>
  <c r="H574" i="16"/>
  <c r="H573" i="16" s="1"/>
  <c r="G572" i="16"/>
  <c r="G574" i="16"/>
  <c r="G573" i="16" s="1"/>
  <c r="H588" i="16"/>
  <c r="H587" i="16" s="1"/>
  <c r="H586" i="16"/>
  <c r="H56" i="16"/>
  <c r="H54" i="16"/>
  <c r="H53" i="16" s="1"/>
  <c r="G110" i="16"/>
  <c r="G109" i="16" s="1"/>
  <c r="G108" i="16" s="1"/>
  <c r="G121" i="16"/>
  <c r="G120" i="16" s="1"/>
  <c r="G119" i="16"/>
  <c r="G132" i="16"/>
  <c r="G131" i="16" s="1"/>
  <c r="G130" i="16"/>
  <c r="G470" i="16"/>
  <c r="G469" i="16" s="1"/>
  <c r="G468" i="16" s="1"/>
  <c r="G12" i="16"/>
  <c r="G11" i="16" s="1"/>
  <c r="G10" i="16"/>
  <c r="G544" i="16"/>
  <c r="G539" i="16" s="1"/>
  <c r="G538" i="16" s="1"/>
  <c r="G546" i="16"/>
  <c r="G545" i="16" s="1"/>
  <c r="G529" i="16"/>
  <c r="G528" i="16" s="1"/>
  <c r="G527" i="16"/>
  <c r="G884" i="5"/>
  <c r="G718" i="5"/>
  <c r="G900" i="5"/>
  <c r="G14" i="5"/>
  <c r="F1046" i="3"/>
  <c r="G722" i="5"/>
  <c r="G724" i="5"/>
  <c r="G678" i="5"/>
  <c r="G680" i="5"/>
  <c r="G668" i="5"/>
  <c r="G670" i="5"/>
  <c r="G661" i="5"/>
  <c r="G663" i="5"/>
  <c r="G651" i="5"/>
  <c r="G653" i="5"/>
  <c r="G648" i="5"/>
  <c r="G650" i="5"/>
  <c r="G654" i="5"/>
  <c r="G656" i="5"/>
  <c r="G640" i="5"/>
  <c r="G642" i="5"/>
  <c r="G636" i="5"/>
  <c r="G638" i="5"/>
  <c r="G625" i="5"/>
  <c r="G627" i="5"/>
  <c r="G621" i="5"/>
  <c r="G623" i="5"/>
  <c r="G614" i="5"/>
  <c r="G616" i="5"/>
  <c r="G607" i="5"/>
  <c r="G609" i="5"/>
  <c r="G247" i="5"/>
  <c r="G249" i="5"/>
  <c r="G16" i="5"/>
  <c r="F978" i="3"/>
  <c r="F948" i="14" s="1"/>
  <c r="F974" i="3"/>
  <c r="F971" i="3"/>
  <c r="F941" i="14" s="1"/>
  <c r="F968" i="3"/>
  <c r="F938" i="14" s="1"/>
  <c r="F958" i="3"/>
  <c r="F946" i="3"/>
  <c r="F928" i="3"/>
  <c r="F923" i="3"/>
  <c r="F907" i="3"/>
  <c r="F894" i="3"/>
  <c r="F882" i="3"/>
  <c r="F879" i="3"/>
  <c r="F877" i="3"/>
  <c r="F875" i="3"/>
  <c r="F870" i="3"/>
  <c r="F867" i="3"/>
  <c r="F865" i="3"/>
  <c r="F859" i="3"/>
  <c r="F854" i="3"/>
  <c r="F849" i="3"/>
  <c r="F846" i="3"/>
  <c r="F839" i="3"/>
  <c r="F836" i="3"/>
  <c r="F832" i="3"/>
  <c r="F828" i="3"/>
  <c r="F824" i="3"/>
  <c r="F822" i="3"/>
  <c r="F811" i="3"/>
  <c r="F804" i="3"/>
  <c r="F800" i="3"/>
  <c r="F798" i="3"/>
  <c r="F794" i="3"/>
  <c r="F792" i="3"/>
  <c r="F746" i="3"/>
  <c r="F742" i="3"/>
  <c r="F736" i="3"/>
  <c r="F715" i="14" s="1"/>
  <c r="G715" i="14" s="1"/>
  <c r="F733" i="3"/>
  <c r="F726" i="3"/>
  <c r="F723" i="3"/>
  <c r="F705" i="3"/>
  <c r="F699" i="3"/>
  <c r="F695" i="3"/>
  <c r="I297" i="4"/>
  <c r="I296" i="4" s="1"/>
  <c r="I295" i="4" s="1"/>
  <c r="H297" i="4"/>
  <c r="H296" i="4" s="1"/>
  <c r="H295" i="4" s="1"/>
  <c r="G297" i="4"/>
  <c r="H599" i="16" l="1"/>
  <c r="H598" i="16" s="1"/>
  <c r="H597" i="16" s="1"/>
  <c r="H364" i="16"/>
  <c r="H363" i="16" s="1"/>
  <c r="H121" i="16"/>
  <c r="H120" i="16" s="1"/>
  <c r="H546" i="16"/>
  <c r="H545" i="16" s="1"/>
  <c r="H616" i="16"/>
  <c r="H615" i="16" s="1"/>
  <c r="H614" i="16" s="1"/>
  <c r="H613" i="16" s="1"/>
  <c r="H626" i="16"/>
  <c r="H645" i="16"/>
  <c r="H644" i="16" s="1"/>
  <c r="H579" i="16"/>
  <c r="H81" i="16"/>
  <c r="H529" i="16"/>
  <c r="H528" i="16" s="1"/>
  <c r="H829" i="16"/>
  <c r="H828" i="16" s="1"/>
  <c r="H827" i="16" s="1"/>
  <c r="H826" i="16" s="1"/>
  <c r="H107" i="16"/>
  <c r="G440" i="16"/>
  <c r="G439" i="16"/>
  <c r="H440" i="16"/>
  <c r="H439" i="16"/>
  <c r="H389" i="16"/>
  <c r="G390" i="16"/>
  <c r="H52" i="16"/>
  <c r="H51" i="16" s="1"/>
  <c r="H50" i="16"/>
  <c r="H65" i="16"/>
  <c r="H66" i="16"/>
  <c r="G29" i="16"/>
  <c r="H91" i="16"/>
  <c r="H92" i="16"/>
  <c r="G107" i="16"/>
  <c r="G296" i="4"/>
  <c r="G635" i="5"/>
  <c r="G606" i="5"/>
  <c r="G620" i="5"/>
  <c r="G660" i="5"/>
  <c r="G677" i="5"/>
  <c r="G246" i="5"/>
  <c r="G613" i="5"/>
  <c r="G624" i="5"/>
  <c r="G639" i="5"/>
  <c r="G13" i="5"/>
  <c r="F704" i="3"/>
  <c r="G580" i="5"/>
  <c r="G581" i="5" s="1"/>
  <c r="F864" i="3"/>
  <c r="F906" i="3"/>
  <c r="G559" i="5"/>
  <c r="F777" i="14"/>
  <c r="F835" i="3"/>
  <c r="F866" i="3"/>
  <c r="F842" i="14" s="1"/>
  <c r="F843" i="14"/>
  <c r="F694" i="3"/>
  <c r="F725" i="3"/>
  <c r="G562" i="5"/>
  <c r="F853" i="3"/>
  <c r="F1045" i="3"/>
  <c r="F698" i="3"/>
  <c r="F791" i="3"/>
  <c r="F827" i="3"/>
  <c r="F845" i="3"/>
  <c r="F858" i="3"/>
  <c r="F893" i="3"/>
  <c r="F945" i="3"/>
  <c r="G721" i="5"/>
  <c r="G647" i="5"/>
  <c r="F803" i="3"/>
  <c r="G569" i="5"/>
  <c r="F732" i="3"/>
  <c r="G36" i="5"/>
  <c r="F735" i="3"/>
  <c r="G40" i="5"/>
  <c r="F741" i="3"/>
  <c r="G50" i="5"/>
  <c r="F745" i="3"/>
  <c r="G57" i="5"/>
  <c r="G630" i="5" l="1"/>
  <c r="G659" i="5"/>
  <c r="G619" i="5"/>
  <c r="G618" i="5" s="1"/>
  <c r="G657" i="5"/>
  <c r="G617" i="5"/>
  <c r="G560" i="5"/>
  <c r="G295" i="4"/>
  <c r="G51" i="5"/>
  <c r="G646" i="5"/>
  <c r="G720" i="5"/>
  <c r="G612" i="5"/>
  <c r="G676" i="5"/>
  <c r="G558" i="5"/>
  <c r="G605" i="5"/>
  <c r="G563" i="5"/>
  <c r="G603" i="5"/>
  <c r="G579" i="5"/>
  <c r="G10" i="5"/>
  <c r="G12" i="5"/>
  <c r="G561" i="5"/>
  <c r="G610" i="5"/>
  <c r="G674" i="5"/>
  <c r="F744" i="3"/>
  <c r="F802" i="3"/>
  <c r="F944" i="3"/>
  <c r="F852" i="3"/>
  <c r="F724" i="3"/>
  <c r="F834" i="3"/>
  <c r="F905" i="3"/>
  <c r="F731" i="3"/>
  <c r="F734" i="3"/>
  <c r="F713" i="14" s="1"/>
  <c r="G713" i="14" s="1"/>
  <c r="F714" i="14"/>
  <c r="G714" i="14" s="1"/>
  <c r="F857" i="3"/>
  <c r="F892" i="3"/>
  <c r="F693" i="3"/>
  <c r="F703" i="3"/>
  <c r="G568" i="5"/>
  <c r="G570" i="5"/>
  <c r="G56" i="5"/>
  <c r="G58" i="5"/>
  <c r="G39" i="5"/>
  <c r="G41" i="5"/>
  <c r="G35" i="5"/>
  <c r="G37" i="5"/>
  <c r="H299" i="15" l="1"/>
  <c r="G299" i="15"/>
  <c r="G868" i="14"/>
  <c r="G867" i="14" s="1"/>
  <c r="G866" i="14" s="1"/>
  <c r="F868" i="14"/>
  <c r="F867" i="14" s="1"/>
  <c r="F866" i="14" s="1"/>
  <c r="D41" i="13" s="1"/>
  <c r="G880" i="14"/>
  <c r="G879" i="14" s="1"/>
  <c r="F880" i="14"/>
  <c r="F879" i="14" s="1"/>
  <c r="G780" i="14"/>
  <c r="F780" i="14"/>
  <c r="G709" i="14"/>
  <c r="F709" i="14"/>
  <c r="G917" i="14"/>
  <c r="G916" i="14" s="1"/>
  <c r="F917" i="14"/>
  <c r="F916" i="14" s="1"/>
  <c r="G34" i="5"/>
  <c r="G567" i="5"/>
  <c r="G675" i="5"/>
  <c r="G578" i="5"/>
  <c r="G604" i="5"/>
  <c r="G38" i="5"/>
  <c r="G719" i="5"/>
  <c r="G629" i="5"/>
  <c r="G557" i="5"/>
  <c r="G611" i="5"/>
  <c r="F702" i="3"/>
  <c r="F891" i="3"/>
  <c r="F743" i="3"/>
  <c r="F730" i="3"/>
  <c r="F692" i="3"/>
  <c r="F856" i="3"/>
  <c r="F851" i="3"/>
  <c r="F691" i="3"/>
  <c r="F689" i="3"/>
  <c r="F687" i="3"/>
  <c r="F722" i="3"/>
  <c r="F766" i="3"/>
  <c r="F782" i="3"/>
  <c r="F677" i="3"/>
  <c r="F666" i="3"/>
  <c r="F635" i="3"/>
  <c r="F652" i="3"/>
  <c r="F628" i="3"/>
  <c r="F614" i="14" s="1"/>
  <c r="F643" i="3"/>
  <c r="F607" i="3"/>
  <c r="F593" i="3"/>
  <c r="F587" i="3"/>
  <c r="F584" i="3"/>
  <c r="F571" i="3"/>
  <c r="F552" i="3"/>
  <c r="F545" i="14" s="1"/>
  <c r="G545" i="14" s="1"/>
  <c r="F564" i="3"/>
  <c r="F547" i="3"/>
  <c r="F544" i="3"/>
  <c r="F534" i="3"/>
  <c r="F520" i="14" s="1"/>
  <c r="G520" i="14" s="1"/>
  <c r="F530" i="3"/>
  <c r="F527" i="3"/>
  <c r="F513" i="14" s="1"/>
  <c r="G513" i="14" s="1"/>
  <c r="F516" i="3"/>
  <c r="F510" i="3"/>
  <c r="F500" i="3"/>
  <c r="F487" i="3"/>
  <c r="F482" i="3"/>
  <c r="F478" i="3"/>
  <c r="F461" i="3"/>
  <c r="F463" i="3"/>
  <c r="F468" i="3"/>
  <c r="G573" i="5" l="1"/>
  <c r="G571" i="5"/>
  <c r="G832" i="14"/>
  <c r="G831" i="14" s="1"/>
  <c r="F832" i="14"/>
  <c r="F831" i="14" s="1"/>
  <c r="G681" i="14"/>
  <c r="F681" i="14"/>
  <c r="G722" i="14"/>
  <c r="F722" i="14"/>
  <c r="G671" i="14"/>
  <c r="F671" i="14"/>
  <c r="E41" i="13"/>
  <c r="G628" i="5"/>
  <c r="G33" i="5"/>
  <c r="G564" i="5"/>
  <c r="G554" i="5"/>
  <c r="G556" i="5"/>
  <c r="F665" i="3"/>
  <c r="F721" i="3"/>
  <c r="F850" i="3"/>
  <c r="F486" i="3"/>
  <c r="G178" i="5"/>
  <c r="G227" i="5"/>
  <c r="F676" i="3"/>
  <c r="F656" i="14"/>
  <c r="G656" i="14" s="1"/>
  <c r="F686" i="3"/>
  <c r="F890" i="3"/>
  <c r="G298" i="5"/>
  <c r="G182" i="5"/>
  <c r="G183" i="5" s="1"/>
  <c r="G235" i="5"/>
  <c r="G234" i="5" s="1"/>
  <c r="F781" i="3"/>
  <c r="F688" i="3"/>
  <c r="F467" i="3"/>
  <c r="G202" i="5"/>
  <c r="G223" i="5"/>
  <c r="G222" i="5" s="1"/>
  <c r="G210" i="5"/>
  <c r="G209" i="5" s="1"/>
  <c r="F477" i="3"/>
  <c r="F463" i="14" s="1"/>
  <c r="G463" i="14" s="1"/>
  <c r="F464" i="14"/>
  <c r="G464" i="14" s="1"/>
  <c r="G173" i="5"/>
  <c r="F563" i="3"/>
  <c r="G186" i="5"/>
  <c r="F606" i="3"/>
  <c r="G369" i="5"/>
  <c r="F765" i="3"/>
  <c r="F690" i="3"/>
  <c r="F502" i="3"/>
  <c r="F499" i="3"/>
  <c r="G169" i="5"/>
  <c r="F447" i="3"/>
  <c r="F435" i="14" s="1"/>
  <c r="F450" i="3"/>
  <c r="F412" i="3"/>
  <c r="I1143" i="4"/>
  <c r="I1142" i="4" s="1"/>
  <c r="H1143" i="4"/>
  <c r="H1142" i="4" s="1"/>
  <c r="I1140" i="4"/>
  <c r="H1140" i="4"/>
  <c r="I1139" i="4"/>
  <c r="I1138" i="4" s="1"/>
  <c r="H1139" i="4"/>
  <c r="H1138" i="4" s="1"/>
  <c r="I1132" i="4"/>
  <c r="I1131" i="4" s="1"/>
  <c r="H1132" i="4"/>
  <c r="H1131" i="4" s="1"/>
  <c r="I1129" i="4"/>
  <c r="H1129" i="4"/>
  <c r="I1128" i="4"/>
  <c r="I1127" i="4" s="1"/>
  <c r="H1128" i="4"/>
  <c r="H1127" i="4" s="1"/>
  <c r="I1122" i="4"/>
  <c r="I1121" i="4" s="1"/>
  <c r="I1120" i="4" s="1"/>
  <c r="H1122" i="4"/>
  <c r="H1121" i="4" s="1"/>
  <c r="H1120" i="4" s="1"/>
  <c r="I1118" i="4"/>
  <c r="I1117" i="4" s="1"/>
  <c r="H1118" i="4"/>
  <c r="H1117" i="4" s="1"/>
  <c r="I1113" i="4"/>
  <c r="I1112" i="4" s="1"/>
  <c r="H1113" i="4"/>
  <c r="H1112" i="4" s="1"/>
  <c r="I1110" i="4"/>
  <c r="H1110" i="4"/>
  <c r="I1109" i="4"/>
  <c r="I1108" i="4" s="1"/>
  <c r="H1109" i="4"/>
  <c r="H1108" i="4" s="1"/>
  <c r="I1100" i="4"/>
  <c r="I1099" i="4" s="1"/>
  <c r="I1098" i="4" s="1"/>
  <c r="I1097" i="4" s="1"/>
  <c r="I1096" i="4" s="1"/>
  <c r="H1100" i="4"/>
  <c r="H1099" i="4" s="1"/>
  <c r="H1098" i="4" s="1"/>
  <c r="H1097" i="4" s="1"/>
  <c r="H1096" i="4" s="1"/>
  <c r="I1087" i="4"/>
  <c r="I1086" i="4" s="1"/>
  <c r="H1087" i="4"/>
  <c r="H1086" i="4" s="1"/>
  <c r="I1085" i="4"/>
  <c r="I1084" i="4" s="1"/>
  <c r="H1085" i="4"/>
  <c r="H1084" i="4" s="1"/>
  <c r="I1082" i="4"/>
  <c r="H1082" i="4"/>
  <c r="I1078" i="4"/>
  <c r="I1077" i="4" s="1"/>
  <c r="H1078" i="4"/>
  <c r="H1077" i="4" s="1"/>
  <c r="I1076" i="4"/>
  <c r="I1075" i="4" s="1"/>
  <c r="I1072" i="4" s="1"/>
  <c r="H1076" i="4"/>
  <c r="H1075" i="4" s="1"/>
  <c r="H1072" i="4" s="1"/>
  <c r="I1068" i="4"/>
  <c r="I1067" i="4" s="1"/>
  <c r="H1068" i="4"/>
  <c r="H1067" i="4" s="1"/>
  <c r="I1066" i="4"/>
  <c r="I1065" i="4" s="1"/>
  <c r="H1066" i="4"/>
  <c r="H1065" i="4" s="1"/>
  <c r="I1063" i="4"/>
  <c r="H1063" i="4"/>
  <c r="I1061" i="4"/>
  <c r="H1061" i="4"/>
  <c r="I1056" i="4"/>
  <c r="I1055" i="4" s="1"/>
  <c r="I1054" i="4" s="1"/>
  <c r="I1053" i="4" s="1"/>
  <c r="I1052" i="4" s="1"/>
  <c r="H1056" i="4"/>
  <c r="H1055" i="4" s="1"/>
  <c r="H1054" i="4" s="1"/>
  <c r="H1053" i="4" s="1"/>
  <c r="H1052" i="4" s="1"/>
  <c r="I1050" i="4"/>
  <c r="I1049" i="4" s="1"/>
  <c r="H1050" i="4"/>
  <c r="H1049" i="4" s="1"/>
  <c r="I1047" i="4"/>
  <c r="I1046" i="4" s="1"/>
  <c r="H1047" i="4"/>
  <c r="H1046" i="4" s="1"/>
  <c r="I1040" i="4"/>
  <c r="I1039" i="4" s="1"/>
  <c r="H1040" i="4"/>
  <c r="H1039" i="4" s="1"/>
  <c r="I1037" i="4"/>
  <c r="H1037" i="4"/>
  <c r="I1036" i="4"/>
  <c r="I1035" i="4" s="1"/>
  <c r="H1036" i="4"/>
  <c r="H1035" i="4" s="1"/>
  <c r="I1032" i="4"/>
  <c r="I1031" i="4" s="1"/>
  <c r="H1032" i="4"/>
  <c r="H1031" i="4" s="1"/>
  <c r="I1043" i="4"/>
  <c r="I1042" i="4" s="1"/>
  <c r="H1043" i="4"/>
  <c r="H1042" i="4" s="1"/>
  <c r="I1027" i="4"/>
  <c r="I1026" i="4" s="1"/>
  <c r="H1027" i="4"/>
  <c r="H1026" i="4" s="1"/>
  <c r="I1025" i="4"/>
  <c r="I1023" i="4" s="1"/>
  <c r="H1025" i="4"/>
  <c r="H1023" i="4" s="1"/>
  <c r="I1022" i="4"/>
  <c r="I1021" i="4" s="1"/>
  <c r="H1022" i="4"/>
  <c r="H1021" i="4" s="1"/>
  <c r="I1018" i="4"/>
  <c r="I1017" i="4" s="1"/>
  <c r="H1018" i="4"/>
  <c r="H1017" i="4" s="1"/>
  <c r="I1012" i="4"/>
  <c r="I1011" i="4" s="1"/>
  <c r="I1010" i="4" s="1"/>
  <c r="I1009" i="4" s="1"/>
  <c r="H1012" i="4"/>
  <c r="H1011" i="4" s="1"/>
  <c r="H1010" i="4" s="1"/>
  <c r="H1009" i="4" s="1"/>
  <c r="I1001" i="4"/>
  <c r="I1000" i="4" s="1"/>
  <c r="I999" i="4" s="1"/>
  <c r="H1001" i="4"/>
  <c r="H1000" i="4" s="1"/>
  <c r="H999" i="4" s="1"/>
  <c r="I997" i="4"/>
  <c r="I996" i="4" s="1"/>
  <c r="I995" i="4" s="1"/>
  <c r="H997" i="4"/>
  <c r="H996" i="4" s="1"/>
  <c r="H995" i="4" s="1"/>
  <c r="I993" i="4"/>
  <c r="I992" i="4" s="1"/>
  <c r="I991" i="4" s="1"/>
  <c r="H993" i="4"/>
  <c r="H992" i="4" s="1"/>
  <c r="H991" i="4" s="1"/>
  <c r="I990" i="4"/>
  <c r="I989" i="4" s="1"/>
  <c r="I988" i="4" s="1"/>
  <c r="I987" i="4" s="1"/>
  <c r="H990" i="4"/>
  <c r="H989" i="4" s="1"/>
  <c r="H988" i="4" s="1"/>
  <c r="H987" i="4" s="1"/>
  <c r="I986" i="4"/>
  <c r="I985" i="4" s="1"/>
  <c r="I984" i="4" s="1"/>
  <c r="I983" i="4" s="1"/>
  <c r="H986" i="4"/>
  <c r="H985" i="4" s="1"/>
  <c r="H984" i="4" s="1"/>
  <c r="H983" i="4" s="1"/>
  <c r="I982" i="4"/>
  <c r="I981" i="4" s="1"/>
  <c r="I980" i="4" s="1"/>
  <c r="I979" i="4" s="1"/>
  <c r="H982" i="4"/>
  <c r="H981" i="4" s="1"/>
  <c r="H980" i="4" s="1"/>
  <c r="H979" i="4" s="1"/>
  <c r="I978" i="4"/>
  <c r="I977" i="4" s="1"/>
  <c r="I976" i="4" s="1"/>
  <c r="I975" i="4" s="1"/>
  <c r="H978" i="4"/>
  <c r="H977" i="4" s="1"/>
  <c r="H976" i="4" s="1"/>
  <c r="H975" i="4" s="1"/>
  <c r="I972" i="4"/>
  <c r="I971" i="4" s="1"/>
  <c r="H972" i="4"/>
  <c r="H971" i="4" s="1"/>
  <c r="I969" i="4"/>
  <c r="H969" i="4"/>
  <c r="I967" i="4"/>
  <c r="H967" i="4"/>
  <c r="I964" i="4"/>
  <c r="I963" i="4" s="1"/>
  <c r="H964" i="4"/>
  <c r="H963" i="4" s="1"/>
  <c r="I961" i="4"/>
  <c r="H961" i="4"/>
  <c r="I959" i="4"/>
  <c r="H959" i="4"/>
  <c r="I955" i="4"/>
  <c r="H955" i="4"/>
  <c r="I953" i="4"/>
  <c r="H953" i="4"/>
  <c r="I949" i="4"/>
  <c r="H949" i="4"/>
  <c r="I945" i="4"/>
  <c r="H945" i="4"/>
  <c r="I940" i="4"/>
  <c r="I939" i="4" s="1"/>
  <c r="I938" i="4" s="1"/>
  <c r="H940" i="4"/>
  <c r="H939" i="4" s="1"/>
  <c r="H938" i="4" s="1"/>
  <c r="I937" i="4"/>
  <c r="I936" i="4" s="1"/>
  <c r="I935" i="4" s="1"/>
  <c r="H937" i="4"/>
  <c r="H936" i="4" s="1"/>
  <c r="H935" i="4" s="1"/>
  <c r="I934" i="4"/>
  <c r="I933" i="4" s="1"/>
  <c r="H934" i="4"/>
  <c r="H933" i="4" s="1"/>
  <c r="I932" i="4"/>
  <c r="I931" i="4" s="1"/>
  <c r="H932" i="4"/>
  <c r="H931" i="4" s="1"/>
  <c r="I919" i="4"/>
  <c r="I918" i="4" s="1"/>
  <c r="H919" i="4"/>
  <c r="H918" i="4" s="1"/>
  <c r="I916" i="4"/>
  <c r="H916" i="4"/>
  <c r="I910" i="4"/>
  <c r="I909" i="4" s="1"/>
  <c r="I908" i="4" s="1"/>
  <c r="H910" i="4"/>
  <c r="H909" i="4" s="1"/>
  <c r="H908" i="4" s="1"/>
  <c r="I905" i="4"/>
  <c r="I904" i="4" s="1"/>
  <c r="I903" i="4" s="1"/>
  <c r="I902" i="4" s="1"/>
  <c r="I901" i="4" s="1"/>
  <c r="I900" i="4" s="1"/>
  <c r="H905" i="4"/>
  <c r="H904" i="4" s="1"/>
  <c r="H903" i="4" s="1"/>
  <c r="H902" i="4" s="1"/>
  <c r="H901" i="4" s="1"/>
  <c r="H900" i="4" s="1"/>
  <c r="I897" i="4"/>
  <c r="I896" i="4" s="1"/>
  <c r="I895" i="4" s="1"/>
  <c r="I894" i="4" s="1"/>
  <c r="I893" i="4" s="1"/>
  <c r="I892" i="4" s="1"/>
  <c r="H897" i="4"/>
  <c r="H896" i="4" s="1"/>
  <c r="H895" i="4" s="1"/>
  <c r="H894" i="4" s="1"/>
  <c r="H893" i="4" s="1"/>
  <c r="H892" i="4" s="1"/>
  <c r="I883" i="4"/>
  <c r="I882" i="4" s="1"/>
  <c r="H883" i="4"/>
  <c r="H882" i="4" s="1"/>
  <c r="I891" i="4"/>
  <c r="I890" i="4" s="1"/>
  <c r="H891" i="4"/>
  <c r="H890" i="4" s="1"/>
  <c r="I889" i="4"/>
  <c r="I888" i="4" s="1"/>
  <c r="H889" i="4"/>
  <c r="H888" i="4" s="1"/>
  <c r="I887" i="4"/>
  <c r="I886" i="4" s="1"/>
  <c r="H887" i="4"/>
  <c r="H886" i="4" s="1"/>
  <c r="I876" i="4"/>
  <c r="I875" i="4" s="1"/>
  <c r="H876" i="4"/>
  <c r="H875" i="4" s="1"/>
  <c r="I874" i="4"/>
  <c r="I873" i="4" s="1"/>
  <c r="H874" i="4"/>
  <c r="H873" i="4" s="1"/>
  <c r="I867" i="4"/>
  <c r="I866" i="4" s="1"/>
  <c r="H867" i="4"/>
  <c r="H866" i="4" s="1"/>
  <c r="I865" i="4"/>
  <c r="I864" i="4" s="1"/>
  <c r="H865" i="4"/>
  <c r="H864" i="4" s="1"/>
  <c r="I863" i="4"/>
  <c r="I862" i="4" s="1"/>
  <c r="H863" i="4"/>
  <c r="H862" i="4" s="1"/>
  <c r="I861" i="4"/>
  <c r="I860" i="4" s="1"/>
  <c r="H861" i="4"/>
  <c r="H860" i="4" s="1"/>
  <c r="I855" i="4"/>
  <c r="I854" i="4" s="1"/>
  <c r="H855" i="4"/>
  <c r="H854" i="4" s="1"/>
  <c r="I853" i="4"/>
  <c r="I852" i="4" s="1"/>
  <c r="I851" i="4" s="1"/>
  <c r="H853" i="4"/>
  <c r="H852" i="4" s="1"/>
  <c r="H851" i="4" s="1"/>
  <c r="I847" i="4"/>
  <c r="I846" i="4" s="1"/>
  <c r="I845" i="4" s="1"/>
  <c r="I844" i="4" s="1"/>
  <c r="I843" i="4" s="1"/>
  <c r="H847" i="4"/>
  <c r="H846" i="4" s="1"/>
  <c r="H845" i="4" s="1"/>
  <c r="H844" i="4" s="1"/>
  <c r="H843" i="4" s="1"/>
  <c r="I831" i="4"/>
  <c r="I830" i="4" s="1"/>
  <c r="I829" i="4" s="1"/>
  <c r="I825" i="4" s="1"/>
  <c r="H831" i="4"/>
  <c r="H830" i="4" s="1"/>
  <c r="H829" i="4" s="1"/>
  <c r="H825" i="4" s="1"/>
  <c r="I824" i="4"/>
  <c r="I823" i="4" s="1"/>
  <c r="I822" i="4" s="1"/>
  <c r="H824" i="4"/>
  <c r="H823" i="4" s="1"/>
  <c r="H822" i="4" s="1"/>
  <c r="I820" i="4"/>
  <c r="I819" i="4" s="1"/>
  <c r="H820" i="4"/>
  <c r="H819" i="4" s="1"/>
  <c r="I816" i="4"/>
  <c r="I815" i="4" s="1"/>
  <c r="H816" i="4"/>
  <c r="H815" i="4" s="1"/>
  <c r="I813" i="4"/>
  <c r="I812" i="4" s="1"/>
  <c r="H813" i="4"/>
  <c r="H812" i="4" s="1"/>
  <c r="I810" i="4"/>
  <c r="I809" i="4" s="1"/>
  <c r="H810" i="4"/>
  <c r="H809" i="4" s="1"/>
  <c r="I800" i="4"/>
  <c r="I799" i="4" s="1"/>
  <c r="H800" i="4"/>
  <c r="H799" i="4" s="1"/>
  <c r="I780" i="4"/>
  <c r="I779" i="4" s="1"/>
  <c r="H780" i="4"/>
  <c r="H779" i="4" s="1"/>
  <c r="I778" i="4"/>
  <c r="I777" i="4" s="1"/>
  <c r="H778" i="4"/>
  <c r="H777" i="4" s="1"/>
  <c r="I776" i="4"/>
  <c r="I775" i="4" s="1"/>
  <c r="H776" i="4"/>
  <c r="H775" i="4" s="1"/>
  <c r="I774" i="4"/>
  <c r="I773" i="4" s="1"/>
  <c r="H774" i="4"/>
  <c r="H773" i="4" s="1"/>
  <c r="I770" i="4"/>
  <c r="I769" i="4" s="1"/>
  <c r="I768" i="4" s="1"/>
  <c r="I767" i="4" s="1"/>
  <c r="H770" i="4"/>
  <c r="H769" i="4" s="1"/>
  <c r="H768" i="4" s="1"/>
  <c r="H767" i="4" s="1"/>
  <c r="I764" i="4"/>
  <c r="I763" i="4" s="1"/>
  <c r="H764" i="4"/>
  <c r="H763" i="4" s="1"/>
  <c r="I762" i="4"/>
  <c r="I761" i="4" s="1"/>
  <c r="H762" i="4"/>
  <c r="H761" i="4" s="1"/>
  <c r="I760" i="4"/>
  <c r="I759" i="4" s="1"/>
  <c r="H760" i="4"/>
  <c r="H759" i="4" s="1"/>
  <c r="I754" i="4"/>
  <c r="I753" i="4" s="1"/>
  <c r="I752" i="4" s="1"/>
  <c r="H754" i="4"/>
  <c r="H753" i="4" s="1"/>
  <c r="H752" i="4" s="1"/>
  <c r="I751" i="4"/>
  <c r="I750" i="4" s="1"/>
  <c r="I749" i="4" s="1"/>
  <c r="H751" i="4"/>
  <c r="H750" i="4" s="1"/>
  <c r="H749" i="4" s="1"/>
  <c r="I743" i="4"/>
  <c r="I742" i="4" s="1"/>
  <c r="I741" i="4" s="1"/>
  <c r="H743" i="4"/>
  <c r="H742" i="4" s="1"/>
  <c r="H741" i="4" s="1"/>
  <c r="I739" i="4"/>
  <c r="I738" i="4" s="1"/>
  <c r="I737" i="4" s="1"/>
  <c r="I736" i="4" s="1"/>
  <c r="H739" i="4"/>
  <c r="H738" i="4" s="1"/>
  <c r="H737" i="4" s="1"/>
  <c r="H736" i="4" s="1"/>
  <c r="I734" i="4"/>
  <c r="I733" i="4" s="1"/>
  <c r="I732" i="4" s="1"/>
  <c r="H734" i="4"/>
  <c r="H733" i="4" s="1"/>
  <c r="H732" i="4" s="1"/>
  <c r="I730" i="4"/>
  <c r="I729" i="4" s="1"/>
  <c r="I728" i="4" s="1"/>
  <c r="H730" i="4"/>
  <c r="H729" i="4" s="1"/>
  <c r="H728" i="4" s="1"/>
  <c r="I727" i="4"/>
  <c r="I726" i="4" s="1"/>
  <c r="I725" i="4" s="1"/>
  <c r="H727" i="4"/>
  <c r="H726" i="4" s="1"/>
  <c r="H725" i="4" s="1"/>
  <c r="I723" i="4"/>
  <c r="I722" i="4" s="1"/>
  <c r="H723" i="4"/>
  <c r="H722" i="4" s="1"/>
  <c r="I717" i="4"/>
  <c r="I716" i="4" s="1"/>
  <c r="I715" i="4" s="1"/>
  <c r="H717" i="4"/>
  <c r="H716" i="4" s="1"/>
  <c r="H715" i="4" s="1"/>
  <c r="I709" i="4"/>
  <c r="I708" i="4" s="1"/>
  <c r="I707" i="4" s="1"/>
  <c r="I706" i="4" s="1"/>
  <c r="H709" i="4"/>
  <c r="H708" i="4" s="1"/>
  <c r="H707" i="4" s="1"/>
  <c r="H706" i="4" s="1"/>
  <c r="I700" i="4"/>
  <c r="I699" i="4" s="1"/>
  <c r="I698" i="4" s="1"/>
  <c r="I697" i="4" s="1"/>
  <c r="H700" i="4"/>
  <c r="H699" i="4" s="1"/>
  <c r="H698" i="4" s="1"/>
  <c r="H697" i="4" s="1"/>
  <c r="I692" i="4"/>
  <c r="I691" i="4" s="1"/>
  <c r="I690" i="4" s="1"/>
  <c r="H692" i="4"/>
  <c r="H691" i="4" s="1"/>
  <c r="H690" i="4" s="1"/>
  <c r="I689" i="4"/>
  <c r="I688" i="4" s="1"/>
  <c r="I687" i="4" s="1"/>
  <c r="H689" i="4"/>
  <c r="H688" i="4" s="1"/>
  <c r="H687" i="4" s="1"/>
  <c r="I685" i="4"/>
  <c r="I684" i="4" s="1"/>
  <c r="H685" i="4"/>
  <c r="H684" i="4" s="1"/>
  <c r="I682" i="4"/>
  <c r="I681" i="4" s="1"/>
  <c r="I680" i="4" s="1"/>
  <c r="H682" i="4"/>
  <c r="H681" i="4" s="1"/>
  <c r="H680" i="4" s="1"/>
  <c r="I679" i="4"/>
  <c r="I678" i="4" s="1"/>
  <c r="I677" i="4" s="1"/>
  <c r="H679" i="4"/>
  <c r="H678" i="4" s="1"/>
  <c r="H677" i="4" s="1"/>
  <c r="I675" i="4"/>
  <c r="I674" i="4" s="1"/>
  <c r="I673" i="4" s="1"/>
  <c r="H675" i="4"/>
  <c r="H674" i="4" s="1"/>
  <c r="H673" i="4" s="1"/>
  <c r="I672" i="4"/>
  <c r="I671" i="4" s="1"/>
  <c r="I670" i="4" s="1"/>
  <c r="H672" i="4"/>
  <c r="H671" i="4" s="1"/>
  <c r="H670" i="4" s="1"/>
  <c r="I668" i="4"/>
  <c r="I667" i="4" s="1"/>
  <c r="I666" i="4" s="1"/>
  <c r="H668" i="4"/>
  <c r="H667" i="4" s="1"/>
  <c r="H666" i="4" s="1"/>
  <c r="I664" i="4"/>
  <c r="I663" i="4" s="1"/>
  <c r="H664" i="4"/>
  <c r="H663" i="4" s="1"/>
  <c r="I662" i="4"/>
  <c r="I661" i="4" s="1"/>
  <c r="I660" i="4" s="1"/>
  <c r="H662" i="4"/>
  <c r="H661" i="4" s="1"/>
  <c r="H660" i="4" s="1"/>
  <c r="I659" i="4"/>
  <c r="I658" i="4" s="1"/>
  <c r="I657" i="4" s="1"/>
  <c r="H659" i="4"/>
  <c r="H658" i="4" s="1"/>
  <c r="H657" i="4" s="1"/>
  <c r="I654" i="4"/>
  <c r="I653" i="4" s="1"/>
  <c r="I652" i="4" s="1"/>
  <c r="H654" i="4"/>
  <c r="H653" i="4" s="1"/>
  <c r="H652" i="4" s="1"/>
  <c r="I650" i="4"/>
  <c r="I649" i="4" s="1"/>
  <c r="H650" i="4"/>
  <c r="H649" i="4" s="1"/>
  <c r="I648" i="4"/>
  <c r="I647" i="4" s="1"/>
  <c r="I646" i="4" s="1"/>
  <c r="H648" i="4"/>
  <c r="H647" i="4" s="1"/>
  <c r="H646" i="4" s="1"/>
  <c r="I644" i="4"/>
  <c r="I643" i="4" s="1"/>
  <c r="H644" i="4"/>
  <c r="H643" i="4" s="1"/>
  <c r="I641" i="4"/>
  <c r="I640" i="4" s="1"/>
  <c r="H641" i="4"/>
  <c r="H640" i="4" s="1"/>
  <c r="I628" i="4"/>
  <c r="I627" i="4" s="1"/>
  <c r="H628" i="4"/>
  <c r="H627" i="4" s="1"/>
  <c r="I621" i="4"/>
  <c r="I620" i="4" s="1"/>
  <c r="H621" i="4"/>
  <c r="H620" i="4" s="1"/>
  <c r="H619" i="4" s="1"/>
  <c r="I616" i="4"/>
  <c r="I615" i="4" s="1"/>
  <c r="I614" i="4" s="1"/>
  <c r="I613" i="4" s="1"/>
  <c r="H616" i="4"/>
  <c r="H615" i="4" s="1"/>
  <c r="H614" i="4" s="1"/>
  <c r="H613" i="4" s="1"/>
  <c r="I604" i="4"/>
  <c r="I603" i="4" s="1"/>
  <c r="H604" i="4"/>
  <c r="H603" i="4" s="1"/>
  <c r="I601" i="4"/>
  <c r="I600" i="4" s="1"/>
  <c r="H601" i="4"/>
  <c r="H600" i="4" s="1"/>
  <c r="I598" i="4"/>
  <c r="I597" i="4" s="1"/>
  <c r="I596" i="4" s="1"/>
  <c r="H598" i="4"/>
  <c r="H597" i="4" s="1"/>
  <c r="H596" i="4" s="1"/>
  <c r="I595" i="4"/>
  <c r="I594" i="4" s="1"/>
  <c r="I593" i="4" s="1"/>
  <c r="H595" i="4"/>
  <c r="H594" i="4" s="1"/>
  <c r="H593" i="4" s="1"/>
  <c r="I591" i="4"/>
  <c r="I590" i="4" s="1"/>
  <c r="H591" i="4"/>
  <c r="H590" i="4" s="1"/>
  <c r="I587" i="4"/>
  <c r="I586" i="4" s="1"/>
  <c r="H587" i="4"/>
  <c r="H586" i="4" s="1"/>
  <c r="I584" i="4"/>
  <c r="I583" i="4" s="1"/>
  <c r="H584" i="4"/>
  <c r="H583" i="4" s="1"/>
  <c r="I582" i="4"/>
  <c r="I581" i="4" s="1"/>
  <c r="I580" i="4" s="1"/>
  <c r="H582" i="4"/>
  <c r="H581" i="4" s="1"/>
  <c r="H580" i="4" s="1"/>
  <c r="I577" i="4"/>
  <c r="I576" i="4" s="1"/>
  <c r="I575" i="4" s="1"/>
  <c r="H577" i="4"/>
  <c r="H576" i="4" s="1"/>
  <c r="H575" i="4" s="1"/>
  <c r="I573" i="4"/>
  <c r="I572" i="4" s="1"/>
  <c r="H573" i="4"/>
  <c r="H572" i="4" s="1"/>
  <c r="I571" i="4"/>
  <c r="I570" i="4" s="1"/>
  <c r="I569" i="4" s="1"/>
  <c r="H571" i="4"/>
  <c r="H570" i="4" s="1"/>
  <c r="H569" i="4" s="1"/>
  <c r="I567" i="4"/>
  <c r="I566" i="4" s="1"/>
  <c r="H567" i="4"/>
  <c r="H566" i="4" s="1"/>
  <c r="I557" i="4"/>
  <c r="I556" i="4" s="1"/>
  <c r="H557" i="4"/>
  <c r="H556" i="4" s="1"/>
  <c r="I549" i="4"/>
  <c r="I548" i="4" s="1"/>
  <c r="H549" i="4"/>
  <c r="H548" i="4" s="1"/>
  <c r="I546" i="4"/>
  <c r="I545" i="4" s="1"/>
  <c r="I544" i="4" s="1"/>
  <c r="I543" i="4" s="1"/>
  <c r="I542" i="4" s="1"/>
  <c r="H546" i="4"/>
  <c r="H545" i="4" s="1"/>
  <c r="H544" i="4" s="1"/>
  <c r="H543" i="4" s="1"/>
  <c r="H542" i="4" s="1"/>
  <c r="I533" i="4"/>
  <c r="I532" i="4" s="1"/>
  <c r="I531" i="4" s="1"/>
  <c r="H533" i="4"/>
  <c r="H532" i="4" s="1"/>
  <c r="H531" i="4" s="1"/>
  <c r="I530" i="4"/>
  <c r="I529" i="4" s="1"/>
  <c r="I528" i="4" s="1"/>
  <c r="H530" i="4"/>
  <c r="H529" i="4" s="1"/>
  <c r="H528" i="4" s="1"/>
  <c r="I523" i="4"/>
  <c r="I522" i="4" s="1"/>
  <c r="I521" i="4" s="1"/>
  <c r="I520" i="4" s="1"/>
  <c r="I519" i="4" s="1"/>
  <c r="H523" i="4"/>
  <c r="H522" i="4" s="1"/>
  <c r="H521" i="4" s="1"/>
  <c r="H520" i="4" s="1"/>
  <c r="H519" i="4" s="1"/>
  <c r="I517" i="4"/>
  <c r="I516" i="4" s="1"/>
  <c r="H517" i="4"/>
  <c r="H516" i="4" s="1"/>
  <c r="I515" i="4"/>
  <c r="I514" i="4" s="1"/>
  <c r="I513" i="4" s="1"/>
  <c r="H515" i="4"/>
  <c r="H514" i="4" s="1"/>
  <c r="H513" i="4" s="1"/>
  <c r="I504" i="4"/>
  <c r="I503" i="4" s="1"/>
  <c r="H504" i="4"/>
  <c r="H503" i="4" s="1"/>
  <c r="I502" i="4"/>
  <c r="I501" i="4" s="1"/>
  <c r="H502" i="4"/>
  <c r="H501" i="4" s="1"/>
  <c r="I500" i="4"/>
  <c r="I499" i="4" s="1"/>
  <c r="H500" i="4"/>
  <c r="H499" i="4" s="1"/>
  <c r="I498" i="4"/>
  <c r="I497" i="4" s="1"/>
  <c r="H498" i="4"/>
  <c r="H497" i="4" s="1"/>
  <c r="I470" i="4"/>
  <c r="I469" i="4" s="1"/>
  <c r="I468" i="4" s="1"/>
  <c r="I467" i="4" s="1"/>
  <c r="H470" i="4"/>
  <c r="H469" i="4" s="1"/>
  <c r="H468" i="4" s="1"/>
  <c r="H467" i="4" s="1"/>
  <c r="I463" i="4"/>
  <c r="I462" i="4" s="1"/>
  <c r="I461" i="4" s="1"/>
  <c r="H463" i="4"/>
  <c r="H462" i="4" s="1"/>
  <c r="H461" i="4" s="1"/>
  <c r="I460" i="4"/>
  <c r="H460" i="4"/>
  <c r="I454" i="4"/>
  <c r="I453" i="4" s="1"/>
  <c r="I452" i="4" s="1"/>
  <c r="H454" i="4"/>
  <c r="H453" i="4" s="1"/>
  <c r="I450" i="4"/>
  <c r="I449" i="4" s="1"/>
  <c r="I448" i="4" s="1"/>
  <c r="I447" i="4" s="1"/>
  <c r="I446" i="4" s="1"/>
  <c r="H450" i="4"/>
  <c r="H449" i="4" s="1"/>
  <c r="H448" i="4" s="1"/>
  <c r="H447" i="4" s="1"/>
  <c r="H446" i="4" s="1"/>
  <c r="I442" i="4"/>
  <c r="I441" i="4" s="1"/>
  <c r="I440" i="4" s="1"/>
  <c r="I439" i="4" s="1"/>
  <c r="I438" i="4" s="1"/>
  <c r="I437" i="4" s="1"/>
  <c r="H442" i="4"/>
  <c r="I435" i="4"/>
  <c r="I434" i="4" s="1"/>
  <c r="H435" i="4"/>
  <c r="H434" i="4" s="1"/>
  <c r="I432" i="4"/>
  <c r="H432" i="4"/>
  <c r="I430" i="4"/>
  <c r="H430" i="4"/>
  <c r="I428" i="4"/>
  <c r="H428" i="4"/>
  <c r="I423" i="4"/>
  <c r="I422" i="4" s="1"/>
  <c r="H423" i="4"/>
  <c r="H422" i="4" s="1"/>
  <c r="I420" i="4"/>
  <c r="H420" i="4"/>
  <c r="I418" i="4"/>
  <c r="H418" i="4"/>
  <c r="I412" i="4"/>
  <c r="I411" i="4" s="1"/>
  <c r="I410" i="4" s="1"/>
  <c r="I409" i="4" s="1"/>
  <c r="H412" i="4"/>
  <c r="H411" i="4" s="1"/>
  <c r="H410" i="4" s="1"/>
  <c r="H409" i="4" s="1"/>
  <c r="I407" i="4"/>
  <c r="I406" i="4" s="1"/>
  <c r="I404" i="4" s="1"/>
  <c r="H407" i="4"/>
  <c r="H406" i="4" s="1"/>
  <c r="H404" i="4" s="1"/>
  <c r="I405" i="4"/>
  <c r="H405" i="4"/>
  <c r="I402" i="4"/>
  <c r="I401" i="4" s="1"/>
  <c r="H402" i="4"/>
  <c r="H401" i="4" s="1"/>
  <c r="I399" i="4"/>
  <c r="I398" i="4" s="1"/>
  <c r="H399" i="4"/>
  <c r="H398" i="4" s="1"/>
  <c r="I392" i="4"/>
  <c r="I391" i="4" s="1"/>
  <c r="H392" i="4"/>
  <c r="H391" i="4" s="1"/>
  <c r="I389" i="4"/>
  <c r="I388" i="4" s="1"/>
  <c r="H389" i="4"/>
  <c r="H388" i="4" s="1"/>
  <c r="I385" i="4"/>
  <c r="I384" i="4" s="1"/>
  <c r="I383" i="4" s="1"/>
  <c r="H385" i="4"/>
  <c r="H384" i="4" s="1"/>
  <c r="H383" i="4" s="1"/>
  <c r="I381" i="4"/>
  <c r="I380" i="4" s="1"/>
  <c r="I379" i="4" s="1"/>
  <c r="H381" i="4"/>
  <c r="H380" i="4" s="1"/>
  <c r="H379" i="4" s="1"/>
  <c r="I377" i="4"/>
  <c r="H377" i="4"/>
  <c r="I375" i="4"/>
  <c r="H375" i="4"/>
  <c r="I374" i="4"/>
  <c r="I373" i="4" s="1"/>
  <c r="H374" i="4"/>
  <c r="H373" i="4" s="1"/>
  <c r="I364" i="4"/>
  <c r="I363" i="4" s="1"/>
  <c r="I359" i="4" s="1"/>
  <c r="H364" i="4"/>
  <c r="H363" i="4" s="1"/>
  <c r="H359" i="4" s="1"/>
  <c r="I357" i="4"/>
  <c r="I356" i="4" s="1"/>
  <c r="I355" i="4" s="1"/>
  <c r="H357" i="4"/>
  <c r="H356" i="4" s="1"/>
  <c r="H355" i="4" s="1"/>
  <c r="I353" i="4"/>
  <c r="H353" i="4"/>
  <c r="I351" i="4"/>
  <c r="H351" i="4"/>
  <c r="I347" i="4"/>
  <c r="H347" i="4"/>
  <c r="I345" i="4"/>
  <c r="H345" i="4"/>
  <c r="I344" i="4"/>
  <c r="I343" i="4" s="1"/>
  <c r="H344" i="4"/>
  <c r="H343" i="4" s="1"/>
  <c r="I335" i="4"/>
  <c r="I334" i="4" s="1"/>
  <c r="I333" i="4" s="1"/>
  <c r="H335" i="4"/>
  <c r="H334" i="4" s="1"/>
  <c r="H333" i="4" s="1"/>
  <c r="I331" i="4"/>
  <c r="H331" i="4"/>
  <c r="I330" i="4"/>
  <c r="I329" i="4" s="1"/>
  <c r="H330" i="4"/>
  <c r="H329" i="4" s="1"/>
  <c r="I325" i="4"/>
  <c r="I324" i="4" s="1"/>
  <c r="H325" i="4"/>
  <c r="H324" i="4" s="1"/>
  <c r="I322" i="4"/>
  <c r="I321" i="4" s="1"/>
  <c r="H322" i="4"/>
  <c r="H321" i="4" s="1"/>
  <c r="I315" i="4"/>
  <c r="I314" i="4" s="1"/>
  <c r="H315" i="4"/>
  <c r="H314" i="4" s="1"/>
  <c r="H312" i="4" s="1"/>
  <c r="I311" i="4"/>
  <c r="I310" i="4" s="1"/>
  <c r="I309" i="4" s="1"/>
  <c r="H311" i="4"/>
  <c r="H310" i="4" s="1"/>
  <c r="H309" i="4" s="1"/>
  <c r="I308" i="4"/>
  <c r="I307" i="4" s="1"/>
  <c r="I306" i="4" s="1"/>
  <c r="H308" i="4"/>
  <c r="H307" i="4" s="1"/>
  <c r="H306" i="4" s="1"/>
  <c r="I305" i="4"/>
  <c r="I304" i="4" s="1"/>
  <c r="I303" i="4" s="1"/>
  <c r="H305" i="4"/>
  <c r="H304" i="4" s="1"/>
  <c r="H303" i="4" s="1"/>
  <c r="I294" i="4"/>
  <c r="I293" i="4" s="1"/>
  <c r="H294" i="4"/>
  <c r="H293" i="4" s="1"/>
  <c r="I291" i="4"/>
  <c r="H291" i="4"/>
  <c r="I287" i="4"/>
  <c r="I286" i="4" s="1"/>
  <c r="I285" i="4" s="1"/>
  <c r="H287" i="4"/>
  <c r="H286" i="4" s="1"/>
  <c r="H285" i="4" s="1"/>
  <c r="I283" i="4"/>
  <c r="H283" i="4"/>
  <c r="I281" i="4"/>
  <c r="H281" i="4"/>
  <c r="I279" i="4"/>
  <c r="H279" i="4"/>
  <c r="I267" i="4"/>
  <c r="I266" i="4" s="1"/>
  <c r="H267" i="4"/>
  <c r="H266" i="4" s="1"/>
  <c r="I264" i="4"/>
  <c r="I263" i="4" s="1"/>
  <c r="H264" i="4"/>
  <c r="H263" i="4" s="1"/>
  <c r="I260" i="4"/>
  <c r="I259" i="4" s="1"/>
  <c r="H260" i="4"/>
  <c r="H259" i="4" s="1"/>
  <c r="I257" i="4"/>
  <c r="I256" i="4" s="1"/>
  <c r="H257" i="4"/>
  <c r="H256" i="4" s="1"/>
  <c r="I253" i="4"/>
  <c r="I252" i="4" s="1"/>
  <c r="H253" i="4"/>
  <c r="H252" i="4" s="1"/>
  <c r="I250" i="4"/>
  <c r="I249" i="4" s="1"/>
  <c r="H250" i="4"/>
  <c r="H249" i="4" s="1"/>
  <c r="I242" i="4"/>
  <c r="I241" i="4" s="1"/>
  <c r="H242" i="4"/>
  <c r="H241" i="4" s="1"/>
  <c r="H239" i="4" s="1"/>
  <c r="I237" i="4"/>
  <c r="I236" i="4" s="1"/>
  <c r="H237" i="4"/>
  <c r="H236" i="4" s="1"/>
  <c r="I234" i="4"/>
  <c r="I233" i="4" s="1"/>
  <c r="H234" i="4"/>
  <c r="H233" i="4" s="1"/>
  <c r="I231" i="4"/>
  <c r="I230" i="4" s="1"/>
  <c r="H231" i="4"/>
  <c r="H230" i="4" s="1"/>
  <c r="I228" i="4"/>
  <c r="I227" i="4" s="1"/>
  <c r="H228" i="4"/>
  <c r="H227" i="4" s="1"/>
  <c r="I225" i="4"/>
  <c r="I224" i="4" s="1"/>
  <c r="H225" i="4"/>
  <c r="H224" i="4" s="1"/>
  <c r="I220" i="4"/>
  <c r="I219" i="4" s="1"/>
  <c r="H220" i="4"/>
  <c r="H219" i="4" s="1"/>
  <c r="I218" i="4"/>
  <c r="I217" i="4" s="1"/>
  <c r="I216" i="4" s="1"/>
  <c r="H218" i="4"/>
  <c r="H217" i="4" s="1"/>
  <c r="H216" i="4" s="1"/>
  <c r="I209" i="4"/>
  <c r="I208" i="4" s="1"/>
  <c r="H209" i="4"/>
  <c r="H208" i="4" s="1"/>
  <c r="I207" i="4"/>
  <c r="I206" i="4" s="1"/>
  <c r="H207" i="4"/>
  <c r="H206" i="4" s="1"/>
  <c r="I200" i="4"/>
  <c r="I199" i="4" s="1"/>
  <c r="H200" i="4"/>
  <c r="H199" i="4" s="1"/>
  <c r="H197" i="4" s="1"/>
  <c r="H196" i="4" s="1"/>
  <c r="I194" i="4"/>
  <c r="I193" i="4" s="1"/>
  <c r="I192" i="4" s="1"/>
  <c r="I191" i="4" s="1"/>
  <c r="I190" i="4" s="1"/>
  <c r="H194" i="4"/>
  <c r="H193" i="4" s="1"/>
  <c r="H192" i="4" s="1"/>
  <c r="H191" i="4" s="1"/>
  <c r="H190" i="4" s="1"/>
  <c r="I187" i="4"/>
  <c r="I186" i="4" s="1"/>
  <c r="H187" i="4"/>
  <c r="H186" i="4" s="1"/>
  <c r="I184" i="4"/>
  <c r="I183" i="4" s="1"/>
  <c r="H184" i="4"/>
  <c r="H183" i="4" s="1"/>
  <c r="I180" i="4"/>
  <c r="I179" i="4" s="1"/>
  <c r="H180" i="4"/>
  <c r="H179" i="4" s="1"/>
  <c r="I178" i="4"/>
  <c r="I177" i="4" s="1"/>
  <c r="H178" i="4"/>
  <c r="H177" i="4" s="1"/>
  <c r="I171" i="4"/>
  <c r="I170" i="4" s="1"/>
  <c r="I169" i="4" s="1"/>
  <c r="H171" i="4"/>
  <c r="H170" i="4" s="1"/>
  <c r="H169" i="4" s="1"/>
  <c r="I164" i="4"/>
  <c r="I163" i="4" s="1"/>
  <c r="H164" i="4"/>
  <c r="H163" i="4" s="1"/>
  <c r="I157" i="4"/>
  <c r="I156" i="4" s="1"/>
  <c r="H157" i="4"/>
  <c r="H156" i="4" s="1"/>
  <c r="I155" i="4"/>
  <c r="I154" i="4" s="1"/>
  <c r="H155" i="4"/>
  <c r="H154" i="4" s="1"/>
  <c r="I153" i="4"/>
  <c r="I152" i="4" s="1"/>
  <c r="H153" i="4"/>
  <c r="H152" i="4" s="1"/>
  <c r="I149" i="4"/>
  <c r="I148" i="4" s="1"/>
  <c r="I147" i="4" s="1"/>
  <c r="H149" i="4"/>
  <c r="H148" i="4" s="1"/>
  <c r="H147" i="4" s="1"/>
  <c r="I145" i="4"/>
  <c r="I144" i="4" s="1"/>
  <c r="H145" i="4"/>
  <c r="H144" i="4" s="1"/>
  <c r="I138" i="4"/>
  <c r="I137" i="4" s="1"/>
  <c r="I136" i="4" s="1"/>
  <c r="I135" i="4" s="1"/>
  <c r="I134" i="4" s="1"/>
  <c r="I133" i="4" s="1"/>
  <c r="H138" i="4"/>
  <c r="H137" i="4" s="1"/>
  <c r="H136" i="4" s="1"/>
  <c r="H135" i="4" s="1"/>
  <c r="H134" i="4" s="1"/>
  <c r="H133" i="4" s="1"/>
  <c r="I131" i="4"/>
  <c r="I130" i="4" s="1"/>
  <c r="I129" i="4" s="1"/>
  <c r="H131" i="4"/>
  <c r="H130" i="4" s="1"/>
  <c r="H129" i="4" s="1"/>
  <c r="I126" i="4"/>
  <c r="I125" i="4" s="1"/>
  <c r="I124" i="4" s="1"/>
  <c r="H126" i="4"/>
  <c r="H125" i="4" s="1"/>
  <c r="H123" i="4" s="1"/>
  <c r="I121" i="4"/>
  <c r="I120" i="4" s="1"/>
  <c r="I119" i="4" s="1"/>
  <c r="H121" i="4"/>
  <c r="H120" i="4" s="1"/>
  <c r="H119" i="4" s="1"/>
  <c r="I117" i="4"/>
  <c r="I116" i="4" s="1"/>
  <c r="I115" i="4" s="1"/>
  <c r="H117" i="4"/>
  <c r="H116" i="4" s="1"/>
  <c r="H115" i="4" s="1"/>
  <c r="I112" i="4"/>
  <c r="I111" i="4" s="1"/>
  <c r="H112" i="4"/>
  <c r="H111" i="4" s="1"/>
  <c r="I110" i="4"/>
  <c r="I109" i="4" s="1"/>
  <c r="H110" i="4"/>
  <c r="H109" i="4" s="1"/>
  <c r="I108" i="4"/>
  <c r="I107" i="4" s="1"/>
  <c r="H108" i="4"/>
  <c r="H107" i="4" s="1"/>
  <c r="I93" i="4"/>
  <c r="I92" i="4" s="1"/>
  <c r="H93" i="4"/>
  <c r="H92" i="4" s="1"/>
  <c r="I90" i="4"/>
  <c r="H90" i="4"/>
  <c r="I84" i="4"/>
  <c r="I83" i="4" s="1"/>
  <c r="H84" i="4"/>
  <c r="H83" i="4" s="1"/>
  <c r="I81" i="4"/>
  <c r="I80" i="4" s="1"/>
  <c r="H81" i="4"/>
  <c r="H80" i="4" s="1"/>
  <c r="I78" i="4"/>
  <c r="I77" i="4" s="1"/>
  <c r="H78" i="4"/>
  <c r="H77" i="4" s="1"/>
  <c r="I75" i="4"/>
  <c r="H75" i="4"/>
  <c r="I72" i="4"/>
  <c r="I71" i="4" s="1"/>
  <c r="I70" i="4" s="1"/>
  <c r="I69" i="4" s="1"/>
  <c r="H72" i="4"/>
  <c r="H71" i="4" s="1"/>
  <c r="H70" i="4" s="1"/>
  <c r="H69" i="4" s="1"/>
  <c r="I67" i="4"/>
  <c r="I66" i="4" s="1"/>
  <c r="H67" i="4"/>
  <c r="H66" i="4" s="1"/>
  <c r="I65" i="4"/>
  <c r="I64" i="4" s="1"/>
  <c r="H65" i="4"/>
  <c r="H64" i="4" s="1"/>
  <c r="I62" i="4"/>
  <c r="I61" i="4" s="1"/>
  <c r="H62" i="4"/>
  <c r="H61" i="4" s="1"/>
  <c r="I60" i="4"/>
  <c r="I59" i="4" s="1"/>
  <c r="H60" i="4"/>
  <c r="H59" i="4" s="1"/>
  <c r="I57" i="4"/>
  <c r="I56" i="4" s="1"/>
  <c r="H57" i="4"/>
  <c r="H56" i="4" s="1"/>
  <c r="I55" i="4"/>
  <c r="I54" i="4" s="1"/>
  <c r="H55" i="4"/>
  <c r="H54" i="4" s="1"/>
  <c r="I46" i="4"/>
  <c r="H46" i="4"/>
  <c r="I42" i="4"/>
  <c r="I41" i="4" s="1"/>
  <c r="H42" i="4"/>
  <c r="H41" i="4" s="1"/>
  <c r="I40" i="4"/>
  <c r="I39" i="4" s="1"/>
  <c r="I38" i="4" s="1"/>
  <c r="H40" i="4"/>
  <c r="H39" i="4" s="1"/>
  <c r="H38" i="4" s="1"/>
  <c r="I37" i="4"/>
  <c r="I36" i="4" s="1"/>
  <c r="H37" i="4"/>
  <c r="H36" i="4" s="1"/>
  <c r="I34" i="4"/>
  <c r="H34" i="4"/>
  <c r="I33" i="4"/>
  <c r="I32" i="4" s="1"/>
  <c r="H33" i="4"/>
  <c r="H32" i="4" s="1"/>
  <c r="I31" i="4"/>
  <c r="I30" i="4" s="1"/>
  <c r="H31" i="4"/>
  <c r="H30" i="4" s="1"/>
  <c r="I22" i="4"/>
  <c r="I21" i="4" s="1"/>
  <c r="H22" i="4"/>
  <c r="H21" i="4" s="1"/>
  <c r="I19" i="4"/>
  <c r="H19" i="4"/>
  <c r="I17" i="4"/>
  <c r="H17" i="4"/>
  <c r="I16" i="4"/>
  <c r="I15" i="4" s="1"/>
  <c r="H16" i="4"/>
  <c r="H15" i="4" s="1"/>
  <c r="G1012" i="4"/>
  <c r="F427" i="3"/>
  <c r="F423" i="3"/>
  <c r="G435" i="14" l="1"/>
  <c r="F434" i="14"/>
  <c r="F433" i="14" s="1"/>
  <c r="H909" i="16"/>
  <c r="H908" i="16" s="1"/>
  <c r="H907" i="16" s="1"/>
  <c r="H906" i="16" s="1"/>
  <c r="H911" i="16" s="1"/>
  <c r="H441" i="4"/>
  <c r="H440" i="4" s="1"/>
  <c r="H439" i="4" s="1"/>
  <c r="H438" i="4" s="1"/>
  <c r="H437" i="4" s="1"/>
  <c r="H105" i="16"/>
  <c r="H1126" i="4"/>
  <c r="H1125" i="4" s="1"/>
  <c r="H1124" i="4" s="1"/>
  <c r="H1123" i="4" s="1"/>
  <c r="H459" i="4"/>
  <c r="H458" i="4" s="1"/>
  <c r="H457" i="4" s="1"/>
  <c r="H456" i="4" s="1"/>
  <c r="G1011" i="4"/>
  <c r="I459" i="4"/>
  <c r="I458" i="4" s="1"/>
  <c r="I457" i="4" s="1"/>
  <c r="I456" i="4" s="1"/>
  <c r="I1126" i="4"/>
  <c r="I1125" i="4" s="1"/>
  <c r="I1124" i="4" s="1"/>
  <c r="I1123" i="4" s="1"/>
  <c r="G228" i="5"/>
  <c r="G297" i="5"/>
  <c r="G233" i="5"/>
  <c r="G185" i="5"/>
  <c r="G226" i="5"/>
  <c r="F685" i="3"/>
  <c r="F684" i="3" s="1"/>
  <c r="G299" i="5"/>
  <c r="G555" i="5"/>
  <c r="G566" i="5"/>
  <c r="G170" i="5"/>
  <c r="G208" i="5"/>
  <c r="G370" i="5"/>
  <c r="G174" i="5"/>
  <c r="G211" i="5"/>
  <c r="G236" i="5"/>
  <c r="G203" i="5"/>
  <c r="G172" i="5"/>
  <c r="G201" i="5"/>
  <c r="G221" i="5"/>
  <c r="G187" i="5"/>
  <c r="G224" i="5"/>
  <c r="G181" i="5"/>
  <c r="G179" i="5"/>
  <c r="G745" i="5"/>
  <c r="F411" i="14"/>
  <c r="F498" i="3"/>
  <c r="F764" i="3"/>
  <c r="F466" i="3"/>
  <c r="F780" i="3"/>
  <c r="D41" i="2"/>
  <c r="F675" i="3"/>
  <c r="F655" i="14"/>
  <c r="G655" i="14" s="1"/>
  <c r="G177" i="5"/>
  <c r="F501" i="3"/>
  <c r="F485" i="3"/>
  <c r="F720" i="3"/>
  <c r="F411" i="3"/>
  <c r="F446" i="3"/>
  <c r="G782" i="5"/>
  <c r="F449" i="3"/>
  <c r="G786" i="5"/>
  <c r="I342" i="4"/>
  <c r="I341" i="4" s="1"/>
  <c r="I1034" i="4"/>
  <c r="I1030" i="4" s="1"/>
  <c r="I205" i="4"/>
  <c r="I204" i="4" s="1"/>
  <c r="I203" i="4" s="1"/>
  <c r="I202" i="4" s="1"/>
  <c r="I255" i="4"/>
  <c r="H205" i="4"/>
  <c r="H204" i="4" s="1"/>
  <c r="H203" i="4" s="1"/>
  <c r="H202" i="4" s="1"/>
  <c r="H189" i="4" s="1"/>
  <c r="I913" i="4"/>
  <c r="I907" i="4" s="1"/>
  <c r="I906" i="4" s="1"/>
  <c r="I899" i="4" s="1"/>
  <c r="H182" i="4"/>
  <c r="H181" i="4" s="1"/>
  <c r="I872" i="4"/>
  <c r="I871" i="4" s="1"/>
  <c r="I870" i="4" s="1"/>
  <c r="I869" i="4" s="1"/>
  <c r="I58" i="4"/>
  <c r="I14" i="4"/>
  <c r="I13" i="4" s="1"/>
  <c r="I12" i="4" s="1"/>
  <c r="I11" i="4" s="1"/>
  <c r="H342" i="4"/>
  <c r="H341" i="4" s="1"/>
  <c r="H417" i="4"/>
  <c r="H416" i="4" s="1"/>
  <c r="H415" i="4" s="1"/>
  <c r="H427" i="4"/>
  <c r="H426" i="4" s="1"/>
  <c r="H425" i="4" s="1"/>
  <c r="H772" i="4"/>
  <c r="H771" i="4" s="1"/>
  <c r="H766" i="4" s="1"/>
  <c r="H850" i="4"/>
  <c r="I1081" i="4"/>
  <c r="I1080" i="4" s="1"/>
  <c r="H176" i="4"/>
  <c r="H175" i="4" s="1"/>
  <c r="H174" i="4" s="1"/>
  <c r="H215" i="4"/>
  <c r="H214" i="4" s="1"/>
  <c r="H213" i="4" s="1"/>
  <c r="H958" i="4"/>
  <c r="I1045" i="4"/>
  <c r="H1137" i="4"/>
  <c r="H1136" i="4" s="1"/>
  <c r="H1135" i="4" s="1"/>
  <c r="H1134" i="4" s="1"/>
  <c r="I79" i="4"/>
  <c r="H718" i="4"/>
  <c r="H713" i="4" s="1"/>
  <c r="H589" i="4"/>
  <c r="I599" i="4"/>
  <c r="H255" i="4"/>
  <c r="H626" i="4"/>
  <c r="H58" i="4"/>
  <c r="H79" i="4"/>
  <c r="I176" i="4"/>
  <c r="I175" i="4" s="1"/>
  <c r="I174" i="4" s="1"/>
  <c r="I818" i="4"/>
  <c r="I798" i="4"/>
  <c r="I182" i="4"/>
  <c r="I181" i="4" s="1"/>
  <c r="H248" i="4"/>
  <c r="I372" i="4"/>
  <c r="I371" i="4" s="1"/>
  <c r="I740" i="4"/>
  <c r="H930" i="4"/>
  <c r="H929" i="4" s="1"/>
  <c r="H928" i="4" s="1"/>
  <c r="H927" i="4" s="1"/>
  <c r="I944" i="4"/>
  <c r="I952" i="4"/>
  <c r="I958" i="4"/>
  <c r="H1034" i="4"/>
  <c r="H1030" i="4" s="1"/>
  <c r="I1137" i="4"/>
  <c r="I1136" i="4" s="1"/>
  <c r="I1135" i="4" s="1"/>
  <c r="I1134" i="4" s="1"/>
  <c r="H14" i="4"/>
  <c r="H13" i="4" s="1"/>
  <c r="H12" i="4" s="1"/>
  <c r="H11" i="4" s="1"/>
  <c r="H63" i="4"/>
  <c r="H74" i="4"/>
  <c r="H73" i="4" s="1"/>
  <c r="H89" i="4"/>
  <c r="H88" i="4" s="1"/>
  <c r="H87" i="4" s="1"/>
  <c r="H86" i="4" s="1"/>
  <c r="H106" i="4"/>
  <c r="H105" i="4" s="1"/>
  <c r="H104" i="4" s="1"/>
  <c r="H128" i="4"/>
  <c r="I143" i="4"/>
  <c r="I151" i="4"/>
  <c r="I150" i="4" s="1"/>
  <c r="H387" i="4"/>
  <c r="I394" i="4"/>
  <c r="I427" i="4"/>
  <c r="I426" i="4" s="1"/>
  <c r="I425" i="4" s="1"/>
  <c r="I626" i="4"/>
  <c r="H872" i="4"/>
  <c r="H871" i="4" s="1"/>
  <c r="H870" i="4" s="1"/>
  <c r="H869" i="4" s="1"/>
  <c r="H885" i="4"/>
  <c r="H881" i="4" s="1"/>
  <c r="H880" i="4" s="1"/>
  <c r="H879" i="4" s="1"/>
  <c r="H878" i="4" s="1"/>
  <c r="H944" i="4"/>
  <c r="I527" i="4"/>
  <c r="I526" i="4" s="1"/>
  <c r="I525" i="4" s="1"/>
  <c r="I524" i="4" s="1"/>
  <c r="I772" i="4"/>
  <c r="I771" i="4" s="1"/>
  <c r="I766" i="4" s="1"/>
  <c r="H394" i="4"/>
  <c r="I579" i="4"/>
  <c r="I1071" i="4"/>
  <c r="H512" i="4"/>
  <c r="H511" i="4" s="1"/>
  <c r="H510" i="4" s="1"/>
  <c r="I1060" i="4"/>
  <c r="I1059" i="4" s="1"/>
  <c r="I1058" i="4" s="1"/>
  <c r="H198" i="4"/>
  <c r="I290" i="4"/>
  <c r="I289" i="4" s="1"/>
  <c r="I350" i="4"/>
  <c r="I349" i="4" s="1"/>
  <c r="I496" i="4"/>
  <c r="I495" i="4" s="1"/>
  <c r="I494" i="4" s="1"/>
  <c r="I493" i="4" s="1"/>
  <c r="I758" i="4"/>
  <c r="I757" i="4" s="1"/>
  <c r="I756" i="4" s="1"/>
  <c r="I850" i="4"/>
  <c r="I1107" i="4"/>
  <c r="I1106" i="4" s="1"/>
  <c r="I1105" i="4" s="1"/>
  <c r="H669" i="4"/>
  <c r="H636" i="4"/>
  <c r="I278" i="4"/>
  <c r="I277" i="4" s="1"/>
  <c r="H618" i="4"/>
  <c r="H740" i="4"/>
  <c r="I808" i="4"/>
  <c r="H859" i="4"/>
  <c r="H858" i="4" s="1"/>
  <c r="H913" i="4"/>
  <c r="H912" i="4" s="1"/>
  <c r="H966" i="4"/>
  <c r="H1116" i="4"/>
  <c r="H1115" i="4" s="1"/>
  <c r="H974" i="4"/>
  <c r="I29" i="4"/>
  <c r="I28" i="4" s="1"/>
  <c r="I248" i="4"/>
  <c r="I262" i="4"/>
  <c r="I239" i="4"/>
  <c r="I240" i="4"/>
  <c r="I387" i="4"/>
  <c r="H262" i="4"/>
  <c r="H320" i="4"/>
  <c r="H731" i="4"/>
  <c r="H748" i="4"/>
  <c r="H747" i="4" s="1"/>
  <c r="H746" i="4" s="1"/>
  <c r="H745" i="4" s="1"/>
  <c r="H143" i="4"/>
  <c r="H714" i="4"/>
  <c r="I974" i="4"/>
  <c r="I1020" i="4"/>
  <c r="I1016" i="4" s="1"/>
  <c r="I1015" i="4" s="1"/>
  <c r="H1095" i="4"/>
  <c r="H1094" i="4" s="1"/>
  <c r="H45" i="4"/>
  <c r="I215" i="4"/>
  <c r="I214" i="4" s="1"/>
  <c r="I213" i="4" s="1"/>
  <c r="H223" i="4"/>
  <c r="H222" i="4" s="1"/>
  <c r="H240" i="4"/>
  <c r="H299" i="4"/>
  <c r="I320" i="4"/>
  <c r="H350" i="4"/>
  <c r="H349" i="4" s="1"/>
  <c r="H372" i="4"/>
  <c r="H371" i="4" s="1"/>
  <c r="H555" i="4"/>
  <c r="H579" i="4"/>
  <c r="I669" i="4"/>
  <c r="H758" i="4"/>
  <c r="H757" i="4" s="1"/>
  <c r="H756" i="4" s="1"/>
  <c r="H1020" i="4"/>
  <c r="H1016" i="4" s="1"/>
  <c r="H1015" i="4" s="1"/>
  <c r="H1081" i="4"/>
  <c r="H1080" i="4" s="1"/>
  <c r="I45" i="4"/>
  <c r="I53" i="4"/>
  <c r="I114" i="4"/>
  <c r="H151" i="4"/>
  <c r="H150" i="4" s="1"/>
  <c r="H278" i="4"/>
  <c r="H277" i="4" s="1"/>
  <c r="I328" i="4"/>
  <c r="I327" i="4" s="1"/>
  <c r="H451" i="4"/>
  <c r="H452" i="4"/>
  <c r="I562" i="4"/>
  <c r="H656" i="4"/>
  <c r="H328" i="4"/>
  <c r="H327" i="4" s="1"/>
  <c r="I589" i="4"/>
  <c r="I676" i="4"/>
  <c r="I748" i="4"/>
  <c r="I747" i="4" s="1"/>
  <c r="I746" i="4" s="1"/>
  <c r="I745" i="4" s="1"/>
  <c r="I885" i="4"/>
  <c r="I881" i="4" s="1"/>
  <c r="I880" i="4" s="1"/>
  <c r="I879" i="4" s="1"/>
  <c r="I878" i="4" s="1"/>
  <c r="I966" i="4"/>
  <c r="H1045" i="4"/>
  <c r="I1095" i="4"/>
  <c r="I1094" i="4" s="1"/>
  <c r="I417" i="4"/>
  <c r="I416" i="4" s="1"/>
  <c r="I415" i="4" s="1"/>
  <c r="I512" i="4"/>
  <c r="I511" i="4" s="1"/>
  <c r="I510" i="4" s="1"/>
  <c r="H808" i="4"/>
  <c r="H952" i="4"/>
  <c r="H1060" i="4"/>
  <c r="H1059" i="4" s="1"/>
  <c r="H1058" i="4" s="1"/>
  <c r="H1107" i="4"/>
  <c r="H1106" i="4" s="1"/>
  <c r="H1105" i="4" s="1"/>
  <c r="I312" i="4"/>
  <c r="I313" i="4"/>
  <c r="H496" i="4"/>
  <c r="H495" i="4" s="1"/>
  <c r="H494" i="4" s="1"/>
  <c r="H493" i="4" s="1"/>
  <c r="I63" i="4"/>
  <c r="I74" i="4"/>
  <c r="I73" i="4" s="1"/>
  <c r="I89" i="4"/>
  <c r="I88" i="4" s="1"/>
  <c r="I87" i="4" s="1"/>
  <c r="I86" i="4" s="1"/>
  <c r="I106" i="4"/>
  <c r="I105" i="4" s="1"/>
  <c r="I104" i="4" s="1"/>
  <c r="I197" i="4"/>
  <c r="I196" i="4" s="1"/>
  <c r="I198" i="4"/>
  <c r="I223" i="4"/>
  <c r="I222" i="4" s="1"/>
  <c r="I299" i="4"/>
  <c r="H29" i="4"/>
  <c r="H28" i="4" s="1"/>
  <c r="H53" i="4"/>
  <c r="H114" i="4"/>
  <c r="I714" i="4"/>
  <c r="H313" i="4"/>
  <c r="I619" i="4"/>
  <c r="I618" i="4"/>
  <c r="I656" i="4"/>
  <c r="H124" i="4"/>
  <c r="H290" i="4"/>
  <c r="H289" i="4" s="1"/>
  <c r="I541" i="4"/>
  <c r="H599" i="4"/>
  <c r="I859" i="4"/>
  <c r="H676" i="4"/>
  <c r="I123" i="4"/>
  <c r="I128" i="4"/>
  <c r="H527" i="4"/>
  <c r="H526" i="4" s="1"/>
  <c r="H525" i="4" s="1"/>
  <c r="H524" i="4" s="1"/>
  <c r="H541" i="4"/>
  <c r="H683" i="4"/>
  <c r="I451" i="4"/>
  <c r="I555" i="4"/>
  <c r="I636" i="4"/>
  <c r="I683" i="4"/>
  <c r="I930" i="4"/>
  <c r="I929" i="4" s="1"/>
  <c r="I928" i="4" s="1"/>
  <c r="I927" i="4" s="1"/>
  <c r="H562" i="4"/>
  <c r="I718" i="4"/>
  <c r="I713" i="4" s="1"/>
  <c r="I731" i="4"/>
  <c r="H798" i="4"/>
  <c r="H818" i="4"/>
  <c r="I1116" i="4"/>
  <c r="I1115" i="4" s="1"/>
  <c r="H1071" i="4"/>
  <c r="F401" i="3"/>
  <c r="F389" i="14" s="1"/>
  <c r="G389" i="14" s="1"/>
  <c r="F397" i="3"/>
  <c r="F385" i="14" s="1"/>
  <c r="G385" i="14" s="1"/>
  <c r="F393" i="3"/>
  <c r="F381" i="14" s="1"/>
  <c r="G381" i="14" s="1"/>
  <c r="F372" i="3"/>
  <c r="F360" i="14" s="1"/>
  <c r="G360" i="14" s="1"/>
  <c r="F367" i="3"/>
  <c r="F369" i="3"/>
  <c r="F364" i="3"/>
  <c r="F359" i="3"/>
  <c r="F361" i="3"/>
  <c r="F353" i="3"/>
  <c r="F355" i="3"/>
  <c r="F343" i="14" s="1"/>
  <c r="G343" i="14" s="1"/>
  <c r="F349" i="3"/>
  <c r="F345" i="3"/>
  <c r="F268" i="3"/>
  <c r="F274" i="3"/>
  <c r="F309" i="3"/>
  <c r="F300" i="14" s="1"/>
  <c r="G300" i="14" s="1"/>
  <c r="F312" i="3"/>
  <c r="F303" i="14" s="1"/>
  <c r="G303" i="14" s="1"/>
  <c r="F302" i="3"/>
  <c r="F305" i="3"/>
  <c r="F298" i="3"/>
  <c r="F289" i="14" s="1"/>
  <c r="G289" i="14" s="1"/>
  <c r="F295" i="3"/>
  <c r="F286" i="14" s="1"/>
  <c r="G286" i="14" s="1"/>
  <c r="F321" i="3"/>
  <c r="F312" i="14" s="1"/>
  <c r="G312" i="14" s="1"/>
  <c r="F324" i="3"/>
  <c r="F315" i="14" s="1"/>
  <c r="G315" i="14" s="1"/>
  <c r="F249" i="3"/>
  <c r="F256" i="3"/>
  <c r="F242" i="3"/>
  <c r="F230" i="3"/>
  <c r="F223" i="3"/>
  <c r="F56" i="3"/>
  <c r="F192" i="3"/>
  <c r="F183" i="3"/>
  <c r="F188" i="3"/>
  <c r="F175" i="14"/>
  <c r="F151" i="3"/>
  <c r="F216" i="3"/>
  <c r="G338" i="14" l="1"/>
  <c r="F348" i="3"/>
  <c r="H106" i="16"/>
  <c r="H104" i="16"/>
  <c r="H103" i="16" s="1"/>
  <c r="H102" i="16" s="1"/>
  <c r="H101" i="16" s="1"/>
  <c r="G699" i="14"/>
  <c r="G698" i="14" s="1"/>
  <c r="F699" i="14"/>
  <c r="F698" i="14" s="1"/>
  <c r="G483" i="14"/>
  <c r="F483" i="14"/>
  <c r="F191" i="3"/>
  <c r="G1010" i="4"/>
  <c r="G744" i="5"/>
  <c r="G296" i="5"/>
  <c r="I189" i="4"/>
  <c r="G746" i="5"/>
  <c r="H10" i="4"/>
  <c r="H9" i="4" s="1"/>
  <c r="G171" i="5"/>
  <c r="I10" i="4"/>
  <c r="I9" i="4" s="1"/>
  <c r="G180" i="5"/>
  <c r="G565" i="5"/>
  <c r="G184" i="5"/>
  <c r="G225" i="5"/>
  <c r="G176" i="5"/>
  <c r="G200" i="5"/>
  <c r="F222" i="3"/>
  <c r="F221" i="14"/>
  <c r="G221" i="14" s="1"/>
  <c r="F150" i="3"/>
  <c r="F146" i="14"/>
  <c r="G146" i="14" s="1"/>
  <c r="F448" i="3"/>
  <c r="F241" i="3"/>
  <c r="F267" i="3"/>
  <c r="F266" i="14"/>
  <c r="G266" i="14" s="1"/>
  <c r="F368" i="3"/>
  <c r="F356" i="14" s="1"/>
  <c r="G356" i="14" s="1"/>
  <c r="F357" i="14"/>
  <c r="G357" i="14" s="1"/>
  <c r="F719" i="3"/>
  <c r="F182" i="3"/>
  <c r="F248" i="3"/>
  <c r="F358" i="3"/>
  <c r="G346" i="14" s="1"/>
  <c r="G347" i="14"/>
  <c r="F445" i="3"/>
  <c r="G434" i="14"/>
  <c r="F410" i="3"/>
  <c r="F273" i="3"/>
  <c r="F363" i="3"/>
  <c r="F352" i="14"/>
  <c r="G352" i="14" s="1"/>
  <c r="F187" i="3"/>
  <c r="F185" i="14" s="1"/>
  <c r="F186" i="14"/>
  <c r="F344" i="3"/>
  <c r="G336" i="14"/>
  <c r="F360" i="3"/>
  <c r="G348" i="14" s="1"/>
  <c r="G349" i="14"/>
  <c r="F366" i="3"/>
  <c r="F354" i="14" s="1"/>
  <c r="G354" i="14" s="1"/>
  <c r="F355" i="14"/>
  <c r="G355" i="14" s="1"/>
  <c r="F497" i="3"/>
  <c r="F674" i="3"/>
  <c r="F654" i="14"/>
  <c r="F392" i="3"/>
  <c r="G841" i="5"/>
  <c r="F396" i="3"/>
  <c r="G848" i="5"/>
  <c r="G785" i="5"/>
  <c r="G787" i="5"/>
  <c r="F255" i="3"/>
  <c r="G805" i="5"/>
  <c r="F400" i="3"/>
  <c r="G855" i="5"/>
  <c r="G783" i="5"/>
  <c r="G781" i="5"/>
  <c r="F176" i="3"/>
  <c r="G870" i="5"/>
  <c r="F215" i="3"/>
  <c r="G213" i="14" s="1"/>
  <c r="I1029" i="4"/>
  <c r="I1014" i="4" s="1"/>
  <c r="I1008" i="4" s="1"/>
  <c r="F323" i="3"/>
  <c r="G412" i="5"/>
  <c r="F320" i="3"/>
  <c r="G408" i="5"/>
  <c r="F294" i="3"/>
  <c r="G115" i="5"/>
  <c r="G116" i="5" s="1"/>
  <c r="F311" i="3"/>
  <c r="G141" i="5"/>
  <c r="F297" i="3"/>
  <c r="G119" i="5"/>
  <c r="F308" i="3"/>
  <c r="G137" i="5"/>
  <c r="F304" i="3"/>
  <c r="G130" i="5"/>
  <c r="F301" i="3"/>
  <c r="G126" i="5"/>
  <c r="H276" i="4"/>
  <c r="H275" i="4" s="1"/>
  <c r="H274" i="4" s="1"/>
  <c r="I276" i="4"/>
  <c r="I275" i="4" s="1"/>
  <c r="I274" i="4" s="1"/>
  <c r="I319" i="4"/>
  <c r="I318" i="4" s="1"/>
  <c r="I317" i="4" s="1"/>
  <c r="I340" i="4"/>
  <c r="I1070" i="4"/>
  <c r="I1057" i="4" s="1"/>
  <c r="H943" i="4"/>
  <c r="I912" i="4"/>
  <c r="H625" i="4"/>
  <c r="I142" i="4"/>
  <c r="I141" i="4" s="1"/>
  <c r="I140" i="4" s="1"/>
  <c r="H68" i="4"/>
  <c r="H712" i="4"/>
  <c r="H711" i="4" s="1"/>
  <c r="H1104" i="4"/>
  <c r="H1103" i="4" s="1"/>
  <c r="H1102" i="4" s="1"/>
  <c r="H957" i="4"/>
  <c r="H414" i="4"/>
  <c r="I68" i="4"/>
  <c r="I414" i="4"/>
  <c r="I578" i="4"/>
  <c r="H173" i="4"/>
  <c r="I712" i="4"/>
  <c r="I711" i="4" s="1"/>
  <c r="I943" i="4"/>
  <c r="H554" i="4"/>
  <c r="I625" i="4"/>
  <c r="I492" i="4"/>
  <c r="I491" i="4" s="1"/>
  <c r="H142" i="4"/>
  <c r="H141" i="4" s="1"/>
  <c r="H140" i="4" s="1"/>
  <c r="H857" i="4"/>
  <c r="H849" i="4" s="1"/>
  <c r="H848" i="4" s="1"/>
  <c r="H212" i="4"/>
  <c r="H211" i="4" s="1"/>
  <c r="H44" i="4"/>
  <c r="H27" i="4" s="1"/>
  <c r="H340" i="4"/>
  <c r="H445" i="4"/>
  <c r="H444" i="4" s="1"/>
  <c r="H443" i="4" s="1"/>
  <c r="I797" i="4"/>
  <c r="I796" i="4" s="1"/>
  <c r="I791" i="4" s="1"/>
  <c r="I173" i="4"/>
  <c r="H492" i="4"/>
  <c r="H491" i="4" s="1"/>
  <c r="I370" i="4"/>
  <c r="H578" i="4"/>
  <c r="H247" i="4"/>
  <c r="H246" i="4" s="1"/>
  <c r="H245" i="4" s="1"/>
  <c r="H244" i="4" s="1"/>
  <c r="I445" i="4"/>
  <c r="I444" i="4" s="1"/>
  <c r="I443" i="4" s="1"/>
  <c r="H907" i="4"/>
  <c r="H906" i="4" s="1"/>
  <c r="H899" i="4" s="1"/>
  <c r="H1070" i="4"/>
  <c r="H1057" i="4" s="1"/>
  <c r="I1104" i="4"/>
  <c r="I1103" i="4" s="1"/>
  <c r="I1102" i="4" s="1"/>
  <c r="I957" i="4"/>
  <c r="I755" i="4"/>
  <c r="H655" i="4"/>
  <c r="I212" i="4"/>
  <c r="I211" i="4" s="1"/>
  <c r="I554" i="4"/>
  <c r="I44" i="4"/>
  <c r="I27" i="4" s="1"/>
  <c r="I247" i="4"/>
  <c r="I246" i="4" s="1"/>
  <c r="I245" i="4" s="1"/>
  <c r="I244" i="4" s="1"/>
  <c r="H1029" i="4"/>
  <c r="H1014" i="4" s="1"/>
  <c r="H1008" i="4" s="1"/>
  <c r="H755" i="4"/>
  <c r="H370" i="4"/>
  <c r="H319" i="4"/>
  <c r="H318" i="4" s="1"/>
  <c r="H317" i="4" s="1"/>
  <c r="I103" i="4"/>
  <c r="I655" i="4"/>
  <c r="I858" i="4"/>
  <c r="I857" i="4"/>
  <c r="I849" i="4" s="1"/>
  <c r="I848" i="4" s="1"/>
  <c r="H797" i="4"/>
  <c r="H796" i="4" s="1"/>
  <c r="H791" i="4" s="1"/>
  <c r="H103" i="4"/>
  <c r="F211" i="3"/>
  <c r="F197" i="3"/>
  <c r="F201" i="3"/>
  <c r="F180" i="3"/>
  <c r="F169" i="3"/>
  <c r="F167" i="14" s="1"/>
  <c r="G167" i="14" s="1"/>
  <c r="F160" i="3"/>
  <c r="F137" i="3"/>
  <c r="F92" i="3"/>
  <c r="F98" i="3"/>
  <c r="F101" i="3"/>
  <c r="F96" i="14" s="1"/>
  <c r="G96" i="14" s="1"/>
  <c r="F24" i="3"/>
  <c r="G335" i="14" l="1"/>
  <c r="F343" i="3"/>
  <c r="H100" i="16"/>
  <c r="H99" i="16"/>
  <c r="H969" i="15"/>
  <c r="H968" i="15" s="1"/>
  <c r="G969" i="15"/>
  <c r="G968" i="15" s="1"/>
  <c r="G654" i="14"/>
  <c r="G653" i="14" s="1"/>
  <c r="F653" i="14"/>
  <c r="G433" i="14"/>
  <c r="G432" i="14" s="1"/>
  <c r="F432" i="14"/>
  <c r="G663" i="14"/>
  <c r="F663" i="14"/>
  <c r="H942" i="4"/>
  <c r="H941" i="4" s="1"/>
  <c r="H926" i="4" s="1"/>
  <c r="H877" i="4" s="1"/>
  <c r="G1009" i="4"/>
  <c r="I273" i="4"/>
  <c r="H273" i="4"/>
  <c r="G114" i="5"/>
  <c r="G856" i="5"/>
  <c r="G842" i="5"/>
  <c r="G175" i="5"/>
  <c r="G784" i="5"/>
  <c r="G780" i="5"/>
  <c r="G849" i="5"/>
  <c r="F173" i="3"/>
  <c r="F254" i="3"/>
  <c r="F395" i="3"/>
  <c r="F384" i="14"/>
  <c r="G384" i="14" s="1"/>
  <c r="F362" i="3"/>
  <c r="F350" i="14" s="1"/>
  <c r="G350" i="14" s="1"/>
  <c r="F351" i="14"/>
  <c r="G351" i="14" s="1"/>
  <c r="F409" i="3"/>
  <c r="F149" i="3"/>
  <c r="F144" i="14" s="1"/>
  <c r="G144" i="14" s="1"/>
  <c r="F145" i="14"/>
  <c r="G145" i="14" s="1"/>
  <c r="F303" i="3"/>
  <c r="F322" i="3"/>
  <c r="F313" i="14" s="1"/>
  <c r="G313" i="14" s="1"/>
  <c r="F314" i="14"/>
  <c r="G314" i="14" s="1"/>
  <c r="F136" i="3"/>
  <c r="F175" i="3"/>
  <c r="F173" i="14" s="1"/>
  <c r="F174" i="14"/>
  <c r="F399" i="3"/>
  <c r="F388" i="14"/>
  <c r="G388" i="14" s="1"/>
  <c r="F391" i="3"/>
  <c r="F380" i="14"/>
  <c r="G380" i="14" s="1"/>
  <c r="F159" i="3"/>
  <c r="F357" i="3"/>
  <c r="F300" i="3"/>
  <c r="F307" i="3"/>
  <c r="F298" i="14" s="1"/>
  <c r="F299" i="14"/>
  <c r="G299" i="14" s="1"/>
  <c r="F310" i="3"/>
  <c r="F301" i="14" s="1"/>
  <c r="G301" i="14" s="1"/>
  <c r="F302" i="14"/>
  <c r="G302" i="14" s="1"/>
  <c r="F319" i="3"/>
  <c r="F310" i="14" s="1"/>
  <c r="F311" i="14"/>
  <c r="G311" i="14" s="1"/>
  <c r="F444" i="3"/>
  <c r="F179" i="3"/>
  <c r="F296" i="3"/>
  <c r="F287" i="14" s="1"/>
  <c r="G287" i="14" s="1"/>
  <c r="F288" i="14"/>
  <c r="G288" i="14" s="1"/>
  <c r="F293" i="3"/>
  <c r="F284" i="14" s="1"/>
  <c r="F285" i="14"/>
  <c r="G285" i="14" s="1"/>
  <c r="F365" i="3"/>
  <c r="F353" i="14" s="1"/>
  <c r="G353" i="14" s="1"/>
  <c r="F247" i="3"/>
  <c r="F266" i="3"/>
  <c r="F265" i="14"/>
  <c r="G265" i="14" s="1"/>
  <c r="F221" i="3"/>
  <c r="F220" i="14"/>
  <c r="G220" i="14" s="1"/>
  <c r="G871" i="5"/>
  <c r="G869" i="5"/>
  <c r="I26" i="4"/>
  <c r="I25" i="4" s="1"/>
  <c r="G804" i="5"/>
  <c r="G806" i="5"/>
  <c r="G411" i="5"/>
  <c r="G413" i="5"/>
  <c r="G407" i="5"/>
  <c r="G409" i="5"/>
  <c r="G136" i="5"/>
  <c r="G138" i="5"/>
  <c r="G140" i="5"/>
  <c r="G142" i="5"/>
  <c r="G129" i="5"/>
  <c r="G131" i="5"/>
  <c r="G118" i="5"/>
  <c r="G120" i="5"/>
  <c r="G125" i="5"/>
  <c r="G127" i="5"/>
  <c r="F97" i="3"/>
  <c r="G446" i="5"/>
  <c r="F91" i="3"/>
  <c r="G436" i="5"/>
  <c r="F23" i="3"/>
  <c r="G427" i="5"/>
  <c r="F100" i="3"/>
  <c r="G450" i="5"/>
  <c r="F168" i="3"/>
  <c r="G160" i="5"/>
  <c r="I553" i="4"/>
  <c r="I552" i="4" s="1"/>
  <c r="I339" i="4"/>
  <c r="I338" i="4" s="1"/>
  <c r="I337" i="4" s="1"/>
  <c r="H624" i="4"/>
  <c r="H623" i="4" s="1"/>
  <c r="H339" i="4"/>
  <c r="H338" i="4" s="1"/>
  <c r="H337" i="4" s="1"/>
  <c r="H553" i="4"/>
  <c r="H552" i="4" s="1"/>
  <c r="H26" i="4"/>
  <c r="H25" i="4" s="1"/>
  <c r="I624" i="4"/>
  <c r="I623" i="4" s="1"/>
  <c r="I942" i="4"/>
  <c r="I941" i="4" s="1"/>
  <c r="I926" i="4" s="1"/>
  <c r="I877" i="4" s="1"/>
  <c r="I790" i="4"/>
  <c r="I782" i="4" s="1"/>
  <c r="H790" i="4"/>
  <c r="H782" i="4" s="1"/>
  <c r="G1122" i="4"/>
  <c r="G1118" i="4"/>
  <c r="F118" i="3"/>
  <c r="F123" i="3"/>
  <c r="F112" i="3"/>
  <c r="F109" i="3"/>
  <c r="F60" i="3"/>
  <c r="F55" i="3"/>
  <c r="F37" i="3"/>
  <c r="F18" i="3"/>
  <c r="D104" i="1" l="1"/>
  <c r="G290" i="14"/>
  <c r="F290" i="14"/>
  <c r="G345" i="14"/>
  <c r="G310" i="14"/>
  <c r="G309" i="14" s="1"/>
  <c r="G308" i="14" s="1"/>
  <c r="F309" i="14"/>
  <c r="F308" i="14" s="1"/>
  <c r="G298" i="14"/>
  <c r="G297" i="14" s="1"/>
  <c r="F297" i="14"/>
  <c r="G397" i="14"/>
  <c r="G396" i="14" s="1"/>
  <c r="F397" i="14"/>
  <c r="F396" i="14" s="1"/>
  <c r="G284" i="14"/>
  <c r="G283" i="14" s="1"/>
  <c r="F283" i="14"/>
  <c r="G1117" i="4"/>
  <c r="I551" i="4"/>
  <c r="I540" i="4" s="1"/>
  <c r="G117" i="5"/>
  <c r="G406" i="5"/>
  <c r="G803" i="5"/>
  <c r="G868" i="5"/>
  <c r="G437" i="5"/>
  <c r="G779" i="5"/>
  <c r="G124" i="5"/>
  <c r="G128" i="5"/>
  <c r="G135" i="5"/>
  <c r="G410" i="5"/>
  <c r="F318" i="3"/>
  <c r="F317" i="3" s="1"/>
  <c r="G139" i="5"/>
  <c r="F36" i="3"/>
  <c r="F36" i="14" s="1"/>
  <c r="G36" i="14" s="1"/>
  <c r="F37" i="14"/>
  <c r="G37" i="14" s="1"/>
  <c r="F54" i="3"/>
  <c r="F253" i="3"/>
  <c r="F59" i="3"/>
  <c r="F122" i="3"/>
  <c r="F167" i="3"/>
  <c r="F165" i="14" s="1"/>
  <c r="G165" i="14" s="1"/>
  <c r="F166" i="14"/>
  <c r="G166" i="14" s="1"/>
  <c r="F22" i="3"/>
  <c r="F96" i="3"/>
  <c r="F299" i="3"/>
  <c r="F292" i="3"/>
  <c r="F265" i="3"/>
  <c r="F264" i="14"/>
  <c r="F108" i="3"/>
  <c r="F99" i="3"/>
  <c r="F94" i="14" s="1"/>
  <c r="G94" i="14" s="1"/>
  <c r="F95" i="14"/>
  <c r="G95" i="14" s="1"/>
  <c r="F220" i="3"/>
  <c r="F219" i="14"/>
  <c r="F111" i="3"/>
  <c r="F390" i="3"/>
  <c r="F379" i="14"/>
  <c r="F17" i="3"/>
  <c r="G17" i="14" s="1"/>
  <c r="F306" i="3"/>
  <c r="F158" i="3"/>
  <c r="F398" i="3"/>
  <c r="F387" i="14"/>
  <c r="F135" i="3"/>
  <c r="F408" i="3"/>
  <c r="F394" i="3"/>
  <c r="F383" i="14"/>
  <c r="G449" i="5"/>
  <c r="G451" i="5"/>
  <c r="G445" i="5"/>
  <c r="G447" i="5"/>
  <c r="G426" i="5"/>
  <c r="G428" i="5"/>
  <c r="G159" i="5"/>
  <c r="G161" i="5"/>
  <c r="H210" i="4"/>
  <c r="I210" i="4"/>
  <c r="H551" i="4"/>
  <c r="H540" i="4" s="1"/>
  <c r="G1121" i="4"/>
  <c r="F27" i="3"/>
  <c r="H1079" i="15" l="1"/>
  <c r="G1078" i="15"/>
  <c r="G1077" i="15" s="1"/>
  <c r="F27" i="14"/>
  <c r="F58" i="3"/>
  <c r="G418" i="16"/>
  <c r="G417" i="16" s="1"/>
  <c r="G416" i="16" s="1"/>
  <c r="G411" i="16" s="1"/>
  <c r="F282" i="14"/>
  <c r="F281" i="14" s="1"/>
  <c r="F291" i="3"/>
  <c r="G282" i="14"/>
  <c r="G281" i="14" s="1"/>
  <c r="G383" i="14"/>
  <c r="G382" i="14" s="1"/>
  <c r="F382" i="14"/>
  <c r="G379" i="14"/>
  <c r="G378" i="14" s="1"/>
  <c r="F378" i="14"/>
  <c r="G219" i="14"/>
  <c r="G218" i="14" s="1"/>
  <c r="G217" i="14" s="1"/>
  <c r="G216" i="14" s="1"/>
  <c r="G215" i="14" s="1"/>
  <c r="F218" i="14"/>
  <c r="F217" i="14" s="1"/>
  <c r="F216" i="14" s="1"/>
  <c r="F215" i="14" s="1"/>
  <c r="G264" i="14"/>
  <c r="G263" i="14" s="1"/>
  <c r="F263" i="14"/>
  <c r="F262" i="14" s="1"/>
  <c r="F261" i="14" s="1"/>
  <c r="D24" i="13" s="1"/>
  <c r="G387" i="14"/>
  <c r="G386" i="14" s="1"/>
  <c r="F386" i="14"/>
  <c r="G90" i="14"/>
  <c r="F90" i="14"/>
  <c r="F251" i="14"/>
  <c r="G1120" i="4"/>
  <c r="G123" i="5"/>
  <c r="G134" i="5"/>
  <c r="G133" i="5" s="1"/>
  <c r="G121" i="5"/>
  <c r="G425" i="5"/>
  <c r="G448" i="5"/>
  <c r="G778" i="5"/>
  <c r="G158" i="5"/>
  <c r="F95" i="3"/>
  <c r="G405" i="5"/>
  <c r="G444" i="5"/>
  <c r="G443" i="5" s="1"/>
  <c r="G442" i="5" s="1"/>
  <c r="G441" i="5" s="1"/>
  <c r="G802" i="5"/>
  <c r="G132" i="5"/>
  <c r="F219" i="3"/>
  <c r="F121" i="3"/>
  <c r="F110" i="3"/>
  <c r="F26" i="3"/>
  <c r="G431" i="5"/>
  <c r="H499" i="15"/>
  <c r="G385" i="4"/>
  <c r="H498" i="15" l="1"/>
  <c r="H857" i="15"/>
  <c r="F135" i="14"/>
  <c r="F134" i="14" s="1"/>
  <c r="G856" i="15"/>
  <c r="H418" i="16"/>
  <c r="H1078" i="15"/>
  <c r="H1077" i="15" s="1"/>
  <c r="G27" i="14"/>
  <c r="G419" i="16"/>
  <c r="G122" i="5"/>
  <c r="G384" i="4"/>
  <c r="F820" i="3"/>
  <c r="G1116" i="4"/>
  <c r="G404" i="5"/>
  <c r="G403" i="5" s="1"/>
  <c r="G801" i="5"/>
  <c r="G777" i="5"/>
  <c r="F290" i="3"/>
  <c r="F25" i="3"/>
  <c r="F26" i="14"/>
  <c r="G26" i="14" s="1"/>
  <c r="F218" i="3"/>
  <c r="G430" i="5"/>
  <c r="G432" i="5"/>
  <c r="H37" i="15" l="1"/>
  <c r="G36" i="15"/>
  <c r="F44" i="14"/>
  <c r="F43" i="14" s="1"/>
  <c r="H856" i="15"/>
  <c r="G135" i="14"/>
  <c r="G134" i="14" s="1"/>
  <c r="H417" i="16"/>
  <c r="H416" i="16" s="1"/>
  <c r="H411" i="16" s="1"/>
  <c r="H419" i="16"/>
  <c r="F796" i="14"/>
  <c r="F795" i="14" s="1"/>
  <c r="F794" i="14" s="1"/>
  <c r="G374" i="15"/>
  <c r="G373" i="15" s="1"/>
  <c r="G1073" i="15"/>
  <c r="G1072" i="15" s="1"/>
  <c r="F1039" i="3"/>
  <c r="H375" i="15"/>
  <c r="G564" i="16"/>
  <c r="G1115" i="4"/>
  <c r="F790" i="3"/>
  <c r="F789" i="3" s="1"/>
  <c r="F116" i="3"/>
  <c r="G383" i="4"/>
  <c r="G800" i="5"/>
  <c r="G402" i="5"/>
  <c r="G429" i="5"/>
  <c r="F217" i="3"/>
  <c r="F21" i="3"/>
  <c r="F25" i="14"/>
  <c r="G1050" i="4"/>
  <c r="G972" i="4"/>
  <c r="H909" i="15"/>
  <c r="H16" i="15" l="1"/>
  <c r="G15" i="15"/>
  <c r="F111" i="14"/>
  <c r="F110" i="14" s="1"/>
  <c r="F769" i="14"/>
  <c r="F768" i="14" s="1"/>
  <c r="F767" i="14" s="1"/>
  <c r="G347" i="15"/>
  <c r="G346" i="15" s="1"/>
  <c r="H564" i="16"/>
  <c r="H565" i="16" s="1"/>
  <c r="G796" i="14"/>
  <c r="G795" i="14" s="1"/>
  <c r="G794" i="14" s="1"/>
  <c r="H36" i="15"/>
  <c r="G44" i="14"/>
  <c r="G43" i="14" s="1"/>
  <c r="H1073" i="15"/>
  <c r="H1072" i="15" s="1"/>
  <c r="H384" i="15"/>
  <c r="G384" i="15"/>
  <c r="G25" i="14"/>
  <c r="G21" i="14" s="1"/>
  <c r="G20" i="14" s="1"/>
  <c r="F21" i="14"/>
  <c r="F20" i="14" s="1"/>
  <c r="G565" i="16"/>
  <c r="G563" i="16"/>
  <c r="G562" i="16" s="1"/>
  <c r="G561" i="16" s="1"/>
  <c r="G560" i="16" s="1"/>
  <c r="G559" i="16" s="1"/>
  <c r="G558" i="16" s="1"/>
  <c r="H348" i="15"/>
  <c r="G519" i="16"/>
  <c r="F115" i="3"/>
  <c r="G971" i="4"/>
  <c r="G930" i="15" s="1"/>
  <c r="H930" i="15" s="1"/>
  <c r="G931" i="15"/>
  <c r="H931" i="15" s="1"/>
  <c r="G1049" i="4"/>
  <c r="F331" i="3"/>
  <c r="H894" i="15"/>
  <c r="G322" i="14" s="1"/>
  <c r="G321" i="14" s="1"/>
  <c r="G320" i="14" s="1"/>
  <c r="G424" i="5"/>
  <c r="F20" i="3"/>
  <c r="G931" i="4"/>
  <c r="H893" i="15" s="1"/>
  <c r="H563" i="16" l="1"/>
  <c r="H562" i="16" s="1"/>
  <c r="H561" i="16" s="1"/>
  <c r="H560" i="16" s="1"/>
  <c r="H559" i="16" s="1"/>
  <c r="H558" i="16" s="1"/>
  <c r="H519" i="16"/>
  <c r="H518" i="16" s="1"/>
  <c r="H517" i="16" s="1"/>
  <c r="H516" i="16" s="1"/>
  <c r="H515" i="16" s="1"/>
  <c r="H514" i="16" s="1"/>
  <c r="H513" i="16" s="1"/>
  <c r="G769" i="14"/>
  <c r="G768" i="14" s="1"/>
  <c r="G767" i="14" s="1"/>
  <c r="H347" i="15"/>
  <c r="H346" i="15" s="1"/>
  <c r="H15" i="15"/>
  <c r="G111" i="14"/>
  <c r="G110" i="14" s="1"/>
  <c r="G109" i="14" s="1"/>
  <c r="G520" i="16"/>
  <c r="G518" i="16"/>
  <c r="G517" i="16" s="1"/>
  <c r="G516" i="16" s="1"/>
  <c r="G515" i="16" s="1"/>
  <c r="G514" i="16" s="1"/>
  <c r="G513" i="16" s="1"/>
  <c r="G184" i="4"/>
  <c r="H520" i="16" l="1"/>
  <c r="G183" i="4"/>
  <c r="G184" i="15" s="1"/>
  <c r="H184" i="15" s="1"/>
  <c r="G185" i="15"/>
  <c r="H185" i="15" s="1"/>
  <c r="G84" i="4"/>
  <c r="G81" i="4"/>
  <c r="G75" i="4"/>
  <c r="F89" i="14" l="1"/>
  <c r="F88" i="14" s="1"/>
  <c r="F85" i="14" s="1"/>
  <c r="G78" i="15"/>
  <c r="G75" i="15" s="1"/>
  <c r="F83" i="14"/>
  <c r="F82" i="14" s="1"/>
  <c r="F81" i="14" s="1"/>
  <c r="G72" i="15"/>
  <c r="G71" i="15" s="1"/>
  <c r="H73" i="15"/>
  <c r="G407" i="16"/>
  <c r="H79" i="15"/>
  <c r="G426" i="16"/>
  <c r="G80" i="4"/>
  <c r="G83" i="4"/>
  <c r="G84" i="15" s="1"/>
  <c r="H84" i="15" s="1"/>
  <c r="G85" i="15"/>
  <c r="H85" i="15" s="1"/>
  <c r="G77" i="4"/>
  <c r="F94" i="3"/>
  <c r="G71" i="4"/>
  <c r="F88" i="3"/>
  <c r="G267" i="4"/>
  <c r="H407" i="16" l="1"/>
  <c r="H408" i="16" s="1"/>
  <c r="G83" i="14"/>
  <c r="G82" i="14" s="1"/>
  <c r="G81" i="14" s="1"/>
  <c r="H72" i="15"/>
  <c r="H71" i="15" s="1"/>
  <c r="H426" i="16"/>
  <c r="H425" i="16" s="1"/>
  <c r="H421" i="16" s="1"/>
  <c r="H420" i="16" s="1"/>
  <c r="H410" i="16" s="1"/>
  <c r="H409" i="16" s="1"/>
  <c r="G89" i="14"/>
  <c r="G88" i="14" s="1"/>
  <c r="H78" i="15"/>
  <c r="H75" i="15" s="1"/>
  <c r="G406" i="16"/>
  <c r="G405" i="16" s="1"/>
  <c r="G404" i="16" s="1"/>
  <c r="G408" i="16"/>
  <c r="H80" i="15"/>
  <c r="G80" i="15"/>
  <c r="G427" i="16"/>
  <c r="G425" i="16"/>
  <c r="G421" i="16" s="1"/>
  <c r="G420" i="16" s="1"/>
  <c r="G410" i="16" s="1"/>
  <c r="G409" i="16" s="1"/>
  <c r="G74" i="4"/>
  <c r="G73" i="4" s="1"/>
  <c r="G266" i="4"/>
  <c r="G270" i="15" s="1"/>
  <c r="H270" i="15" s="1"/>
  <c r="G271" i="15"/>
  <c r="H271" i="15" s="1"/>
  <c r="G70" i="4"/>
  <c r="G79" i="4"/>
  <c r="F87" i="3"/>
  <c r="G420" i="5"/>
  <c r="F93" i="3"/>
  <c r="G439" i="5"/>
  <c r="G335" i="4"/>
  <c r="G325" i="4"/>
  <c r="H406" i="16" l="1"/>
  <c r="H405" i="16" s="1"/>
  <c r="H404" i="16" s="1"/>
  <c r="H403" i="16" s="1"/>
  <c r="H427" i="16"/>
  <c r="G402" i="16"/>
  <c r="G401" i="16" s="1"/>
  <c r="G403" i="16"/>
  <c r="G69" i="4"/>
  <c r="G68" i="4" s="1"/>
  <c r="G324" i="4"/>
  <c r="G328" i="15" s="1"/>
  <c r="H328" i="15" s="1"/>
  <c r="G329" i="15"/>
  <c r="H329" i="15" s="1"/>
  <c r="G334" i="4"/>
  <c r="G421" i="5"/>
  <c r="G440" i="5"/>
  <c r="F90" i="3"/>
  <c r="G85" i="14"/>
  <c r="F86" i="3"/>
  <c r="G405" i="4"/>
  <c r="H402" i="16" l="1"/>
  <c r="H401" i="16" s="1"/>
  <c r="H70" i="15"/>
  <c r="G70" i="15"/>
  <c r="H74" i="15"/>
  <c r="G74" i="15"/>
  <c r="G333" i="4"/>
  <c r="F85" i="3"/>
  <c r="F89" i="3"/>
  <c r="G39" i="6"/>
  <c r="G38" i="6" s="1"/>
  <c r="G37" i="6" s="1"/>
  <c r="G36" i="6" s="1"/>
  <c r="G35" i="6" s="1"/>
  <c r="G14" i="6"/>
  <c r="G532" i="11"/>
  <c r="G531" i="11" s="1"/>
  <c r="G530" i="11" s="1"/>
  <c r="G529" i="11" s="1"/>
  <c r="G528" i="11" s="1"/>
  <c r="G527" i="11" s="1"/>
  <c r="G533" i="11" s="1"/>
  <c r="G525" i="11"/>
  <c r="G524" i="11" s="1"/>
  <c r="G523" i="11" s="1"/>
  <c r="G522" i="11" s="1"/>
  <c r="G519" i="11"/>
  <c r="G518" i="11" s="1"/>
  <c r="G517" i="11" s="1"/>
  <c r="G516" i="11"/>
  <c r="G515" i="11" s="1"/>
  <c r="G514" i="11" s="1"/>
  <c r="G509" i="11"/>
  <c r="G508" i="11" s="1"/>
  <c r="G507" i="11" s="1"/>
  <c r="G506" i="11"/>
  <c r="G505" i="11" s="1"/>
  <c r="G504" i="11" s="1"/>
  <c r="G503" i="11"/>
  <c r="G502" i="11" s="1"/>
  <c r="G501" i="11" s="1"/>
  <c r="G497" i="11"/>
  <c r="G496" i="11" s="1"/>
  <c r="G495" i="11"/>
  <c r="G494" i="11" s="1"/>
  <c r="G492" i="11"/>
  <c r="G491" i="11" s="1"/>
  <c r="G490" i="11" s="1"/>
  <c r="G485" i="11"/>
  <c r="G484" i="11" s="1"/>
  <c r="G483" i="11" s="1"/>
  <c r="G481" i="11"/>
  <c r="G480" i="11"/>
  <c r="G479" i="11"/>
  <c r="G478" i="11" s="1"/>
  <c r="G477" i="11" s="1"/>
  <c r="G476" i="11"/>
  <c r="G475" i="11" s="1"/>
  <c r="G474" i="11" s="1"/>
  <c r="G473" i="11"/>
  <c r="G472" i="11" s="1"/>
  <c r="G471" i="11" s="1"/>
  <c r="G470" i="11"/>
  <c r="G469" i="11" s="1"/>
  <c r="G468" i="11" s="1"/>
  <c r="G467" i="11"/>
  <c r="G466" i="11" s="1"/>
  <c r="G465" i="11" s="1"/>
  <c r="G462" i="11"/>
  <c r="G461" i="11" s="1"/>
  <c r="G464" i="11" s="1"/>
  <c r="G456" i="11"/>
  <c r="G455" i="11" s="1"/>
  <c r="G454" i="11" s="1"/>
  <c r="G453" i="11" s="1"/>
  <c r="G452" i="11" s="1"/>
  <c r="G451" i="11" s="1"/>
  <c r="G457" i="11" s="1"/>
  <c r="G449" i="11"/>
  <c r="G448" i="11" s="1"/>
  <c r="G447" i="11" s="1"/>
  <c r="G446" i="11"/>
  <c r="G445" i="11" s="1"/>
  <c r="G444" i="11" s="1"/>
  <c r="G443" i="11"/>
  <c r="G442" i="11" s="1"/>
  <c r="G441" i="11" s="1"/>
  <c r="G440" i="11"/>
  <c r="G439" i="11" s="1"/>
  <c r="G438" i="11"/>
  <c r="G437" i="11" s="1"/>
  <c r="G431" i="11"/>
  <c r="G430" i="11" s="1"/>
  <c r="G429" i="11" s="1"/>
  <c r="G428" i="11"/>
  <c r="G427" i="11" s="1"/>
  <c r="G426" i="11" s="1"/>
  <c r="G425" i="11"/>
  <c r="G424" i="11" s="1"/>
  <c r="G423" i="11" s="1"/>
  <c r="G416" i="11"/>
  <c r="G415" i="11" s="1"/>
  <c r="G414" i="11"/>
  <c r="G413" i="11" s="1"/>
  <c r="G412" i="11" s="1"/>
  <c r="G411" i="11" s="1"/>
  <c r="G410" i="11" s="1"/>
  <c r="G409" i="11" s="1"/>
  <c r="G418" i="11" s="1"/>
  <c r="G408" i="11"/>
  <c r="G405" i="11"/>
  <c r="G403" i="11"/>
  <c r="G402" i="11" s="1"/>
  <c r="G401" i="11" s="1"/>
  <c r="G400" i="11"/>
  <c r="G399" i="11" s="1"/>
  <c r="G397" i="11"/>
  <c r="G393" i="11"/>
  <c r="G392" i="11" s="1"/>
  <c r="G395" i="11" s="1"/>
  <c r="G389" i="11"/>
  <c r="G388" i="11" s="1"/>
  <c r="G391" i="11" s="1"/>
  <c r="G385" i="11"/>
  <c r="G384" i="11" s="1"/>
  <c r="G387" i="11" s="1"/>
  <c r="G382" i="11"/>
  <c r="G381" i="11" s="1"/>
  <c r="G380" i="11" s="1"/>
  <c r="G383" i="11" s="1"/>
  <c r="G379" i="11"/>
  <c r="G378" i="11" s="1"/>
  <c r="G377" i="11" s="1"/>
  <c r="G371" i="11"/>
  <c r="G370" i="11" s="1"/>
  <c r="G368" i="11"/>
  <c r="G367" i="11" s="1"/>
  <c r="G366" i="11" s="1"/>
  <c r="G365" i="11"/>
  <c r="G364" i="11" s="1"/>
  <c r="G363" i="11" s="1"/>
  <c r="G360" i="11"/>
  <c r="G359" i="11" s="1"/>
  <c r="G358" i="11"/>
  <c r="G357" i="11" s="1"/>
  <c r="G356" i="11" s="1"/>
  <c r="G350" i="11"/>
  <c r="G349" i="11" s="1"/>
  <c r="G347" i="11"/>
  <c r="G346" i="11" s="1"/>
  <c r="G345" i="11" s="1"/>
  <c r="G342" i="11"/>
  <c r="G341" i="11" s="1"/>
  <c r="G338" i="11"/>
  <c r="G337" i="11" s="1"/>
  <c r="G334" i="11"/>
  <c r="G333" i="11" s="1"/>
  <c r="G332" i="11"/>
  <c r="G331" i="11" s="1"/>
  <c r="G330" i="11" s="1"/>
  <c r="G324" i="11"/>
  <c r="G323" i="11" s="1"/>
  <c r="G322" i="11"/>
  <c r="G321" i="11" s="1"/>
  <c r="G314" i="11"/>
  <c r="G313" i="11" s="1"/>
  <c r="G310" i="11"/>
  <c r="G309" i="11" s="1"/>
  <c r="G307" i="11"/>
  <c r="G306" i="11" s="1"/>
  <c r="G305" i="11" s="1"/>
  <c r="G304" i="11"/>
  <c r="G303" i="11" s="1"/>
  <c r="G302" i="11" s="1"/>
  <c r="G301" i="11" s="1"/>
  <c r="G299" i="11"/>
  <c r="G298" i="11" s="1"/>
  <c r="G297" i="11" s="1"/>
  <c r="G292" i="11"/>
  <c r="G291" i="11" s="1"/>
  <c r="G290" i="11" s="1"/>
  <c r="G287" i="11"/>
  <c r="G286" i="11" s="1"/>
  <c r="G283" i="11"/>
  <c r="G282" i="11" s="1"/>
  <c r="G281" i="11"/>
  <c r="G280" i="11" s="1"/>
  <c r="G279" i="11" s="1"/>
  <c r="G278" i="11" s="1"/>
  <c r="G277" i="11"/>
  <c r="G276" i="11" s="1"/>
  <c r="G275" i="11" s="1"/>
  <c r="G269" i="11"/>
  <c r="G268" i="11" s="1"/>
  <c r="G267" i="11" s="1"/>
  <c r="G266" i="11" s="1"/>
  <c r="G265" i="11" s="1"/>
  <c r="G264" i="11" s="1"/>
  <c r="G270" i="11" s="1"/>
  <c r="G262" i="11"/>
  <c r="G261" i="11" s="1"/>
  <c r="G260" i="11" s="1"/>
  <c r="G259" i="11" s="1"/>
  <c r="G258" i="11" s="1"/>
  <c r="G257" i="11" s="1"/>
  <c r="G255" i="11"/>
  <c r="G254" i="11" s="1"/>
  <c r="G253" i="11" s="1"/>
  <c r="G252" i="11" s="1"/>
  <c r="G251" i="11" s="1"/>
  <c r="G250" i="11" s="1"/>
  <c r="G256" i="11" s="1"/>
  <c r="G247" i="11"/>
  <c r="G246" i="11" s="1"/>
  <c r="G245" i="11" s="1"/>
  <c r="G244" i="11" s="1"/>
  <c r="G243" i="11" s="1"/>
  <c r="G242" i="11" s="1"/>
  <c r="G248" i="11" s="1"/>
  <c r="G240" i="11"/>
  <c r="G239" i="11" s="1"/>
  <c r="G238" i="11" s="1"/>
  <c r="G237" i="11"/>
  <c r="G236" i="11" s="1"/>
  <c r="G235" i="11" s="1"/>
  <c r="G234" i="11"/>
  <c r="G233" i="11" s="1"/>
  <c r="G232" i="11"/>
  <c r="G231" i="11" s="1"/>
  <c r="G229" i="11"/>
  <c r="G228" i="11" s="1"/>
  <c r="G227" i="11" s="1"/>
  <c r="G222" i="11"/>
  <c r="G221" i="11" s="1"/>
  <c r="G220" i="11" s="1"/>
  <c r="G215" i="11"/>
  <c r="G214" i="11" s="1"/>
  <c r="G213" i="11" s="1"/>
  <c r="G212" i="11" s="1"/>
  <c r="G211" i="11" s="1"/>
  <c r="G210" i="11" s="1"/>
  <c r="G216" i="11" s="1"/>
  <c r="G206" i="11"/>
  <c r="G205" i="11" s="1"/>
  <c r="G201" i="11"/>
  <c r="G200" i="11" s="1"/>
  <c r="G204" i="11" s="1"/>
  <c r="G198" i="11"/>
  <c r="G197" i="11" s="1"/>
  <c r="G196" i="11" s="1"/>
  <c r="G195" i="11"/>
  <c r="G193" i="11"/>
  <c r="G192" i="11" s="1"/>
  <c r="G191" i="11" s="1"/>
  <c r="G190" i="11" s="1"/>
  <c r="G189" i="11" s="1"/>
  <c r="G185" i="11"/>
  <c r="G184" i="11"/>
  <c r="G181" i="11"/>
  <c r="G180" i="11" s="1"/>
  <c r="G178" i="11"/>
  <c r="G177" i="11" s="1"/>
  <c r="G176" i="11" s="1"/>
  <c r="G175" i="11"/>
  <c r="G174" i="11" s="1"/>
  <c r="G173" i="11" s="1"/>
  <c r="G172" i="11"/>
  <c r="G171" i="11" s="1"/>
  <c r="G170" i="11" s="1"/>
  <c r="G169" i="11"/>
  <c r="G168" i="11" s="1"/>
  <c r="G167" i="11" s="1"/>
  <c r="G166" i="11"/>
  <c r="G165" i="11" s="1"/>
  <c r="G164" i="11" s="1"/>
  <c r="G159" i="11"/>
  <c r="G161" i="11" s="1"/>
  <c r="G157" i="11"/>
  <c r="G155" i="11"/>
  <c r="G154" i="11" s="1"/>
  <c r="G151" i="11"/>
  <c r="G150" i="11" s="1"/>
  <c r="G153" i="11" s="1"/>
  <c r="G147" i="11"/>
  <c r="G146" i="11" s="1"/>
  <c r="G149" i="11" s="1"/>
  <c r="G143" i="11"/>
  <c r="G142" i="11" s="1"/>
  <c r="G138" i="11"/>
  <c r="G137" i="11" s="1"/>
  <c r="G135" i="11"/>
  <c r="G134" i="11" s="1"/>
  <c r="G133" i="11" s="1"/>
  <c r="G131" i="11"/>
  <c r="G130" i="11" s="1"/>
  <c r="G129" i="11" s="1"/>
  <c r="G126" i="11"/>
  <c r="G125" i="11" s="1"/>
  <c r="G122" i="11"/>
  <c r="G121" i="11" s="1"/>
  <c r="G116" i="11"/>
  <c r="G115" i="11" s="1"/>
  <c r="G114" i="11" s="1"/>
  <c r="G113" i="11" s="1"/>
  <c r="G112" i="11"/>
  <c r="G111" i="11" s="1"/>
  <c r="G110" i="11" s="1"/>
  <c r="G109" i="11" s="1"/>
  <c r="G108" i="11"/>
  <c r="G107" i="11" s="1"/>
  <c r="G106" i="11" s="1"/>
  <c r="G105" i="11" s="1"/>
  <c r="G100" i="11"/>
  <c r="G99" i="11" s="1"/>
  <c r="G98" i="11" s="1"/>
  <c r="G97" i="11" s="1"/>
  <c r="G96" i="11" s="1"/>
  <c r="G95" i="11" s="1"/>
  <c r="G101" i="11" s="1"/>
  <c r="G90" i="11"/>
  <c r="G89" i="11" s="1"/>
  <c r="G94" i="11" s="1"/>
  <c r="G86" i="11"/>
  <c r="G85" i="11" s="1"/>
  <c r="G88" i="11" s="1"/>
  <c r="G84" i="11"/>
  <c r="G82" i="11"/>
  <c r="G81" i="11" s="1"/>
  <c r="G79" i="11"/>
  <c r="G78" i="11" s="1"/>
  <c r="G77" i="11" s="1"/>
  <c r="G76" i="11"/>
  <c r="G75" i="11" s="1"/>
  <c r="G73" i="11"/>
  <c r="G67" i="11"/>
  <c r="G66" i="11" s="1"/>
  <c r="G65" i="11" s="1"/>
  <c r="G64" i="11" s="1"/>
  <c r="G63" i="11" s="1"/>
  <c r="G62" i="11" s="1"/>
  <c r="G68" i="11" s="1"/>
  <c r="G60" i="11"/>
  <c r="G59" i="11" s="1"/>
  <c r="G58" i="11" s="1"/>
  <c r="G57" i="11" s="1"/>
  <c r="G56" i="11" s="1"/>
  <c r="G55" i="11" s="1"/>
  <c r="G61" i="11" s="1"/>
  <c r="G53" i="11"/>
  <c r="G52" i="11" s="1"/>
  <c r="G51" i="11"/>
  <c r="G50" i="11" s="1"/>
  <c r="G44" i="11"/>
  <c r="G43" i="11" s="1"/>
  <c r="G42" i="11" s="1"/>
  <c r="G41" i="11" s="1"/>
  <c r="G40" i="11" s="1"/>
  <c r="G39" i="11" s="1"/>
  <c r="G45" i="11" s="1"/>
  <c r="G37" i="11"/>
  <c r="G36" i="11" s="1"/>
  <c r="G35" i="11" s="1"/>
  <c r="G34" i="11" s="1"/>
  <c r="G33" i="11" s="1"/>
  <c r="G32" i="11" s="1"/>
  <c r="G38" i="11" s="1"/>
  <c r="G30" i="11"/>
  <c r="G29" i="11" s="1"/>
  <c r="G28" i="11" s="1"/>
  <c r="G27" i="11"/>
  <c r="G26" i="11" s="1"/>
  <c r="G23" i="11" s="1"/>
  <c r="G24" i="11"/>
  <c r="G17" i="11"/>
  <c r="G16" i="11" s="1"/>
  <c r="G15" i="11"/>
  <c r="G14" i="11" s="1"/>
  <c r="G979" i="5"/>
  <c r="G972" i="5"/>
  <c r="G919" i="5"/>
  <c r="G914" i="5"/>
  <c r="G909" i="5"/>
  <c r="G929" i="5"/>
  <c r="G923" i="5"/>
  <c r="G948" i="5"/>
  <c r="G898" i="5"/>
  <c r="G890" i="5"/>
  <c r="G882" i="5"/>
  <c r="G878" i="5"/>
  <c r="G874" i="5"/>
  <c r="G854" i="5"/>
  <c r="G847" i="5"/>
  <c r="G794" i="5"/>
  <c r="G767" i="5"/>
  <c r="G760" i="5"/>
  <c r="G775" i="5"/>
  <c r="G728" i="5"/>
  <c r="G716" i="5"/>
  <c r="G712" i="5"/>
  <c r="G497" i="5"/>
  <c r="G490" i="5"/>
  <c r="G486" i="5"/>
  <c r="G458" i="5"/>
  <c r="G435" i="5"/>
  <c r="G368" i="5"/>
  <c r="G325" i="5"/>
  <c r="G294" i="5"/>
  <c r="G279" i="5"/>
  <c r="G272" i="5"/>
  <c r="G113" i="5"/>
  <c r="G99" i="5"/>
  <c r="G73" i="5"/>
  <c r="G55" i="5"/>
  <c r="G973" i="10"/>
  <c r="G972" i="10"/>
  <c r="G971" i="10" s="1"/>
  <c r="G969" i="10"/>
  <c r="G961" i="10"/>
  <c r="G960" i="10" s="1"/>
  <c r="G959" i="10" s="1"/>
  <c r="G958" i="10" s="1"/>
  <c r="G956" i="10"/>
  <c r="G955" i="10" s="1"/>
  <c r="G954" i="10" s="1"/>
  <c r="G951" i="10"/>
  <c r="G949" i="10"/>
  <c r="G943" i="10"/>
  <c r="G941" i="10"/>
  <c r="G939" i="10"/>
  <c r="G933" i="10"/>
  <c r="G931" i="10" s="1"/>
  <c r="G930" i="10" s="1"/>
  <c r="G929" i="10" s="1"/>
  <c r="G928" i="10" s="1"/>
  <c r="G927" i="10" s="1"/>
  <c r="G923" i="10"/>
  <c r="G922" i="10" s="1"/>
  <c r="G921" i="10" s="1"/>
  <c r="G920" i="10" s="1"/>
  <c r="G919" i="10" s="1"/>
  <c r="G918" i="10" s="1"/>
  <c r="G917" i="10"/>
  <c r="G916" i="10" s="1"/>
  <c r="G915" i="10"/>
  <c r="G914" i="10" s="1"/>
  <c r="G911" i="10"/>
  <c r="G910" i="10" s="1"/>
  <c r="G908" i="10"/>
  <c r="G907" i="10" s="1"/>
  <c r="G905" i="10"/>
  <c r="G904" i="10"/>
  <c r="G903" i="10" s="1"/>
  <c r="G897" i="10"/>
  <c r="G896" i="10" s="1"/>
  <c r="G894" i="10"/>
  <c r="G893" i="10" s="1"/>
  <c r="G892" i="10" s="1"/>
  <c r="G890" i="10"/>
  <c r="G889" i="10" s="1"/>
  <c r="G887" i="10"/>
  <c r="G886" i="10" s="1"/>
  <c r="G884" i="10"/>
  <c r="G883" i="10" s="1"/>
  <c r="G882" i="10"/>
  <c r="G881" i="10" s="1"/>
  <c r="G880" i="10" s="1"/>
  <c r="G876" i="10"/>
  <c r="G875" i="10" s="1"/>
  <c r="G874" i="10" s="1"/>
  <c r="G1008" i="10" s="1"/>
  <c r="G872" i="10"/>
  <c r="G871" i="10" s="1"/>
  <c r="G869" i="10"/>
  <c r="G868" i="10" s="1"/>
  <c r="G866" i="10"/>
  <c r="G865" i="10" s="1"/>
  <c r="G863" i="10"/>
  <c r="G862" i="10"/>
  <c r="G861" i="10" s="1"/>
  <c r="G857" i="10"/>
  <c r="G856" i="10" s="1"/>
  <c r="G854" i="10"/>
  <c r="G853" i="10" s="1"/>
  <c r="G851" i="10"/>
  <c r="G850" i="10" s="1"/>
  <c r="G845" i="10"/>
  <c r="G844" i="10" s="1"/>
  <c r="G841" i="10"/>
  <c r="G840" i="10"/>
  <c r="G839" i="10" s="1"/>
  <c r="G835" i="10"/>
  <c r="G834" i="10" s="1"/>
  <c r="G832" i="10"/>
  <c r="G831" i="10" s="1"/>
  <c r="G830" i="10"/>
  <c r="G829" i="10" s="1"/>
  <c r="G828" i="10" s="1"/>
  <c r="G825" i="10"/>
  <c r="G824" i="10" s="1"/>
  <c r="G823" i="10" s="1"/>
  <c r="G821" i="10"/>
  <c r="G820" i="10" s="1"/>
  <c r="G819" i="10"/>
  <c r="G818" i="10" s="1"/>
  <c r="G817" i="10" s="1"/>
  <c r="G816" i="10"/>
  <c r="G815" i="10" s="1"/>
  <c r="G814" i="10" s="1"/>
  <c r="G813" i="10"/>
  <c r="G812" i="10" s="1"/>
  <c r="G811" i="10" s="1"/>
  <c r="G810" i="10"/>
  <c r="G809" i="10" s="1"/>
  <c r="G808" i="10" s="1"/>
  <c r="G806" i="10"/>
  <c r="G805" i="10" s="1"/>
  <c r="G803" i="10"/>
  <c r="G802" i="10" s="1"/>
  <c r="G799" i="10"/>
  <c r="G798" i="10" s="1"/>
  <c r="G797" i="10" s="1"/>
  <c r="G796" i="10"/>
  <c r="G795" i="10" s="1"/>
  <c r="G793" i="10"/>
  <c r="G789" i="10"/>
  <c r="G788" i="10" s="1"/>
  <c r="G787" i="10" s="1"/>
  <c r="G783" i="10"/>
  <c r="G782" i="10" s="1"/>
  <c r="G781" i="10"/>
  <c r="G780" i="10" s="1"/>
  <c r="G775" i="10"/>
  <c r="G774" i="10" s="1"/>
  <c r="G773" i="10" s="1"/>
  <c r="G772" i="10" s="1"/>
  <c r="G771" i="10" s="1"/>
  <c r="G768" i="10"/>
  <c r="G767" i="10" s="1"/>
  <c r="G766" i="10" s="1"/>
  <c r="G765" i="10" s="1"/>
  <c r="G764" i="10" s="1"/>
  <c r="G763" i="10" s="1"/>
  <c r="G761" i="10"/>
  <c r="G760" i="10"/>
  <c r="G759" i="10" s="1"/>
  <c r="G758" i="10"/>
  <c r="G757" i="10" s="1"/>
  <c r="G753" i="10"/>
  <c r="G752" i="10" s="1"/>
  <c r="G751" i="10" s="1"/>
  <c r="G747" i="10"/>
  <c r="G746" i="10" s="1"/>
  <c r="G745" i="10"/>
  <c r="G744" i="10" s="1"/>
  <c r="G743" i="10"/>
  <c r="G742" i="10" s="1"/>
  <c r="G738" i="10"/>
  <c r="G736" i="10"/>
  <c r="G732" i="10"/>
  <c r="G731" i="10" s="1"/>
  <c r="G729" i="10"/>
  <c r="G723" i="10"/>
  <c r="G722" i="10"/>
  <c r="G721" i="10" s="1"/>
  <c r="G720" i="10" s="1"/>
  <c r="G718" i="10"/>
  <c r="G717" i="10" s="1"/>
  <c r="G715" i="10"/>
  <c r="G714" i="10" s="1"/>
  <c r="G713" i="10"/>
  <c r="G712" i="10" s="1"/>
  <c r="G711" i="10" s="1"/>
  <c r="G710" i="10"/>
  <c r="G709" i="10" s="1"/>
  <c r="G708" i="10" s="1"/>
  <c r="G703" i="10"/>
  <c r="G702" i="10" s="1"/>
  <c r="G701" i="10" s="1"/>
  <c r="G700" i="10"/>
  <c r="G699" i="10" s="1"/>
  <c r="G698" i="10" s="1"/>
  <c r="G696" i="10"/>
  <c r="G695" i="10" s="1"/>
  <c r="G691" i="10"/>
  <c r="G690" i="10" s="1"/>
  <c r="G688" i="10"/>
  <c r="G687" i="10" s="1"/>
  <c r="G685" i="10"/>
  <c r="G684" i="10" s="1"/>
  <c r="G682" i="10"/>
  <c r="G681" i="10" s="1"/>
  <c r="G680" i="10"/>
  <c r="G679" i="10" s="1"/>
  <c r="G678" i="10" s="1"/>
  <c r="G672" i="10"/>
  <c r="G671" i="10" s="1"/>
  <c r="G670" i="10"/>
  <c r="G669" i="10" s="1"/>
  <c r="G668" i="10"/>
  <c r="G667" i="10" s="1"/>
  <c r="G665" i="10"/>
  <c r="G664" i="10" s="1"/>
  <c r="G663" i="10" s="1"/>
  <c r="G661" i="10"/>
  <c r="G660" i="10" s="1"/>
  <c r="G659" i="10"/>
  <c r="G658" i="10" s="1"/>
  <c r="G653" i="10"/>
  <c r="G651" i="10"/>
  <c r="G649" i="10"/>
  <c r="G648" i="10" s="1"/>
  <c r="G647" i="10" s="1"/>
  <c r="G644" i="10"/>
  <c r="G643" i="10" s="1"/>
  <c r="G642" i="10" s="1"/>
  <c r="G640" i="10" s="1"/>
  <c r="G639" i="10" s="1"/>
  <c r="G637" i="10"/>
  <c r="G636" i="10" s="1"/>
  <c r="G635" i="10" s="1"/>
  <c r="G634" i="10" s="1"/>
  <c r="G631" i="10"/>
  <c r="G630" i="10" s="1"/>
  <c r="G628" i="10"/>
  <c r="G627" i="10" s="1"/>
  <c r="G625" i="10"/>
  <c r="G624" i="10" s="1"/>
  <c r="G620" i="10"/>
  <c r="G619" i="10" s="1"/>
  <c r="G618" i="10" s="1"/>
  <c r="G617" i="10"/>
  <c r="G616" i="10" s="1"/>
  <c r="G615" i="10" s="1"/>
  <c r="G614" i="10" s="1"/>
  <c r="G611" i="10"/>
  <c r="G610" i="10" s="1"/>
  <c r="G609" i="10" s="1"/>
  <c r="G608" i="10"/>
  <c r="G607" i="10" s="1"/>
  <c r="G606" i="10" s="1"/>
  <c r="G605" i="10"/>
  <c r="G604" i="10" s="1"/>
  <c r="G603" i="10" s="1"/>
  <c r="G602" i="10"/>
  <c r="G601" i="10" s="1"/>
  <c r="G600" i="10" s="1"/>
  <c r="G599" i="10"/>
  <c r="G598" i="10" s="1"/>
  <c r="G597" i="10" s="1"/>
  <c r="G596" i="10"/>
  <c r="G595" i="10" s="1"/>
  <c r="G594" i="10" s="1"/>
  <c r="G593" i="10"/>
  <c r="G592" i="10" s="1"/>
  <c r="G591" i="10" s="1"/>
  <c r="G590" i="10"/>
  <c r="G589" i="10" s="1"/>
  <c r="G588" i="10" s="1"/>
  <c r="G586" i="10"/>
  <c r="G585" i="10" s="1"/>
  <c r="G583" i="10"/>
  <c r="G582" i="10" s="1"/>
  <c r="G578" i="10"/>
  <c r="G577" i="10" s="1"/>
  <c r="G575" i="10"/>
  <c r="G574" i="10" s="1"/>
  <c r="G572" i="10"/>
  <c r="G571" i="10" s="1"/>
  <c r="G570" i="10"/>
  <c r="G569" i="10" s="1"/>
  <c r="G568" i="10" s="1"/>
  <c r="G566" i="10"/>
  <c r="G565" i="10" s="1"/>
  <c r="G563" i="10"/>
  <c r="G562" i="10" s="1"/>
  <c r="G561" i="10"/>
  <c r="G560" i="10" s="1"/>
  <c r="G559" i="10" s="1"/>
  <c r="G557" i="10"/>
  <c r="G556" i="10" s="1"/>
  <c r="G554" i="10"/>
  <c r="G553" i="10" s="1"/>
  <c r="G551" i="10"/>
  <c r="G550" i="10" s="1"/>
  <c r="G549" i="10" s="1"/>
  <c r="G548" i="10" s="1"/>
  <c r="G545" i="10"/>
  <c r="G544" i="10" s="1"/>
  <c r="G543" i="10" s="1"/>
  <c r="G542" i="10"/>
  <c r="G541" i="10" s="1"/>
  <c r="G540" i="10" s="1"/>
  <c r="G539" i="10"/>
  <c r="G538" i="10" s="1"/>
  <c r="G537" i="10" s="1"/>
  <c r="G536" i="10"/>
  <c r="G535" i="10" s="1"/>
  <c r="G534" i="10" s="1"/>
  <c r="G533" i="10"/>
  <c r="G532" i="10" s="1"/>
  <c r="G531" i="10" s="1"/>
  <c r="G529" i="10"/>
  <c r="G528" i="10" s="1"/>
  <c r="G524" i="10"/>
  <c r="G523" i="10" s="1"/>
  <c r="G521" i="10"/>
  <c r="G520" i="10" s="1"/>
  <c r="G519" i="10"/>
  <c r="G518" i="10" s="1"/>
  <c r="G517" i="10" s="1"/>
  <c r="G515" i="10"/>
  <c r="G514" i="10" s="1"/>
  <c r="G512" i="10"/>
  <c r="G511" i="10" s="1"/>
  <c r="G510" i="10" s="1"/>
  <c r="G509" i="10" s="1"/>
  <c r="G504" i="10"/>
  <c r="G503" i="10" s="1"/>
  <c r="G502" i="10" s="1"/>
  <c r="G501" i="10" s="1"/>
  <c r="G500" i="10" s="1"/>
  <c r="G499" i="10" s="1"/>
  <c r="G497" i="10"/>
  <c r="G496" i="10" s="1"/>
  <c r="G495" i="10" s="1"/>
  <c r="G494" i="10" s="1"/>
  <c r="G493" i="10" s="1"/>
  <c r="G492" i="10" s="1"/>
  <c r="G490" i="10"/>
  <c r="G489" i="10" s="1"/>
  <c r="G487" i="10"/>
  <c r="G486" i="10" s="1"/>
  <c r="G483" i="10"/>
  <c r="G482" i="10" s="1"/>
  <c r="G481" i="10" s="1"/>
  <c r="G480" i="10" s="1"/>
  <c r="G476" i="10"/>
  <c r="G475" i="10" s="1"/>
  <c r="G474" i="10" s="1"/>
  <c r="G473" i="10" s="1"/>
  <c r="G472" i="10" s="1"/>
  <c r="G471" i="10" s="1"/>
  <c r="G470" i="10"/>
  <c r="G469" i="10" s="1"/>
  <c r="G468" i="10"/>
  <c r="G467" i="10" s="1"/>
  <c r="G465" i="10"/>
  <c r="G457" i="10"/>
  <c r="G456" i="10" s="1"/>
  <c r="G455" i="10" s="1"/>
  <c r="G452" i="10"/>
  <c r="G451" i="10" s="1"/>
  <c r="G449" i="10"/>
  <c r="G448" i="10" s="1"/>
  <c r="G446" i="10"/>
  <c r="G445" i="10" s="1"/>
  <c r="G442" i="10"/>
  <c r="G441" i="10" s="1"/>
  <c r="G440" i="10" s="1"/>
  <c r="G439" i="10" s="1"/>
  <c r="G437" i="10"/>
  <c r="G435" i="10"/>
  <c r="G432" i="10"/>
  <c r="G431" i="10" s="1"/>
  <c r="G429" i="10"/>
  <c r="G428" i="10" s="1"/>
  <c r="G424" i="10"/>
  <c r="G423" i="10" s="1"/>
  <c r="G422" i="10" s="1"/>
  <c r="G420" i="10"/>
  <c r="G419" i="10" s="1"/>
  <c r="G418" i="10" s="1"/>
  <c r="G417" i="10" s="1"/>
  <c r="G416" i="10"/>
  <c r="G415" i="10" s="1"/>
  <c r="G414" i="10" s="1"/>
  <c r="G413" i="10" s="1"/>
  <c r="G411" i="10"/>
  <c r="G410" i="10"/>
  <c r="G409" i="10" s="1"/>
  <c r="G405" i="10"/>
  <c r="G404" i="10" s="1"/>
  <c r="G403" i="10" s="1"/>
  <c r="G402" i="10"/>
  <c r="G401" i="10" s="1"/>
  <c r="G400" i="10" s="1"/>
  <c r="G399" i="10" s="1"/>
  <c r="G398" i="10"/>
  <c r="G397" i="10" s="1"/>
  <c r="G396" i="10" s="1"/>
  <c r="G394" i="10"/>
  <c r="G393" i="10"/>
  <c r="G392" i="10" s="1"/>
  <c r="G386" i="10"/>
  <c r="G385" i="10"/>
  <c r="G384" i="10" s="1"/>
  <c r="G383" i="10"/>
  <c r="G382" i="10" s="1"/>
  <c r="G378" i="10"/>
  <c r="G376" i="10"/>
  <c r="G371" i="10"/>
  <c r="G370" i="10" s="1"/>
  <c r="G369" i="10" s="1"/>
  <c r="G368" i="10"/>
  <c r="G367" i="10" s="1"/>
  <c r="G366" i="10" s="1"/>
  <c r="G364" i="10"/>
  <c r="G363" i="10" s="1"/>
  <c r="G361" i="10"/>
  <c r="G360" i="10" s="1"/>
  <c r="G356" i="10"/>
  <c r="G355" i="10" s="1"/>
  <c r="G354" i="10"/>
  <c r="G353" i="10" s="1"/>
  <c r="G352" i="10" s="1"/>
  <c r="G351" i="10"/>
  <c r="G350" i="10" s="1"/>
  <c r="G349" i="10" s="1"/>
  <c r="G348" i="10"/>
  <c r="G347" i="10" s="1"/>
  <c r="G345" i="10"/>
  <c r="G343" i="10"/>
  <c r="G342" i="10" s="1"/>
  <c r="G341" i="10"/>
  <c r="G340" i="10" s="1"/>
  <c r="G335" i="10"/>
  <c r="G334" i="10" s="1"/>
  <c r="G333" i="10" s="1"/>
  <c r="G1002" i="10" s="1"/>
  <c r="G331" i="10"/>
  <c r="G330" i="10" s="1"/>
  <c r="G328" i="10"/>
  <c r="G327" i="10" s="1"/>
  <c r="G325" i="10"/>
  <c r="G324" i="10" s="1"/>
  <c r="G322" i="10"/>
  <c r="G321" i="10" s="1"/>
  <c r="G319" i="10"/>
  <c r="G318" i="10" s="1"/>
  <c r="G316" i="10"/>
  <c r="G315" i="10" s="1"/>
  <c r="G313" i="10"/>
  <c r="G311" i="10"/>
  <c r="G309" i="10"/>
  <c r="G308" i="10" s="1"/>
  <c r="G307" i="10" s="1"/>
  <c r="G304" i="10"/>
  <c r="G302" i="10"/>
  <c r="G300" i="10"/>
  <c r="G297" i="10"/>
  <c r="G296" i="10" s="1"/>
  <c r="G294" i="10"/>
  <c r="G293" i="10" s="1"/>
  <c r="G292" i="10"/>
  <c r="G291" i="10" s="1"/>
  <c r="G290" i="10" s="1"/>
  <c r="G288" i="10"/>
  <c r="G287" i="10" s="1"/>
  <c r="G285" i="10"/>
  <c r="G284" i="10" s="1"/>
  <c r="G283" i="10"/>
  <c r="G282" i="10" s="1"/>
  <c r="G281" i="10" s="1"/>
  <c r="G275" i="10"/>
  <c r="G274" i="10" s="1"/>
  <c r="G273" i="10" s="1"/>
  <c r="G272" i="10" s="1"/>
  <c r="G271" i="10" s="1"/>
  <c r="G270" i="10"/>
  <c r="G269" i="10" s="1"/>
  <c r="G268" i="10" s="1"/>
  <c r="G267" i="10"/>
  <c r="G266" i="10" s="1"/>
  <c r="G265" i="10" s="1"/>
  <c r="G264" i="10"/>
  <c r="G263" i="10" s="1"/>
  <c r="G262" i="10" s="1"/>
  <c r="G258" i="10"/>
  <c r="G257" i="10" s="1"/>
  <c r="G255" i="10"/>
  <c r="G254" i="10" s="1"/>
  <c r="G252" i="10"/>
  <c r="G251" i="10" s="1"/>
  <c r="G249" i="10"/>
  <c r="G248" i="10" s="1"/>
  <c r="G246" i="10"/>
  <c r="G245" i="10" s="1"/>
  <c r="G243" i="10"/>
  <c r="G242" i="10" s="1"/>
  <c r="G241" i="10"/>
  <c r="G240" i="10" s="1"/>
  <c r="G239" i="10" s="1"/>
  <c r="G238" i="10" s="1"/>
  <c r="G237" i="10" s="1"/>
  <c r="G233" i="10"/>
  <c r="G232" i="10" s="1"/>
  <c r="G231" i="10" s="1"/>
  <c r="G230" i="10" s="1"/>
  <c r="G229" i="10" s="1"/>
  <c r="G228" i="10" s="1"/>
  <c r="G226" i="10"/>
  <c r="G225" i="10" s="1"/>
  <c r="G224" i="10" s="1"/>
  <c r="G223" i="10" s="1"/>
  <c r="G222" i="10" s="1"/>
  <c r="G221" i="10" s="1"/>
  <c r="G219" i="10"/>
  <c r="G218" i="10" s="1"/>
  <c r="G217" i="10"/>
  <c r="G216" i="10" s="1"/>
  <c r="G211" i="10"/>
  <c r="G210" i="10" s="1"/>
  <c r="G209" i="10" s="1"/>
  <c r="G208" i="10" s="1"/>
  <c r="G207" i="10" s="1"/>
  <c r="G205" i="10"/>
  <c r="G204" i="10" s="1"/>
  <c r="G203" i="10" s="1"/>
  <c r="G200" i="10"/>
  <c r="G199" i="10" s="1"/>
  <c r="G198" i="10" s="1"/>
  <c r="G197" i="10" s="1"/>
  <c r="G196" i="10" s="1"/>
  <c r="G194" i="10"/>
  <c r="G193" i="10" s="1"/>
  <c r="G192" i="10"/>
  <c r="G191" i="10" s="1"/>
  <c r="G188" i="10"/>
  <c r="G187" i="10" s="1"/>
  <c r="G183" i="10"/>
  <c r="G182" i="10" s="1"/>
  <c r="G181" i="10" s="1"/>
  <c r="G180" i="10" s="1"/>
  <c r="G179" i="10" s="1"/>
  <c r="G178" i="10" s="1"/>
  <c r="G175" i="10"/>
  <c r="G174" i="10" s="1"/>
  <c r="G173" i="10"/>
  <c r="G172" i="10" s="1"/>
  <c r="G171" i="10"/>
  <c r="G170" i="10" s="1"/>
  <c r="G167" i="10"/>
  <c r="G166" i="10" s="1"/>
  <c r="G165" i="10"/>
  <c r="G164" i="10" s="1"/>
  <c r="G163" i="10" s="1"/>
  <c r="G157" i="10"/>
  <c r="G156" i="10" s="1"/>
  <c r="G155" i="10" s="1"/>
  <c r="G154" i="10" s="1"/>
  <c r="G152" i="10"/>
  <c r="G151" i="10" s="1"/>
  <c r="G150" i="10" s="1"/>
  <c r="G149" i="10" s="1"/>
  <c r="G148" i="10" s="1"/>
  <c r="G145" i="10"/>
  <c r="G144" i="10" s="1"/>
  <c r="G143" i="10"/>
  <c r="G142" i="10" s="1"/>
  <c r="G141" i="10"/>
  <c r="G140" i="10" s="1"/>
  <c r="G138" i="10"/>
  <c r="G137" i="10" s="1"/>
  <c r="G136" i="10"/>
  <c r="G135" i="10" s="1"/>
  <c r="G132" i="10"/>
  <c r="G131" i="10" s="1"/>
  <c r="G129" i="10"/>
  <c r="G128" i="10" s="1"/>
  <c r="G126" i="10"/>
  <c r="G125" i="10" s="1"/>
  <c r="G123" i="10"/>
  <c r="G122" i="10" s="1"/>
  <c r="G119" i="10"/>
  <c r="G118" i="10"/>
  <c r="G117" i="10" s="1"/>
  <c r="G114" i="10"/>
  <c r="G113" i="10" s="1"/>
  <c r="G111" i="10"/>
  <c r="G110" i="10" s="1"/>
  <c r="G109" i="10"/>
  <c r="G108" i="10" s="1"/>
  <c r="G107" i="10" s="1"/>
  <c r="G105" i="10"/>
  <c r="G104" i="10" s="1"/>
  <c r="G102" i="10"/>
  <c r="G100" i="10"/>
  <c r="G92" i="10"/>
  <c r="G91" i="10" s="1"/>
  <c r="G90" i="10" s="1"/>
  <c r="G89" i="10"/>
  <c r="G88" i="10" s="1"/>
  <c r="G87" i="10" s="1"/>
  <c r="G86" i="10" s="1"/>
  <c r="G1004" i="10" s="1"/>
  <c r="G84" i="10"/>
  <c r="G83" i="10" s="1"/>
  <c r="G82" i="10" s="1"/>
  <c r="G80" i="10"/>
  <c r="G79" i="10" s="1"/>
  <c r="G78" i="10" s="1"/>
  <c r="G76" i="10"/>
  <c r="G75" i="10" s="1"/>
  <c r="G74" i="10" s="1"/>
  <c r="G71" i="10"/>
  <c r="G70" i="10" s="1"/>
  <c r="G69" i="10"/>
  <c r="G68" i="10" s="1"/>
  <c r="G66" i="10"/>
  <c r="G64" i="10"/>
  <c r="G63" i="10" s="1"/>
  <c r="G62" i="10" s="1"/>
  <c r="G60" i="10"/>
  <c r="G59" i="10" s="1"/>
  <c r="G58" i="10" s="1"/>
  <c r="G57" i="10" s="1"/>
  <c r="G54" i="10"/>
  <c r="G53" i="10"/>
  <c r="G52" i="10" s="1"/>
  <c r="G47" i="10"/>
  <c r="G46" i="10" s="1"/>
  <c r="G45" i="10"/>
  <c r="G44" i="10" s="1"/>
  <c r="G40" i="10"/>
  <c r="G39" i="10" s="1"/>
  <c r="G38" i="10"/>
  <c r="G37" i="10" s="1"/>
  <c r="G36" i="10"/>
  <c r="G35" i="10" s="1"/>
  <c r="G34" i="10"/>
  <c r="G33" i="10" s="1"/>
  <c r="G25" i="10"/>
  <c r="G24" i="10" s="1"/>
  <c r="G23" i="10" s="1"/>
  <c r="G22" i="10" s="1"/>
  <c r="G20" i="10"/>
  <c r="G18" i="10"/>
  <c r="G16" i="10"/>
  <c r="G1143" i="4"/>
  <c r="G1140" i="4"/>
  <c r="G1132" i="4"/>
  <c r="G1129" i="4"/>
  <c r="G1113" i="4"/>
  <c r="G1110" i="4"/>
  <c r="G1100" i="4"/>
  <c r="G1087" i="4"/>
  <c r="G1082" i="4"/>
  <c r="G1078" i="4"/>
  <c r="G1068" i="4"/>
  <c r="G1063" i="4"/>
  <c r="G1061" i="4"/>
  <c r="G1047" i="4"/>
  <c r="G1040" i="4"/>
  <c r="G1037" i="4"/>
  <c r="G1032" i="4"/>
  <c r="G1043" i="4"/>
  <c r="G751" i="5"/>
  <c r="G1025" i="4"/>
  <c r="G984" i="15" s="1"/>
  <c r="G738" i="5"/>
  <c r="G1001" i="4"/>
  <c r="G997" i="4"/>
  <c r="G993" i="4"/>
  <c r="G969" i="4"/>
  <c r="G928" i="15" s="1"/>
  <c r="H928" i="15" s="1"/>
  <c r="G967" i="4"/>
  <c r="G926" i="15" s="1"/>
  <c r="H926" i="15" s="1"/>
  <c r="G964" i="4"/>
  <c r="G961" i="4"/>
  <c r="G920" i="15" s="1"/>
  <c r="G959" i="4"/>
  <c r="H918" i="15" s="1"/>
  <c r="G955" i="4"/>
  <c r="G914" i="15" s="1"/>
  <c r="H914" i="15" s="1"/>
  <c r="G953" i="4"/>
  <c r="G896" i="15"/>
  <c r="H896" i="15" s="1"/>
  <c r="G910" i="4"/>
  <c r="G897" i="4"/>
  <c r="G883" i="4"/>
  <c r="F140" i="3"/>
  <c r="G867" i="4"/>
  <c r="G855" i="4"/>
  <c r="G820" i="4"/>
  <c r="G816" i="4"/>
  <c r="G813" i="4"/>
  <c r="G482" i="5"/>
  <c r="F960" i="3"/>
  <c r="G467" i="5"/>
  <c r="G780" i="4"/>
  <c r="G764" i="4"/>
  <c r="G751" i="4"/>
  <c r="G743" i="4"/>
  <c r="G739" i="4"/>
  <c r="G734" i="4"/>
  <c r="G723" i="4"/>
  <c r="G709" i="4"/>
  <c r="G700" i="4"/>
  <c r="G692" i="4"/>
  <c r="G689" i="4"/>
  <c r="G358" i="5"/>
  <c r="G682" i="4"/>
  <c r="G664" i="4"/>
  <c r="G657" i="15"/>
  <c r="G654" i="15"/>
  <c r="G650" i="4"/>
  <c r="G644" i="4"/>
  <c r="G641" i="4"/>
  <c r="G621" i="4"/>
  <c r="G616" i="4"/>
  <c r="G604" i="4"/>
  <c r="G601" i="4"/>
  <c r="G595" i="4"/>
  <c r="G591" i="4"/>
  <c r="G587" i="4"/>
  <c r="G577" i="15"/>
  <c r="G573" i="4"/>
  <c r="G567" i="4"/>
  <c r="G549" i="4"/>
  <c r="G546" i="4"/>
  <c r="G517" i="4"/>
  <c r="G504" i="4"/>
  <c r="G497" i="4"/>
  <c r="G470" i="4"/>
  <c r="G454" i="4"/>
  <c r="G442" i="4"/>
  <c r="G435" i="4"/>
  <c r="G430" i="4"/>
  <c r="F848" i="3"/>
  <c r="G423" i="4"/>
  <c r="G420" i="4"/>
  <c r="G421" i="15" s="1"/>
  <c r="H421" i="15" s="1"/>
  <c r="G418" i="4"/>
  <c r="G412" i="4"/>
  <c r="G407" i="4"/>
  <c r="G402" i="4"/>
  <c r="G399" i="4"/>
  <c r="G392" i="4"/>
  <c r="G389" i="4"/>
  <c r="G381" i="4"/>
  <c r="F823" i="3"/>
  <c r="G598" i="5"/>
  <c r="G364" i="4"/>
  <c r="G357" i="4"/>
  <c r="F799" i="3"/>
  <c r="G330" i="4"/>
  <c r="G315" i="4"/>
  <c r="G294" i="4"/>
  <c r="G291" i="4"/>
  <c r="G287" i="4"/>
  <c r="G264" i="4"/>
  <c r="G260" i="4"/>
  <c r="G257" i="4"/>
  <c r="G253" i="4"/>
  <c r="G250" i="4"/>
  <c r="G242" i="4"/>
  <c r="G237" i="4"/>
  <c r="G234" i="4"/>
  <c r="G231" i="4"/>
  <c r="G228" i="4"/>
  <c r="G225" i="4"/>
  <c r="G220" i="4"/>
  <c r="F915" i="14"/>
  <c r="F914" i="14" s="1"/>
  <c r="F911" i="14" s="1"/>
  <c r="H211" i="15"/>
  <c r="G200" i="4"/>
  <c r="G194" i="4"/>
  <c r="G187" i="4"/>
  <c r="G171" i="4"/>
  <c r="G164" i="4"/>
  <c r="G157" i="4"/>
  <c r="G149" i="4"/>
  <c r="G138" i="4"/>
  <c r="G131" i="4"/>
  <c r="G126" i="4"/>
  <c r="G121" i="4"/>
  <c r="G117" i="4"/>
  <c r="G419" i="5"/>
  <c r="G112" i="4"/>
  <c r="G93" i="4"/>
  <c r="G90" i="4"/>
  <c r="F75" i="14"/>
  <c r="F74" i="14" s="1"/>
  <c r="F73" i="14"/>
  <c r="F72" i="14" s="1"/>
  <c r="G62" i="4"/>
  <c r="F70" i="14" s="1"/>
  <c r="F69" i="14" s="1"/>
  <c r="F68" i="14"/>
  <c r="F67" i="14" s="1"/>
  <c r="F63" i="14"/>
  <c r="F62" i="14" s="1"/>
  <c r="F61" i="14" s="1"/>
  <c r="G46" i="4"/>
  <c r="G45" i="4" s="1"/>
  <c r="G42" i="4"/>
  <c r="G34" i="4"/>
  <c r="G30" i="4"/>
  <c r="G22" i="4"/>
  <c r="G19" i="4"/>
  <c r="G17" i="4"/>
  <c r="G15" i="4"/>
  <c r="F1012" i="3"/>
  <c r="F976" i="3"/>
  <c r="F946" i="14" s="1"/>
  <c r="F973" i="3"/>
  <c r="F970" i="3"/>
  <c r="F943" i="3"/>
  <c r="F926" i="3"/>
  <c r="F922" i="3"/>
  <c r="F874" i="3"/>
  <c r="F869" i="3"/>
  <c r="F855" i="3"/>
  <c r="F844" i="3"/>
  <c r="F838" i="3"/>
  <c r="F831" i="3"/>
  <c r="F826" i="3"/>
  <c r="F810" i="3"/>
  <c r="F793" i="3"/>
  <c r="F651" i="3"/>
  <c r="F642" i="3"/>
  <c r="F627" i="3"/>
  <c r="F586" i="3"/>
  <c r="F583" i="3"/>
  <c r="F576" i="3"/>
  <c r="F573" i="3"/>
  <c r="F562" i="3"/>
  <c r="F551" i="3"/>
  <c r="F546" i="3"/>
  <c r="F543" i="3"/>
  <c r="F533" i="3"/>
  <c r="F529" i="3"/>
  <c r="F509" i="3"/>
  <c r="F481" i="3"/>
  <c r="F462" i="3"/>
  <c r="F443" i="3"/>
  <c r="F428" i="14" s="1"/>
  <c r="G428" i="14" s="1"/>
  <c r="F440" i="3"/>
  <c r="F435" i="3"/>
  <c r="F432" i="3"/>
  <c r="F371" i="3"/>
  <c r="F354" i="3"/>
  <c r="F342" i="14" s="1"/>
  <c r="G342" i="14" s="1"/>
  <c r="F330" i="3"/>
  <c r="F214" i="3"/>
  <c r="F210" i="3"/>
  <c r="F200" i="3"/>
  <c r="F196" i="3"/>
  <c r="F181" i="3"/>
  <c r="F178" i="3"/>
  <c r="F172" i="3"/>
  <c r="F120" i="3"/>
  <c r="F117" i="3"/>
  <c r="F48" i="3"/>
  <c r="F35" i="3"/>
  <c r="F16" i="3"/>
  <c r="C148" i="1"/>
  <c r="C142" i="1"/>
  <c r="C141" i="1" s="1"/>
  <c r="C140" i="1" s="1"/>
  <c r="C122" i="1"/>
  <c r="C110" i="1"/>
  <c r="C104" i="1"/>
  <c r="C91" i="1"/>
  <c r="C89" i="1"/>
  <c r="C77" i="1"/>
  <c r="C76" i="1" s="1"/>
  <c r="C72" i="1"/>
  <c r="C61" i="1"/>
  <c r="C59" i="1"/>
  <c r="C46" i="1"/>
  <c r="C44" i="1"/>
  <c r="C40" i="1"/>
  <c r="C32" i="1"/>
  <c r="C27" i="1"/>
  <c r="C21" i="1" s="1"/>
  <c r="C98" i="1" l="1"/>
  <c r="C115" i="1"/>
  <c r="C114" i="1" s="1"/>
  <c r="G158" i="11"/>
  <c r="G51" i="10"/>
  <c r="G50" i="10" s="1"/>
  <c r="G49" i="10" s="1"/>
  <c r="G48" i="10" s="1"/>
  <c r="G15" i="10"/>
  <c r="G14" i="10" s="1"/>
  <c r="G13" i="10" s="1"/>
  <c r="G12" i="10" s="1"/>
  <c r="G11" i="10" s="1"/>
  <c r="G10" i="10" s="1"/>
  <c r="G375" i="10"/>
  <c r="G374" i="10" s="1"/>
  <c r="G657" i="10"/>
  <c r="G656" i="10" s="1"/>
  <c r="C97" i="1"/>
  <c r="G485" i="10"/>
  <c r="G650" i="10"/>
  <c r="G646" i="10" s="1"/>
  <c r="G728" i="10"/>
  <c r="G727" i="10" s="1"/>
  <c r="G726" i="10" s="1"/>
  <c r="G43" i="10"/>
  <c r="G42" i="10" s="1"/>
  <c r="G408" i="10"/>
  <c r="G407" i="10" s="1"/>
  <c r="G299" i="10"/>
  <c r="G280" i="10" s="1"/>
  <c r="G116" i="10"/>
  <c r="G98" i="10" s="1"/>
  <c r="G139" i="10"/>
  <c r="G32" i="10"/>
  <c r="G31" i="10" s="1"/>
  <c r="G391" i="10"/>
  <c r="G792" i="10"/>
  <c r="G791" i="10" s="1"/>
  <c r="G786" i="10" s="1"/>
  <c r="G785" i="10" s="1"/>
  <c r="G215" i="10"/>
  <c r="G214" i="10" s="1"/>
  <c r="G213" i="10" s="1"/>
  <c r="G212" i="10" s="1"/>
  <c r="G913" i="10"/>
  <c r="G909" i="10" s="1"/>
  <c r="G381" i="10"/>
  <c r="G380" i="10" s="1"/>
  <c r="G879" i="10"/>
  <c r="G878" i="10" s="1"/>
  <c r="G968" i="10"/>
  <c r="G967" i="10" s="1"/>
  <c r="G966" i="10" s="1"/>
  <c r="G965" i="10" s="1"/>
  <c r="G964" i="10" s="1"/>
  <c r="G990" i="10" s="1"/>
  <c r="G190" i="10"/>
  <c r="G186" i="10" s="1"/>
  <c r="G185" i="10" s="1"/>
  <c r="G184" i="10" s="1"/>
  <c r="G177" i="10" s="1"/>
  <c r="G339" i="10"/>
  <c r="G613" i="10"/>
  <c r="G948" i="10"/>
  <c r="G947" i="10" s="1"/>
  <c r="G946" i="10" s="1"/>
  <c r="G945" i="10" s="1"/>
  <c r="G396" i="11"/>
  <c r="G376" i="11" s="1"/>
  <c r="G375" i="11" s="1"/>
  <c r="G374" i="11" s="1"/>
  <c r="G404" i="11" s="1"/>
  <c r="G633" i="10"/>
  <c r="H920" i="15"/>
  <c r="G917" i="15"/>
  <c r="G65" i="10"/>
  <c r="G61" i="10" s="1"/>
  <c r="G997" i="10" s="1"/>
  <c r="G147" i="10"/>
  <c r="G982" i="10" s="1"/>
  <c r="G169" i="10"/>
  <c r="G162" i="10" s="1"/>
  <c r="G161" i="10" s="1"/>
  <c r="G160" i="10" s="1"/>
  <c r="G159" i="10" s="1"/>
  <c r="G983" i="10" s="1"/>
  <c r="G310" i="10"/>
  <c r="G306" i="10" s="1"/>
  <c r="G344" i="10"/>
  <c r="G623" i="10"/>
  <c r="G622" i="10" s="1"/>
  <c r="G801" i="10"/>
  <c r="G1005" i="10" s="1"/>
  <c r="G838" i="10"/>
  <c r="G837" i="10" s="1"/>
  <c r="G464" i="10"/>
  <c r="G463" i="10" s="1"/>
  <c r="G462" i="10" s="1"/>
  <c r="G461" i="10" s="1"/>
  <c r="G460" i="10" s="1"/>
  <c r="G677" i="10"/>
  <c r="G676" i="10" s="1"/>
  <c r="G707" i="10"/>
  <c r="G706" i="10" s="1"/>
  <c r="G705" i="10" s="1"/>
  <c r="G527" i="10"/>
  <c r="G526" i="10" s="1"/>
  <c r="G694" i="10"/>
  <c r="G693" i="10" s="1"/>
  <c r="G1007" i="10"/>
  <c r="G261" i="10"/>
  <c r="G260" i="10" s="1"/>
  <c r="G236" i="10" s="1"/>
  <c r="G235" i="10" s="1"/>
  <c r="G479" i="10"/>
  <c r="G478" i="10" s="1"/>
  <c r="G477" i="10" s="1"/>
  <c r="G513" i="10"/>
  <c r="G508" i="10" s="1"/>
  <c r="G99" i="10"/>
  <c r="G860" i="10"/>
  <c r="G859" i="10" s="1"/>
  <c r="G666" i="10"/>
  <c r="G662" i="10" s="1"/>
  <c r="G741" i="10"/>
  <c r="G740" i="10" s="1"/>
  <c r="G756" i="10"/>
  <c r="G755" i="10" s="1"/>
  <c r="G750" i="10" s="1"/>
  <c r="G749" i="10" s="1"/>
  <c r="G779" i="10"/>
  <c r="G778" i="10" s="1"/>
  <c r="G993" i="10" s="1"/>
  <c r="G849" i="10"/>
  <c r="G902" i="10"/>
  <c r="G901" i="10" s="1"/>
  <c r="G953" i="10"/>
  <c r="G359" i="10"/>
  <c r="G434" i="10"/>
  <c r="G421" i="10" s="1"/>
  <c r="G641" i="10"/>
  <c r="G735" i="10"/>
  <c r="G734" i="10" s="1"/>
  <c r="G827" i="10"/>
  <c r="G938" i="10"/>
  <c r="G937" i="10" s="1"/>
  <c r="G936" i="10" s="1"/>
  <c r="G935" i="10" s="1"/>
  <c r="G72" i="11"/>
  <c r="G71" i="11" s="1"/>
  <c r="G70" i="11" s="1"/>
  <c r="G69" i="11" s="1"/>
  <c r="G80" i="11" s="1"/>
  <c r="G963" i="10"/>
  <c r="G996" i="10"/>
  <c r="G73" i="10"/>
  <c r="G999" i="10" s="1"/>
  <c r="G134" i="10"/>
  <c r="G121" i="10" s="1"/>
  <c r="G998" i="10"/>
  <c r="G202" i="10"/>
  <c r="G581" i="10"/>
  <c r="G580" i="10" s="1"/>
  <c r="C119" i="12"/>
  <c r="G444" i="10"/>
  <c r="G443" i="10" s="1"/>
  <c r="G552" i="10"/>
  <c r="G547" i="10" s="1"/>
  <c r="H156" i="15"/>
  <c r="F237" i="14"/>
  <c r="F236" i="14" s="1"/>
  <c r="G155" i="15"/>
  <c r="F596" i="14"/>
  <c r="F595" i="14" s="1"/>
  <c r="F594" i="14" s="1"/>
  <c r="G662" i="15"/>
  <c r="G661" i="15" s="1"/>
  <c r="F731" i="14"/>
  <c r="F730" i="14" s="1"/>
  <c r="F729" i="14" s="1"/>
  <c r="G738" i="15"/>
  <c r="G737" i="15" s="1"/>
  <c r="H823" i="15"/>
  <c r="F966" i="14"/>
  <c r="F965" i="14" s="1"/>
  <c r="F964" i="14" s="1"/>
  <c r="G822" i="15"/>
  <c r="G821" i="15" s="1"/>
  <c r="F523" i="14"/>
  <c r="F522" i="14" s="1"/>
  <c r="F521" i="14" s="1"/>
  <c r="G589" i="15"/>
  <c r="G588" i="15" s="1"/>
  <c r="H748" i="15"/>
  <c r="F740" i="14"/>
  <c r="F739" i="14" s="1"/>
  <c r="G747" i="15"/>
  <c r="F989" i="14"/>
  <c r="F988" i="14" s="1"/>
  <c r="G845" i="15"/>
  <c r="H902" i="15"/>
  <c r="H901" i="15" s="1"/>
  <c r="H900" i="15" s="1"/>
  <c r="G901" i="15"/>
  <c r="G900" i="15" s="1"/>
  <c r="H1025" i="15"/>
  <c r="G1024" i="15"/>
  <c r="G1019" i="15" s="1"/>
  <c r="F453" i="14"/>
  <c r="F452" i="14" s="1"/>
  <c r="F447" i="14" s="1"/>
  <c r="F71" i="14"/>
  <c r="H154" i="15"/>
  <c r="G235" i="14" s="1"/>
  <c r="G234" i="14" s="1"/>
  <c r="F235" i="14"/>
  <c r="F234" i="14" s="1"/>
  <c r="G153" i="15"/>
  <c r="F250" i="14"/>
  <c r="F249" i="14" s="1"/>
  <c r="F248" i="14" s="1"/>
  <c r="G168" i="15"/>
  <c r="G167" i="15" s="1"/>
  <c r="F719" i="14"/>
  <c r="F718" i="14" s="1"/>
  <c r="F717" i="14" s="1"/>
  <c r="G333" i="15"/>
  <c r="G332" i="15" s="1"/>
  <c r="F617" i="14"/>
  <c r="F616" i="14" s="1"/>
  <c r="F615" i="14" s="1"/>
  <c r="G683" i="15"/>
  <c r="G682" i="15" s="1"/>
  <c r="F960" i="14"/>
  <c r="F959" i="14" s="1"/>
  <c r="F958" i="14" s="1"/>
  <c r="G816" i="15"/>
  <c r="G815" i="15" s="1"/>
  <c r="H835" i="15"/>
  <c r="G834" i="15"/>
  <c r="F978" i="14"/>
  <c r="F977" i="14" s="1"/>
  <c r="G980" i="15"/>
  <c r="G979" i="15" s="1"/>
  <c r="F409" i="14"/>
  <c r="F408" i="14" s="1"/>
  <c r="F407" i="14" s="1"/>
  <c r="H1033" i="15"/>
  <c r="F461" i="14"/>
  <c r="F460" i="14" s="1"/>
  <c r="F459" i="14" s="1"/>
  <c r="G1032" i="15"/>
  <c r="G1031" i="15" s="1"/>
  <c r="H1085" i="15"/>
  <c r="F33" i="14"/>
  <c r="F32" i="14" s="1"/>
  <c r="F31" i="14" s="1"/>
  <c r="G1084" i="15"/>
  <c r="G1083" i="15" s="1"/>
  <c r="H210" i="15"/>
  <c r="G913" i="14"/>
  <c r="G912" i="14" s="1"/>
  <c r="F651" i="14"/>
  <c r="F650" i="14" s="1"/>
  <c r="F649" i="14" s="1"/>
  <c r="G717" i="15"/>
  <c r="G716" i="15" s="1"/>
  <c r="G706" i="15" s="1"/>
  <c r="H758" i="15"/>
  <c r="F750" i="14"/>
  <c r="F749" i="14" s="1"/>
  <c r="F748" i="14" s="1"/>
  <c r="G757" i="15"/>
  <c r="G756" i="15" s="1"/>
  <c r="H899" i="15"/>
  <c r="F327" i="14"/>
  <c r="F326" i="14" s="1"/>
  <c r="F325" i="14" s="1"/>
  <c r="G898" i="15"/>
  <c r="G897" i="15" s="1"/>
  <c r="H531" i="15"/>
  <c r="H530" i="15" s="1"/>
  <c r="H529" i="15" s="1"/>
  <c r="G530" i="15"/>
  <c r="G529" i="15" s="1"/>
  <c r="H762" i="15"/>
  <c r="G754" i="14" s="1"/>
  <c r="G753" i="14" s="1"/>
  <c r="F754" i="14"/>
  <c r="F753" i="14" s="1"/>
  <c r="G761" i="15"/>
  <c r="H875" i="15"/>
  <c r="F260" i="14"/>
  <c r="F259" i="14" s="1"/>
  <c r="F258" i="14" s="1"/>
  <c r="G874" i="15"/>
  <c r="G873" i="15" s="1"/>
  <c r="H150" i="15"/>
  <c r="G149" i="15"/>
  <c r="G148" i="15" s="1"/>
  <c r="G144" i="15" s="1"/>
  <c r="F231" i="14"/>
  <c r="F230" i="14" s="1"/>
  <c r="F229" i="14" s="1"/>
  <c r="F164" i="14"/>
  <c r="F163" i="14" s="1"/>
  <c r="F162" i="14" s="1"/>
  <c r="G221" i="15"/>
  <c r="G220" i="15" s="1"/>
  <c r="H534" i="15"/>
  <c r="F330" i="14"/>
  <c r="F329" i="14" s="1"/>
  <c r="F328" i="14" s="1"/>
  <c r="G533" i="15"/>
  <c r="G532" i="15" s="1"/>
  <c r="F660" i="14"/>
  <c r="F659" i="14" s="1"/>
  <c r="F658" i="14" s="1"/>
  <c r="G726" i="15"/>
  <c r="G725" i="15" s="1"/>
  <c r="H750" i="15"/>
  <c r="F742" i="14"/>
  <c r="F741" i="14" s="1"/>
  <c r="G749" i="15"/>
  <c r="H764" i="15"/>
  <c r="G756" i="14" s="1"/>
  <c r="G755" i="14" s="1"/>
  <c r="F756" i="14"/>
  <c r="F755" i="14" s="1"/>
  <c r="G763" i="15"/>
  <c r="F951" i="14"/>
  <c r="F950" i="14" s="1"/>
  <c r="F949" i="14" s="1"/>
  <c r="G807" i="15"/>
  <c r="G806" i="15" s="1"/>
  <c r="H831" i="15"/>
  <c r="F974" i="14"/>
  <c r="F973" i="14" s="1"/>
  <c r="G830" i="15"/>
  <c r="H1042" i="15"/>
  <c r="F470" i="14"/>
  <c r="G1041" i="15"/>
  <c r="G1038" i="15" s="1"/>
  <c r="H1096" i="15"/>
  <c r="G1095" i="15"/>
  <c r="G1094" i="15" s="1"/>
  <c r="F102" i="14"/>
  <c r="F101" i="14" s="1"/>
  <c r="F100" i="14" s="1"/>
  <c r="H516" i="15"/>
  <c r="F143" i="14"/>
  <c r="F142" i="14" s="1"/>
  <c r="F141" i="14" s="1"/>
  <c r="G515" i="15"/>
  <c r="G514" i="15" s="1"/>
  <c r="F582" i="14"/>
  <c r="F581" i="14" s="1"/>
  <c r="F580" i="14" s="1"/>
  <c r="G648" i="15"/>
  <c r="G647" i="15" s="1"/>
  <c r="G631" i="15" s="1"/>
  <c r="F576" i="14"/>
  <c r="F575" i="14" s="1"/>
  <c r="F574" i="14" s="1"/>
  <c r="F564" i="14" s="1"/>
  <c r="G642" i="15"/>
  <c r="G641" i="15" s="1"/>
  <c r="F505" i="14"/>
  <c r="F504" i="14" s="1"/>
  <c r="F503" i="14" s="1"/>
  <c r="G571" i="15"/>
  <c r="G570" i="15" s="1"/>
  <c r="G565" i="15"/>
  <c r="G564" i="15" s="1"/>
  <c r="F499" i="14"/>
  <c r="F498" i="14" s="1"/>
  <c r="F497" i="14" s="1"/>
  <c r="H56" i="15"/>
  <c r="G55" i="15"/>
  <c r="D134" i="1"/>
  <c r="D110" i="1"/>
  <c r="H66" i="15"/>
  <c r="G65" i="15"/>
  <c r="H68" i="15"/>
  <c r="G67" i="15"/>
  <c r="H61" i="15"/>
  <c r="G60" i="15"/>
  <c r="H213" i="15"/>
  <c r="G212" i="15"/>
  <c r="G209" i="15" s="1"/>
  <c r="H63" i="15"/>
  <c r="G62" i="15"/>
  <c r="H14" i="15"/>
  <c r="G14" i="15"/>
  <c r="G180" i="15"/>
  <c r="G177" i="15" s="1"/>
  <c r="G105" i="16"/>
  <c r="G909" i="16"/>
  <c r="G908" i="16" s="1"/>
  <c r="G907" i="16" s="1"/>
  <c r="G906" i="16" s="1"/>
  <c r="G911" i="16" s="1"/>
  <c r="G69" i="15"/>
  <c r="H69" i="15"/>
  <c r="H649" i="15"/>
  <c r="G237" i="16"/>
  <c r="H663" i="15"/>
  <c r="G327" i="16"/>
  <c r="H817" i="15"/>
  <c r="G904" i="16"/>
  <c r="H337" i="15"/>
  <c r="G337" i="15"/>
  <c r="H222" i="15"/>
  <c r="G154" i="16"/>
  <c r="H334" i="15"/>
  <c r="G45" i="16"/>
  <c r="H63" i="16"/>
  <c r="G63" i="16"/>
  <c r="G212" i="16"/>
  <c r="H590" i="15"/>
  <c r="G281" i="16"/>
  <c r="H684" i="15"/>
  <c r="G360" i="16"/>
  <c r="H727" i="15"/>
  <c r="G375" i="16"/>
  <c r="H981" i="15"/>
  <c r="G711" i="16"/>
  <c r="H643" i="15"/>
  <c r="G229" i="16"/>
  <c r="H808" i="15"/>
  <c r="G492" i="16"/>
  <c r="H566" i="15"/>
  <c r="G204" i="16"/>
  <c r="H718" i="15"/>
  <c r="G254" i="16"/>
  <c r="H739" i="15"/>
  <c r="G383" i="16"/>
  <c r="H846" i="15"/>
  <c r="G510" i="16"/>
  <c r="H577" i="15"/>
  <c r="H262" i="16" s="1"/>
  <c r="H261" i="16" s="1"/>
  <c r="H260" i="16" s="1"/>
  <c r="H259" i="16" s="1"/>
  <c r="H258" i="16" s="1"/>
  <c r="H257" i="16" s="1"/>
  <c r="G262" i="16"/>
  <c r="H657" i="15"/>
  <c r="H319" i="16" s="1"/>
  <c r="H320" i="16" s="1"/>
  <c r="G319" i="16"/>
  <c r="H654" i="15"/>
  <c r="H315" i="16" s="1"/>
  <c r="H316" i="16" s="1"/>
  <c r="G315" i="16"/>
  <c r="H803" i="16"/>
  <c r="H802" i="16" s="1"/>
  <c r="H801" i="16" s="1"/>
  <c r="H800" i="16" s="1"/>
  <c r="H799" i="16" s="1"/>
  <c r="H798" i="16" s="1"/>
  <c r="G803" i="16"/>
  <c r="H941" i="15"/>
  <c r="G789" i="16"/>
  <c r="H984" i="15"/>
  <c r="H717" i="16" s="1"/>
  <c r="H718" i="16" s="1"/>
  <c r="G717" i="16"/>
  <c r="G84" i="14"/>
  <c r="F84" i="14"/>
  <c r="G80" i="14"/>
  <c r="F80" i="14"/>
  <c r="H169" i="15"/>
  <c r="G767" i="16"/>
  <c r="G89" i="4"/>
  <c r="G727" i="5"/>
  <c r="G726" i="5" s="1"/>
  <c r="G111" i="4"/>
  <c r="G125" i="4"/>
  <c r="G124" i="4" s="1"/>
  <c r="G241" i="4"/>
  <c r="G672" i="5"/>
  <c r="G673" i="5" s="1"/>
  <c r="G298" i="15"/>
  <c r="G363" i="4"/>
  <c r="G406" i="4"/>
  <c r="G422" i="4"/>
  <c r="G469" i="4"/>
  <c r="G699" i="4"/>
  <c r="H692" i="15"/>
  <c r="G742" i="4"/>
  <c r="F385" i="3"/>
  <c r="F373" i="14" s="1"/>
  <c r="G373" i="14" s="1"/>
  <c r="G945" i="15"/>
  <c r="F377" i="14" s="1"/>
  <c r="F376" i="14" s="1"/>
  <c r="F375" i="14" s="1"/>
  <c r="G1086" i="4"/>
  <c r="G130" i="4"/>
  <c r="G128" i="4" s="1"/>
  <c r="G230" i="4"/>
  <c r="G263" i="4"/>
  <c r="G268" i="15"/>
  <c r="H268" i="15" s="1"/>
  <c r="G391" i="4"/>
  <c r="G620" i="4"/>
  <c r="G336" i="5"/>
  <c r="G708" i="4"/>
  <c r="F779" i="3"/>
  <c r="G866" i="4"/>
  <c r="F142" i="3"/>
  <c r="F141" i="3" s="1"/>
  <c r="G21" i="4"/>
  <c r="G39" i="4"/>
  <c r="F155" i="3"/>
  <c r="G116" i="4"/>
  <c r="G156" i="4"/>
  <c r="G186" i="4"/>
  <c r="G188" i="15"/>
  <c r="H188" i="15" s="1"/>
  <c r="G199" i="4"/>
  <c r="G199" i="15" s="1"/>
  <c r="G198" i="15" s="1"/>
  <c r="G197" i="15" s="1"/>
  <c r="G219" i="4"/>
  <c r="G223" i="15" s="1"/>
  <c r="G224" i="15"/>
  <c r="H224" i="15" s="1"/>
  <c r="G233" i="4"/>
  <c r="G237" i="15" s="1"/>
  <c r="G238" i="15"/>
  <c r="H238" i="15" s="1"/>
  <c r="G252" i="4"/>
  <c r="G256" i="15" s="1"/>
  <c r="H256" i="15" s="1"/>
  <c r="G257" i="15"/>
  <c r="H257" i="15" s="1"/>
  <c r="G286" i="4"/>
  <c r="G694" i="5"/>
  <c r="G695" i="5" s="1"/>
  <c r="G398" i="4"/>
  <c r="G453" i="4"/>
  <c r="G499" i="4"/>
  <c r="G500" i="15"/>
  <c r="G516" i="4"/>
  <c r="G517" i="15" s="1"/>
  <c r="H517" i="15" s="1"/>
  <c r="G518" i="15"/>
  <c r="H518" i="15" s="1"/>
  <c r="G586" i="4"/>
  <c r="G600" i="4"/>
  <c r="G340" i="5"/>
  <c r="G341" i="5" s="1"/>
  <c r="F659" i="3"/>
  <c r="G191" i="5" s="1"/>
  <c r="G733" i="4"/>
  <c r="G722" i="15"/>
  <c r="H722" i="15" s="1"/>
  <c r="F755" i="3"/>
  <c r="G779" i="4"/>
  <c r="G812" i="4"/>
  <c r="G796" i="15" s="1"/>
  <c r="H796" i="15" s="1"/>
  <c r="G797" i="15"/>
  <c r="H797" i="15" s="1"/>
  <c r="F988" i="3"/>
  <c r="F1031" i="3"/>
  <c r="F1030" i="3" s="1"/>
  <c r="F144" i="3"/>
  <c r="G909" i="4"/>
  <c r="G880" i="15"/>
  <c r="H880" i="15" s="1"/>
  <c r="G992" i="4"/>
  <c r="G952" i="15"/>
  <c r="H952" i="15" s="1"/>
  <c r="G1031" i="4"/>
  <c r="G1046" i="4"/>
  <c r="G1006" i="15"/>
  <c r="H1006" i="15" s="1"/>
  <c r="F14" i="3"/>
  <c r="F13" i="3" s="1"/>
  <c r="G1142" i="4"/>
  <c r="G227" i="4"/>
  <c r="G232" i="15"/>
  <c r="G259" i="4"/>
  <c r="D102" i="1" s="1"/>
  <c r="G314" i="4"/>
  <c r="G388" i="4"/>
  <c r="G503" i="4"/>
  <c r="G615" i="4"/>
  <c r="G604" i="15"/>
  <c r="H604" i="15" s="1"/>
  <c r="G640" i="4"/>
  <c r="G252" i="5"/>
  <c r="G253" i="5" s="1"/>
  <c r="G819" i="4"/>
  <c r="G803" i="15" s="1"/>
  <c r="G804" i="15"/>
  <c r="H804" i="15" s="1"/>
  <c r="G1000" i="4"/>
  <c r="G960" i="15"/>
  <c r="H960" i="15" s="1"/>
  <c r="G1112" i="4"/>
  <c r="G36" i="4"/>
  <c r="G92" i="4"/>
  <c r="G170" i="4"/>
  <c r="G193" i="4"/>
  <c r="G249" i="4"/>
  <c r="G253" i="15" s="1"/>
  <c r="G254" i="15"/>
  <c r="H254" i="15" s="1"/>
  <c r="G690" i="5"/>
  <c r="G689" i="5" s="1"/>
  <c r="G411" i="4"/>
  <c r="G566" i="4"/>
  <c r="F540" i="3"/>
  <c r="G643" i="4"/>
  <c r="G763" i="4"/>
  <c r="G854" i="4"/>
  <c r="G1039" i="4"/>
  <c r="G998" i="15" s="1"/>
  <c r="G999" i="15"/>
  <c r="H999" i="15" s="1"/>
  <c r="G1077" i="4"/>
  <c r="G1034" i="15" s="1"/>
  <c r="G1035" i="15"/>
  <c r="H1035" i="15" s="1"/>
  <c r="G1099" i="4"/>
  <c r="G41" i="4"/>
  <c r="F157" i="3"/>
  <c r="G120" i="4"/>
  <c r="G163" i="4"/>
  <c r="F282" i="3"/>
  <c r="F281" i="3" s="1"/>
  <c r="H179" i="15"/>
  <c r="G224" i="4"/>
  <c r="G229" i="15"/>
  <c r="H229" i="15" s="1"/>
  <c r="G236" i="4"/>
  <c r="G256" i="4"/>
  <c r="G698" i="5"/>
  <c r="G356" i="4"/>
  <c r="G380" i="4"/>
  <c r="G401" i="4"/>
  <c r="G434" i="4"/>
  <c r="G28" i="6"/>
  <c r="G27" i="6" s="1"/>
  <c r="G26" i="6" s="1"/>
  <c r="G25" i="6" s="1"/>
  <c r="G24" i="6" s="1"/>
  <c r="G23" i="6" s="1"/>
  <c r="G501" i="4"/>
  <c r="F206" i="3"/>
  <c r="G548" i="4"/>
  <c r="G543" i="15" s="1"/>
  <c r="H543" i="15" s="1"/>
  <c r="G544" i="15"/>
  <c r="H544" i="15" s="1"/>
  <c r="G572" i="4"/>
  <c r="G590" i="4"/>
  <c r="G586" i="15"/>
  <c r="H586" i="15" s="1"/>
  <c r="G603" i="4"/>
  <c r="G649" i="4"/>
  <c r="G663" i="4"/>
  <c r="F621" i="3"/>
  <c r="G691" i="4"/>
  <c r="G690" i="4" s="1"/>
  <c r="G722" i="4"/>
  <c r="G815" i="4"/>
  <c r="F1020" i="3"/>
  <c r="G882" i="4"/>
  <c r="F276" i="3"/>
  <c r="F272" i="14" s="1"/>
  <c r="G272" i="14" s="1"/>
  <c r="G887" i="15"/>
  <c r="G963" i="4"/>
  <c r="G922" i="15" s="1"/>
  <c r="H922" i="15" s="1"/>
  <c r="G923" i="15"/>
  <c r="H923" i="15" s="1"/>
  <c r="G996" i="4"/>
  <c r="G956" i="15"/>
  <c r="H956" i="15" s="1"/>
  <c r="G764" i="5"/>
  <c r="G956" i="5"/>
  <c r="G955" i="5" s="1"/>
  <c r="G1067" i="4"/>
  <c r="G1131" i="4"/>
  <c r="G1088" i="15" s="1"/>
  <c r="H1088" i="15" s="1"/>
  <c r="G1089" i="15"/>
  <c r="H1089" i="15" s="1"/>
  <c r="G1042" i="4"/>
  <c r="G896" i="4"/>
  <c r="G545" i="4"/>
  <c r="G137" i="4"/>
  <c r="G139" i="15"/>
  <c r="H139" i="15" s="1"/>
  <c r="G971" i="5"/>
  <c r="G846" i="5"/>
  <c r="G418" i="5"/>
  <c r="G98" i="5"/>
  <c r="G715" i="5"/>
  <c r="G853" i="5"/>
  <c r="G875" i="5"/>
  <c r="G367" i="5"/>
  <c r="G366" i="5" s="1"/>
  <c r="G978" i="5"/>
  <c r="G54" i="5"/>
  <c r="G72" i="5"/>
  <c r="G112" i="5"/>
  <c r="G13" i="6"/>
  <c r="G12" i="6" s="1"/>
  <c r="G11" i="6" s="1"/>
  <c r="F47" i="3"/>
  <c r="F434" i="3"/>
  <c r="F542" i="3"/>
  <c r="F626" i="3"/>
  <c r="F612" i="14" s="1"/>
  <c r="F613" i="14"/>
  <c r="F809" i="3"/>
  <c r="F805" i="3" s="1"/>
  <c r="F921" i="3"/>
  <c r="F199" i="3"/>
  <c r="F439" i="3"/>
  <c r="F545" i="3"/>
  <c r="F641" i="3"/>
  <c r="F847" i="3"/>
  <c r="F840" i="3" s="1"/>
  <c r="F139" i="3"/>
  <c r="F15" i="3"/>
  <c r="F119" i="3"/>
  <c r="F184" i="3"/>
  <c r="F209" i="3"/>
  <c r="F370" i="3"/>
  <c r="F359" i="14"/>
  <c r="G359" i="14" s="1"/>
  <c r="F528" i="3"/>
  <c r="F550" i="3"/>
  <c r="F544" i="14"/>
  <c r="G544" i="14" s="1"/>
  <c r="F582" i="3"/>
  <c r="F650" i="3"/>
  <c r="F830" i="3"/>
  <c r="F868" i="3"/>
  <c r="F942" i="3"/>
  <c r="F1011" i="3"/>
  <c r="F195" i="3"/>
  <c r="G194" i="14"/>
  <c r="G193" i="14" s="1"/>
  <c r="G192" i="14" s="1"/>
  <c r="F572" i="3"/>
  <c r="F972" i="3"/>
  <c r="F508" i="3"/>
  <c r="F575" i="3"/>
  <c r="F825" i="3"/>
  <c r="F925" i="3"/>
  <c r="F901" i="14"/>
  <c r="F959" i="3"/>
  <c r="F34" i="3"/>
  <c r="F190" i="3"/>
  <c r="F213" i="3"/>
  <c r="G212" i="14"/>
  <c r="G211" i="14" s="1"/>
  <c r="G210" i="14" s="1"/>
  <c r="F431" i="3"/>
  <c r="F532" i="3"/>
  <c r="F518" i="14" s="1"/>
  <c r="G518" i="14" s="1"/>
  <c r="F519" i="14"/>
  <c r="G519" i="14" s="1"/>
  <c r="F561" i="3"/>
  <c r="F585" i="3"/>
  <c r="F837" i="3"/>
  <c r="F969" i="3"/>
  <c r="F939" i="14" s="1"/>
  <c r="F940" i="14"/>
  <c r="F84" i="3"/>
  <c r="C48" i="1"/>
  <c r="C147" i="1"/>
  <c r="C39" i="1"/>
  <c r="C71" i="1"/>
  <c r="C95" i="1"/>
  <c r="C82" i="1" s="1"/>
  <c r="F442" i="3"/>
  <c r="F427" i="14" s="1"/>
  <c r="G427" i="14" s="1"/>
  <c r="G771" i="5"/>
  <c r="C56" i="1"/>
  <c r="C55" i="1"/>
  <c r="C31" i="1"/>
  <c r="C58" i="1"/>
  <c r="C43" i="1"/>
  <c r="C17" i="1"/>
  <c r="G947" i="5"/>
  <c r="G949" i="5"/>
  <c r="G928" i="5"/>
  <c r="G930" i="5"/>
  <c r="G922" i="5"/>
  <c r="G924" i="5"/>
  <c r="G918" i="5"/>
  <c r="G920" i="5"/>
  <c r="G913" i="5"/>
  <c r="G915" i="5"/>
  <c r="G908" i="5"/>
  <c r="G910" i="5"/>
  <c r="G897" i="5"/>
  <c r="G899" i="5"/>
  <c r="G881" i="5"/>
  <c r="G883" i="5"/>
  <c r="G862" i="5"/>
  <c r="G877" i="5"/>
  <c r="G879" i="5"/>
  <c r="G889" i="5"/>
  <c r="G891" i="5"/>
  <c r="G873" i="5"/>
  <c r="G840" i="5"/>
  <c r="G793" i="5"/>
  <c r="G795" i="5"/>
  <c r="G774" i="5"/>
  <c r="G776" i="5"/>
  <c r="G759" i="5"/>
  <c r="G761" i="5"/>
  <c r="G766" i="5"/>
  <c r="G768" i="5"/>
  <c r="G737" i="5"/>
  <c r="G739" i="5"/>
  <c r="G750" i="5"/>
  <c r="G711" i="5"/>
  <c r="G713" i="5"/>
  <c r="G597" i="5"/>
  <c r="G599" i="5"/>
  <c r="G496" i="5"/>
  <c r="G498" i="5"/>
  <c r="G489" i="5"/>
  <c r="G491" i="5"/>
  <c r="G481" i="5"/>
  <c r="G483" i="5"/>
  <c r="G485" i="5"/>
  <c r="G487" i="5"/>
  <c r="G466" i="5"/>
  <c r="G468" i="5"/>
  <c r="G457" i="5"/>
  <c r="G459" i="5"/>
  <c r="G357" i="5"/>
  <c r="G359" i="5"/>
  <c r="G324" i="5"/>
  <c r="G326" i="5"/>
  <c r="G293" i="5"/>
  <c r="G295" i="5"/>
  <c r="G278" i="5"/>
  <c r="G280" i="5"/>
  <c r="G271" i="5"/>
  <c r="G273" i="5"/>
  <c r="G52" i="5"/>
  <c r="G864" i="4"/>
  <c r="F1022" i="3"/>
  <c r="G501" i="5"/>
  <c r="F981" i="3"/>
  <c r="G860" i="4"/>
  <c r="F1018" i="3"/>
  <c r="G852" i="4"/>
  <c r="F1010" i="3"/>
  <c r="G935" i="5"/>
  <c r="F1004" i="3"/>
  <c r="G537" i="5"/>
  <c r="F1033" i="3"/>
  <c r="F916" i="3"/>
  <c r="F939" i="3"/>
  <c r="F878" i="3"/>
  <c r="F902" i="3"/>
  <c r="G107" i="5"/>
  <c r="F888" i="3"/>
  <c r="G32" i="6"/>
  <c r="G31" i="6" s="1"/>
  <c r="G30" i="6" s="1"/>
  <c r="G29" i="6" s="1"/>
  <c r="F912" i="3"/>
  <c r="F941" i="3"/>
  <c r="G310" i="4"/>
  <c r="F718" i="3"/>
  <c r="F701" i="3"/>
  <c r="G304" i="4"/>
  <c r="F712" i="3"/>
  <c r="G307" i="4"/>
  <c r="F715" i="3"/>
  <c r="F740" i="3"/>
  <c r="F788" i="3"/>
  <c r="G750" i="4"/>
  <c r="F752" i="3"/>
  <c r="G775" i="4"/>
  <c r="F777" i="3"/>
  <c r="G576" i="4"/>
  <c r="F519" i="3"/>
  <c r="G283" i="5"/>
  <c r="F537" i="3"/>
  <c r="G317" i="5"/>
  <c r="F601" i="3"/>
  <c r="F614" i="3"/>
  <c r="G729" i="4"/>
  <c r="F672" i="3"/>
  <c r="G264" i="5"/>
  <c r="F524" i="3"/>
  <c r="G647" i="4"/>
  <c r="F590" i="3"/>
  <c r="F604" i="3"/>
  <c r="G674" i="4"/>
  <c r="F617" i="3"/>
  <c r="G362" i="5"/>
  <c r="F631" i="3"/>
  <c r="G769" i="4"/>
  <c r="F771" i="3"/>
  <c r="G1065" i="4"/>
  <c r="G1060" i="4" s="1"/>
  <c r="F465" i="3"/>
  <c r="G653" i="4"/>
  <c r="F596" i="3"/>
  <c r="G329" i="5"/>
  <c r="F610" i="3"/>
  <c r="G681" i="4"/>
  <c r="F624" i="3"/>
  <c r="G726" i="4"/>
  <c r="F669" i="3"/>
  <c r="G761" i="4"/>
  <c r="F763" i="3"/>
  <c r="G1075" i="4"/>
  <c r="G1072" i="4" s="1"/>
  <c r="F475" i="3"/>
  <c r="G570" i="4"/>
  <c r="F513" i="3"/>
  <c r="G388" i="5"/>
  <c r="F681" i="3"/>
  <c r="G759" i="4"/>
  <c r="G758" i="4" s="1"/>
  <c r="F761" i="3"/>
  <c r="G773" i="4"/>
  <c r="F775" i="3"/>
  <c r="G1084" i="4"/>
  <c r="F484" i="3"/>
  <c r="F252" i="3"/>
  <c r="H168" i="4"/>
  <c r="G154" i="4"/>
  <c r="F239" i="3"/>
  <c r="G514" i="4"/>
  <c r="F148" i="3"/>
  <c r="F377" i="3"/>
  <c r="F421" i="3"/>
  <c r="F424" i="3"/>
  <c r="F412" i="14" s="1"/>
  <c r="F240" i="3"/>
  <c r="F233" i="3"/>
  <c r="G933" i="4"/>
  <c r="F333" i="3"/>
  <c r="G529" i="4"/>
  <c r="F336" i="3"/>
  <c r="G939" i="4"/>
  <c r="F339" i="3"/>
  <c r="F381" i="3"/>
  <c r="F236" i="3"/>
  <c r="F237" i="3"/>
  <c r="G179" i="4"/>
  <c r="F284" i="3"/>
  <c r="F262" i="3"/>
  <c r="F389" i="3"/>
  <c r="F166" i="3"/>
  <c r="G54" i="4"/>
  <c r="F68" i="3"/>
  <c r="G56" i="4"/>
  <c r="F70" i="3"/>
  <c r="G64" i="4"/>
  <c r="F78" i="3"/>
  <c r="G59" i="4"/>
  <c r="F73" i="3"/>
  <c r="G61" i="4"/>
  <c r="F75" i="3"/>
  <c r="G1138" i="4"/>
  <c r="F107" i="3"/>
  <c r="G66" i="4"/>
  <c r="F80" i="3"/>
  <c r="G208" i="4"/>
  <c r="F664" i="3"/>
  <c r="F53" i="3"/>
  <c r="F352" i="3"/>
  <c r="G886" i="4"/>
  <c r="G989" i="4"/>
  <c r="G1027" i="4"/>
  <c r="G283" i="4"/>
  <c r="G441" i="4"/>
  <c r="G738" i="4"/>
  <c r="G753" i="4"/>
  <c r="F238" i="3"/>
  <c r="G594" i="4"/>
  <c r="F957" i="3"/>
  <c r="G152" i="4"/>
  <c r="G177" i="4"/>
  <c r="G459" i="4"/>
  <c r="G658" i="4"/>
  <c r="G890" i="4"/>
  <c r="G904" i="4"/>
  <c r="G417" i="4"/>
  <c r="G279" i="4"/>
  <c r="G981" i="4"/>
  <c r="F455" i="3"/>
  <c r="F1024" i="3"/>
  <c r="G206" i="4"/>
  <c r="G217" i="4"/>
  <c r="G293" i="4"/>
  <c r="G375" i="4"/>
  <c r="H376" i="15" s="1"/>
  <c r="G463" i="4"/>
  <c r="G777" i="4"/>
  <c r="G823" i="4"/>
  <c r="G888" i="4"/>
  <c r="G1108" i="4"/>
  <c r="G1107" i="4" s="1"/>
  <c r="F426" i="3"/>
  <c r="F821" i="3"/>
  <c r="F979" i="3"/>
  <c r="F438" i="3"/>
  <c r="F460" i="3"/>
  <c r="F476" i="3"/>
  <c r="F462" i="14" s="1"/>
  <c r="G462" i="14" s="1"/>
  <c r="F967" i="3"/>
  <c r="G148" i="4"/>
  <c r="G428" i="4"/>
  <c r="G432" i="4"/>
  <c r="G667" i="4"/>
  <c r="G688" i="4"/>
  <c r="G800" i="4"/>
  <c r="G810" i="4"/>
  <c r="G958" i="4"/>
  <c r="G1018" i="4"/>
  <c r="G49" i="5"/>
  <c r="G331" i="4"/>
  <c r="G328" i="4" s="1"/>
  <c r="G268" i="5"/>
  <c r="G584" i="4"/>
  <c r="F515" i="3"/>
  <c r="G287" i="5"/>
  <c r="F526" i="3"/>
  <c r="F963" i="3"/>
  <c r="G945" i="4"/>
  <c r="G944" i="4" s="1"/>
  <c r="G964" i="5"/>
  <c r="G522" i="4"/>
  <c r="G716" i="4"/>
  <c r="F658" i="3"/>
  <c r="G862" i="4"/>
  <c r="G936" i="4"/>
  <c r="F44" i="3"/>
  <c r="F50" i="3"/>
  <c r="F605" i="3"/>
  <c r="G14" i="4"/>
  <c r="G549" i="5"/>
  <c r="G345" i="4"/>
  <c r="G65" i="5"/>
  <c r="G449" i="4"/>
  <c r="G168" i="5"/>
  <c r="G557" i="4"/>
  <c r="G597" i="4"/>
  <c r="G27" i="5"/>
  <c r="G107" i="4"/>
  <c r="G661" i="4"/>
  <c r="G321" i="5"/>
  <c r="G678" i="4"/>
  <c r="F592" i="3"/>
  <c r="G353" i="4"/>
  <c r="G671" i="4"/>
  <c r="G830" i="4"/>
  <c r="G977" i="4"/>
  <c r="G1127" i="4"/>
  <c r="F33" i="3"/>
  <c r="G952" i="4"/>
  <c r="G966" i="4"/>
  <c r="G925" i="15" s="1"/>
  <c r="H925" i="15" s="1"/>
  <c r="F418" i="3"/>
  <c r="G109" i="4"/>
  <c r="G329" i="4"/>
  <c r="G552" i="5"/>
  <c r="G347" i="4"/>
  <c r="F801" i="3"/>
  <c r="G322" i="4"/>
  <c r="G595" i="5"/>
  <c r="G373" i="4"/>
  <c r="F819" i="3"/>
  <c r="G32" i="4"/>
  <c r="F46" i="3"/>
  <c r="G438" i="5"/>
  <c r="G145" i="4"/>
  <c r="F229" i="3"/>
  <c r="G281" i="4"/>
  <c r="G546" i="5"/>
  <c r="G343" i="4"/>
  <c r="F797" i="3"/>
  <c r="G351" i="4"/>
  <c r="H355" i="15" s="1"/>
  <c r="H353" i="15" s="1"/>
  <c r="G532" i="4"/>
  <c r="G601" i="5"/>
  <c r="G377" i="4"/>
  <c r="H378" i="15" s="1"/>
  <c r="F570" i="3"/>
  <c r="G396" i="5"/>
  <c r="G534" i="5"/>
  <c r="G873" i="4"/>
  <c r="G581" i="4"/>
  <c r="G628" i="4"/>
  <c r="G685" i="4"/>
  <c r="G24" i="5"/>
  <c r="G916" i="4"/>
  <c r="G985" i="4"/>
  <c r="G944" i="15" s="1"/>
  <c r="H944" i="15" s="1"/>
  <c r="G1021" i="4"/>
  <c r="G742" i="5"/>
  <c r="G846" i="4"/>
  <c r="G875" i="4"/>
  <c r="G918" i="4"/>
  <c r="G886" i="15" s="1"/>
  <c r="G1023" i="4"/>
  <c r="G982" i="15" s="1"/>
  <c r="H982" i="15" s="1"/>
  <c r="G1035" i="4"/>
  <c r="G1055" i="4"/>
  <c r="F881" i="3"/>
  <c r="G274" i="11"/>
  <c r="G273" i="11" s="1"/>
  <c r="G272" i="11" s="1"/>
  <c r="G293" i="11" s="1"/>
  <c r="G49" i="11"/>
  <c r="G48" i="11" s="1"/>
  <c r="G47" i="11" s="1"/>
  <c r="G46" i="11" s="1"/>
  <c r="G54" i="11" s="1"/>
  <c r="G120" i="11"/>
  <c r="G119" i="11" s="1"/>
  <c r="G118" i="11" s="1"/>
  <c r="G136" i="11" s="1"/>
  <c r="G22" i="11"/>
  <c r="G21" i="11" s="1"/>
  <c r="G20" i="11" s="1"/>
  <c r="G31" i="11" s="1"/>
  <c r="G167" i="4"/>
  <c r="G230" i="11"/>
  <c r="G226" i="11" s="1"/>
  <c r="G225" i="11" s="1"/>
  <c r="G224" i="11" s="1"/>
  <c r="G241" i="11" s="1"/>
  <c r="G308" i="11"/>
  <c r="G355" i="11"/>
  <c r="G354" i="11" s="1"/>
  <c r="G353" i="11" s="1"/>
  <c r="G369" i="11" s="1"/>
  <c r="G436" i="11"/>
  <c r="G435" i="11" s="1"/>
  <c r="G434" i="11" s="1"/>
  <c r="G433" i="11" s="1"/>
  <c r="G450" i="11" s="1"/>
  <c r="G493" i="11"/>
  <c r="G489" i="11" s="1"/>
  <c r="G488" i="11" s="1"/>
  <c r="G13" i="11"/>
  <c r="G10" i="11" s="1"/>
  <c r="G163" i="11"/>
  <c r="G162" i="11" s="1"/>
  <c r="G141" i="11" s="1"/>
  <c r="G179" i="11" s="1"/>
  <c r="D17" i="2"/>
  <c r="D17" i="13" s="1"/>
  <c r="F863" i="3"/>
  <c r="G263" i="11"/>
  <c r="G249" i="11"/>
  <c r="G194" i="11"/>
  <c r="G188" i="11"/>
  <c r="G296" i="11"/>
  <c r="G295" i="11" s="1"/>
  <c r="G294" i="11" s="1"/>
  <c r="G300" i="11" s="1"/>
  <c r="G329" i="11"/>
  <c r="G328" i="11" s="1"/>
  <c r="G327" i="11" s="1"/>
  <c r="G104" i="11"/>
  <c r="G103" i="11" s="1"/>
  <c r="G219" i="11"/>
  <c r="G218" i="11" s="1"/>
  <c r="G217" i="11"/>
  <c r="G223" i="11" s="1"/>
  <c r="G460" i="11"/>
  <c r="G459" i="11" s="1"/>
  <c r="G458" i="11" s="1"/>
  <c r="G486" i="11" s="1"/>
  <c r="G521" i="11"/>
  <c r="G526" i="11"/>
  <c r="G320" i="11"/>
  <c r="G319" i="11" s="1"/>
  <c r="G318" i="11" s="1"/>
  <c r="G317" i="11" s="1"/>
  <c r="G325" i="11" s="1"/>
  <c r="G422" i="11"/>
  <c r="G421" i="11" s="1"/>
  <c r="G420" i="11" s="1"/>
  <c r="G500" i="11"/>
  <c r="G499" i="11" s="1"/>
  <c r="G510" i="11" s="1"/>
  <c r="G513" i="11"/>
  <c r="G512" i="11" s="1"/>
  <c r="F490" i="14" l="1"/>
  <c r="G377" i="14"/>
  <c r="G376" i="14" s="1"/>
  <c r="G375" i="14" s="1"/>
  <c r="C112" i="12"/>
  <c r="C111" i="12" s="1"/>
  <c r="C110" i="12" s="1"/>
  <c r="H789" i="16"/>
  <c r="H788" i="16" s="1"/>
  <c r="H787" i="16" s="1"/>
  <c r="H786" i="16" s="1"/>
  <c r="H785" i="16" s="1"/>
  <c r="H784" i="16" s="1"/>
  <c r="G369" i="14"/>
  <c r="G368" i="14" s="1"/>
  <c r="G367" i="14" s="1"/>
  <c r="G848" i="10"/>
  <c r="G195" i="10"/>
  <c r="G926" i="10"/>
  <c r="G925" i="10" s="1"/>
  <c r="G390" i="10"/>
  <c r="G655" i="10"/>
  <c r="G645" i="10" s="1"/>
  <c r="G1000" i="10"/>
  <c r="G373" i="10"/>
  <c r="G358" i="10" s="1"/>
  <c r="G30" i="10"/>
  <c r="G29" i="10" s="1"/>
  <c r="G733" i="10"/>
  <c r="G725" i="10" s="1"/>
  <c r="G704" i="10" s="1"/>
  <c r="G989" i="10" s="1"/>
  <c r="G338" i="10"/>
  <c r="G337" i="10" s="1"/>
  <c r="G826" i="10"/>
  <c r="G800" i="10" s="1"/>
  <c r="G1006" i="10"/>
  <c r="G612" i="10"/>
  <c r="G279" i="10"/>
  <c r="G1001" i="10" s="1"/>
  <c r="G777" i="10"/>
  <c r="G770" i="10" s="1"/>
  <c r="G984" i="10" s="1"/>
  <c r="G900" i="10"/>
  <c r="G899" i="10" s="1"/>
  <c r="G675" i="10"/>
  <c r="G674" i="10" s="1"/>
  <c r="G913" i="4"/>
  <c r="H232" i="15"/>
  <c r="G231" i="15"/>
  <c r="H231" i="15" s="1"/>
  <c r="D119" i="12"/>
  <c r="G546" i="10"/>
  <c r="G459" i="10"/>
  <c r="G995" i="10"/>
  <c r="G507" i="10"/>
  <c r="G1003" i="10"/>
  <c r="G847" i="10"/>
  <c r="G389" i="10"/>
  <c r="G388" i="10" s="1"/>
  <c r="G994" i="10"/>
  <c r="G978" i="10"/>
  <c r="G97" i="10"/>
  <c r="G56" i="10" s="1"/>
  <c r="G28" i="10" s="1"/>
  <c r="G248" i="4"/>
  <c r="G387" i="4"/>
  <c r="G129" i="4"/>
  <c r="G772" i="4"/>
  <c r="G771" i="4" s="1"/>
  <c r="G1059" i="4"/>
  <c r="G416" i="4"/>
  <c r="G415" i="4" s="1"/>
  <c r="G29" i="4"/>
  <c r="H178" i="15"/>
  <c r="G278" i="14"/>
  <c r="G277" i="14" s="1"/>
  <c r="G496" i="4"/>
  <c r="F233" i="14"/>
  <c r="G585" i="15"/>
  <c r="H585" i="15" s="1"/>
  <c r="G427" i="4"/>
  <c r="G151" i="4"/>
  <c r="G88" i="4"/>
  <c r="H374" i="15"/>
  <c r="H373" i="15" s="1"/>
  <c r="G372" i="4"/>
  <c r="G885" i="4"/>
  <c r="G881" i="4" s="1"/>
  <c r="G1106" i="4"/>
  <c r="G205" i="4"/>
  <c r="D122" i="1" s="1"/>
  <c r="G278" i="4"/>
  <c r="G757" i="4"/>
  <c r="G859" i="4"/>
  <c r="G858" i="4" s="1"/>
  <c r="G857" i="4" s="1"/>
  <c r="F204" i="14"/>
  <c r="F203" i="14" s="1"/>
  <c r="F202" i="14" s="1"/>
  <c r="G523" i="15"/>
  <c r="G522" i="15" s="1"/>
  <c r="H109" i="15"/>
  <c r="F153" i="14"/>
  <c r="F152" i="14" s="1"/>
  <c r="G108" i="15"/>
  <c r="H1095" i="15"/>
  <c r="H1094" i="15" s="1"/>
  <c r="G102" i="14"/>
  <c r="G101" i="14" s="1"/>
  <c r="G100" i="14" s="1"/>
  <c r="G99" i="14" s="1"/>
  <c r="G231" i="14"/>
  <c r="G230" i="14" s="1"/>
  <c r="G229" i="14" s="1"/>
  <c r="H149" i="15"/>
  <c r="H148" i="15" s="1"/>
  <c r="H144" i="15" s="1"/>
  <c r="G966" i="14"/>
  <c r="G965" i="14" s="1"/>
  <c r="G964" i="14" s="1"/>
  <c r="H822" i="15"/>
  <c r="H821" i="15" s="1"/>
  <c r="H1066" i="15"/>
  <c r="F14" i="14"/>
  <c r="F13" i="14" s="1"/>
  <c r="F12" i="14" s="1"/>
  <c r="G1065" i="15"/>
  <c r="G1064" i="15" s="1"/>
  <c r="H254" i="16"/>
  <c r="H255" i="16" s="1"/>
  <c r="G651" i="14"/>
  <c r="G650" i="14" s="1"/>
  <c r="G649" i="14" s="1"/>
  <c r="H717" i="15"/>
  <c r="H716" i="15" s="1"/>
  <c r="H706" i="15" s="1"/>
  <c r="H711" i="16"/>
  <c r="H712" i="16" s="1"/>
  <c r="G409" i="14"/>
  <c r="G408" i="14" s="1"/>
  <c r="G407" i="14" s="1"/>
  <c r="H980" i="15"/>
  <c r="H979" i="15" s="1"/>
  <c r="H62" i="15"/>
  <c r="G70" i="14"/>
  <c r="G69" i="14" s="1"/>
  <c r="H60" i="15"/>
  <c r="G68" i="14"/>
  <c r="G67" i="14" s="1"/>
  <c r="H65" i="15"/>
  <c r="G73" i="14"/>
  <c r="G72" i="14" s="1"/>
  <c r="H1084" i="15"/>
  <c r="H1083" i="15" s="1"/>
  <c r="G33" i="14"/>
  <c r="G32" i="14" s="1"/>
  <c r="G31" i="14" s="1"/>
  <c r="G978" i="14"/>
  <c r="G977" i="14" s="1"/>
  <c r="H834" i="15"/>
  <c r="G746" i="15"/>
  <c r="G994" i="15"/>
  <c r="G993" i="15" s="1"/>
  <c r="G989" i="15" s="1"/>
  <c r="F423" i="14"/>
  <c r="F422" i="14" s="1"/>
  <c r="F421" i="14" s="1"/>
  <c r="F417" i="14" s="1"/>
  <c r="F416" i="14" s="1"/>
  <c r="H503" i="15"/>
  <c r="H502" i="15" s="1"/>
  <c r="G502" i="15"/>
  <c r="G497" i="15" s="1"/>
  <c r="H43" i="15"/>
  <c r="F50" i="14"/>
  <c r="F49" i="14" s="1"/>
  <c r="G42" i="15"/>
  <c r="G35" i="15" s="1"/>
  <c r="H861" i="15"/>
  <c r="F139" i="14"/>
  <c r="F138" i="14" s="1"/>
  <c r="G860" i="15"/>
  <c r="F955" i="14"/>
  <c r="F954" i="14" s="1"/>
  <c r="F953" i="14" s="1"/>
  <c r="G811" i="15"/>
  <c r="G810" i="15" s="1"/>
  <c r="F638" i="14"/>
  <c r="F637" i="14" s="1"/>
  <c r="F636" i="14" s="1"/>
  <c r="G704" i="15"/>
  <c r="G703" i="15" s="1"/>
  <c r="H46" i="15"/>
  <c r="F53" i="14"/>
  <c r="F52" i="14" s="1"/>
  <c r="F51" i="14" s="1"/>
  <c r="H859" i="15"/>
  <c r="F137" i="14"/>
  <c r="F136" i="14" s="1"/>
  <c r="G858" i="15"/>
  <c r="F469" i="14"/>
  <c r="F466" i="14"/>
  <c r="G974" i="14"/>
  <c r="G973" i="14" s="1"/>
  <c r="H830" i="15"/>
  <c r="G742" i="14"/>
  <c r="G741" i="14" s="1"/>
  <c r="H749" i="15"/>
  <c r="G750" i="14"/>
  <c r="G749" i="14" s="1"/>
  <c r="G748" i="14" s="1"/>
  <c r="H757" i="15"/>
  <c r="H756" i="15" s="1"/>
  <c r="G152" i="15"/>
  <c r="G151" i="15" s="1"/>
  <c r="H153" i="15"/>
  <c r="F738" i="14"/>
  <c r="F443" i="14"/>
  <c r="F442" i="14" s="1"/>
  <c r="F441" i="14" s="1"/>
  <c r="G1014" i="15"/>
  <c r="G1013" i="15" s="1"/>
  <c r="F607" i="14"/>
  <c r="F606" i="14" s="1"/>
  <c r="F605" i="14" s="1"/>
  <c r="G673" i="15"/>
  <c r="G672" i="15" s="1"/>
  <c r="F888" i="14"/>
  <c r="F887" i="14" s="1"/>
  <c r="F886" i="14" s="1"/>
  <c r="G460" i="15"/>
  <c r="G459" i="15" s="1"/>
  <c r="H111" i="15"/>
  <c r="F155" i="14"/>
  <c r="F154" i="14" s="1"/>
  <c r="G110" i="15"/>
  <c r="F987" i="14"/>
  <c r="F986" i="14" s="1"/>
  <c r="F985" i="14" s="1"/>
  <c r="G843" i="15"/>
  <c r="G842" i="15" s="1"/>
  <c r="F600" i="14"/>
  <c r="F599" i="14" s="1"/>
  <c r="F598" i="14" s="1"/>
  <c r="G666" i="15"/>
  <c r="G665" i="15" s="1"/>
  <c r="H767" i="16"/>
  <c r="H766" i="16" s="1"/>
  <c r="H765" i="16" s="1"/>
  <c r="H760" i="16" s="1"/>
  <c r="H759" i="16" s="1"/>
  <c r="H758" i="16" s="1"/>
  <c r="H757" i="16" s="1"/>
  <c r="G250" i="14"/>
  <c r="G249" i="14" s="1"/>
  <c r="G248" i="14" s="1"/>
  <c r="H168" i="15"/>
  <c r="H167" i="15" s="1"/>
  <c r="H443" i="15"/>
  <c r="F864" i="14"/>
  <c r="F863" i="14" s="1"/>
  <c r="F862" i="14" s="1"/>
  <c r="G442" i="15"/>
  <c r="G441" i="15" s="1"/>
  <c r="H1032" i="15"/>
  <c r="H1031" i="15" s="1"/>
  <c r="G461" i="14"/>
  <c r="G460" i="14" s="1"/>
  <c r="G459" i="14" s="1"/>
  <c r="H1024" i="15"/>
  <c r="H1019" i="15" s="1"/>
  <c r="G453" i="14"/>
  <c r="G452" i="14" s="1"/>
  <c r="G447" i="14" s="1"/>
  <c r="H761" i="15"/>
  <c r="H766" i="15"/>
  <c r="G758" i="14" s="1"/>
  <c r="G757" i="14" s="1"/>
  <c r="G752" i="14" s="1"/>
  <c r="F758" i="14"/>
  <c r="F757" i="14" s="1"/>
  <c r="F752" i="14" s="1"/>
  <c r="G765" i="15"/>
  <c r="G760" i="15" s="1"/>
  <c r="H510" i="16"/>
  <c r="H509" i="16" s="1"/>
  <c r="G989" i="14"/>
  <c r="G988" i="14" s="1"/>
  <c r="H845" i="15"/>
  <c r="H492" i="16"/>
  <c r="H493" i="16" s="1"/>
  <c r="G951" i="14"/>
  <c r="G950" i="14" s="1"/>
  <c r="G949" i="14" s="1"/>
  <c r="G945" i="14" s="1"/>
  <c r="H807" i="15"/>
  <c r="H806" i="15" s="1"/>
  <c r="H360" i="16"/>
  <c r="H359" i="16" s="1"/>
  <c r="H358" i="16" s="1"/>
  <c r="G617" i="14"/>
  <c r="G616" i="14" s="1"/>
  <c r="G615" i="14" s="1"/>
  <c r="G611" i="14" s="1"/>
  <c r="H683" i="15"/>
  <c r="H682" i="15" s="1"/>
  <c r="H45" i="16"/>
  <c r="H46" i="16" s="1"/>
  <c r="G719" i="14"/>
  <c r="G718" i="14" s="1"/>
  <c r="G717" i="14" s="1"/>
  <c r="H333" i="15"/>
  <c r="H332" i="15" s="1"/>
  <c r="H327" i="16"/>
  <c r="H328" i="16" s="1"/>
  <c r="G596" i="14"/>
  <c r="G595" i="14" s="1"/>
  <c r="G594" i="14" s="1"/>
  <c r="G584" i="14" s="1"/>
  <c r="H662" i="15"/>
  <c r="H661" i="15" s="1"/>
  <c r="H763" i="15"/>
  <c r="H833" i="15"/>
  <c r="F976" i="14"/>
  <c r="F975" i="14" s="1"/>
  <c r="F972" i="14" s="1"/>
  <c r="G832" i="15"/>
  <c r="G829" i="15" s="1"/>
  <c r="F526" i="14"/>
  <c r="F525" i="14" s="1"/>
  <c r="F524" i="14" s="1"/>
  <c r="G592" i="15"/>
  <c r="G591" i="15" s="1"/>
  <c r="F691" i="14"/>
  <c r="F690" i="14" s="1"/>
  <c r="F689" i="14" s="1"/>
  <c r="G308" i="15"/>
  <c r="G307" i="15" s="1"/>
  <c r="G731" i="14"/>
  <c r="G730" i="14" s="1"/>
  <c r="G729" i="14" s="1"/>
  <c r="H738" i="15"/>
  <c r="H737" i="15" s="1"/>
  <c r="H375" i="16"/>
  <c r="H374" i="16" s="1"/>
  <c r="H373" i="16" s="1"/>
  <c r="H372" i="16" s="1"/>
  <c r="H371" i="16" s="1"/>
  <c r="G660" i="14"/>
  <c r="G659" i="14" s="1"/>
  <c r="G658" i="14" s="1"/>
  <c r="H726" i="15"/>
  <c r="H725" i="15" s="1"/>
  <c r="H281" i="16"/>
  <c r="H280" i="16" s="1"/>
  <c r="H279" i="16" s="1"/>
  <c r="G523" i="14"/>
  <c r="G522" i="14" s="1"/>
  <c r="G521" i="14" s="1"/>
  <c r="H589" i="15"/>
  <c r="H588" i="15" s="1"/>
  <c r="H154" i="16"/>
  <c r="H155" i="16" s="1"/>
  <c r="G164" i="14"/>
  <c r="G163" i="14" s="1"/>
  <c r="G162" i="14" s="1"/>
  <c r="H221" i="15"/>
  <c r="H220" i="15" s="1"/>
  <c r="H904" i="16"/>
  <c r="H903" i="16" s="1"/>
  <c r="H902" i="16" s="1"/>
  <c r="H901" i="16" s="1"/>
  <c r="H900" i="16" s="1"/>
  <c r="H873" i="16" s="1"/>
  <c r="H861" i="16" s="1"/>
  <c r="G960" i="14"/>
  <c r="G959" i="14" s="1"/>
  <c r="G958" i="14" s="1"/>
  <c r="H816" i="15"/>
  <c r="H815" i="15" s="1"/>
  <c r="H212" i="15"/>
  <c r="H209" i="15" s="1"/>
  <c r="G915" i="14"/>
  <c r="G914" i="14" s="1"/>
  <c r="G911" i="14" s="1"/>
  <c r="H67" i="15"/>
  <c r="G75" i="14"/>
  <c r="G74" i="14" s="1"/>
  <c r="H677" i="15"/>
  <c r="F610" i="14"/>
  <c r="F609" i="14" s="1"/>
  <c r="F608" i="14" s="1"/>
  <c r="G676" i="15"/>
  <c r="G675" i="15" s="1"/>
  <c r="H1041" i="15"/>
  <c r="H1038" i="15" s="1"/>
  <c r="G470" i="14"/>
  <c r="G330" i="14"/>
  <c r="G329" i="14" s="1"/>
  <c r="G328" i="14" s="1"/>
  <c r="H533" i="15"/>
  <c r="H532" i="15" s="1"/>
  <c r="H874" i="15"/>
  <c r="H873" i="15" s="1"/>
  <c r="G260" i="14"/>
  <c r="G259" i="14" s="1"/>
  <c r="G258" i="14" s="1"/>
  <c r="G327" i="14"/>
  <c r="G326" i="14" s="1"/>
  <c r="G325" i="14" s="1"/>
  <c r="H898" i="15"/>
  <c r="H897" i="15" s="1"/>
  <c r="H747" i="15"/>
  <c r="G740" i="14"/>
  <c r="G739" i="14" s="1"/>
  <c r="G237" i="14"/>
  <c r="G236" i="14" s="1"/>
  <c r="G233" i="14" s="1"/>
  <c r="H155" i="15"/>
  <c r="H515" i="15"/>
  <c r="H514" i="15" s="1"/>
  <c r="G143" i="14"/>
  <c r="G142" i="14" s="1"/>
  <c r="G141" i="14" s="1"/>
  <c r="H237" i="16"/>
  <c r="H238" i="16" s="1"/>
  <c r="G582" i="14"/>
  <c r="G581" i="14" s="1"/>
  <c r="G580" i="14" s="1"/>
  <c r="H648" i="15"/>
  <c r="H647" i="15" s="1"/>
  <c r="H631" i="15" s="1"/>
  <c r="H229" i="16"/>
  <c r="H228" i="16" s="1"/>
  <c r="H227" i="16" s="1"/>
  <c r="G576" i="14"/>
  <c r="G575" i="14" s="1"/>
  <c r="G574" i="14" s="1"/>
  <c r="H642" i="15"/>
  <c r="H641" i="15" s="1"/>
  <c r="G714" i="15"/>
  <c r="G713" i="15" s="1"/>
  <c r="F648" i="14"/>
  <c r="F647" i="14" s="1"/>
  <c r="F646" i="14" s="1"/>
  <c r="F639" i="14" s="1"/>
  <c r="H212" i="16"/>
  <c r="H211" i="16" s="1"/>
  <c r="H210" i="16" s="1"/>
  <c r="G505" i="14"/>
  <c r="G504" i="14" s="1"/>
  <c r="G503" i="14" s="1"/>
  <c r="H571" i="15"/>
  <c r="H570" i="15" s="1"/>
  <c r="H204" i="16"/>
  <c r="H203" i="16" s="1"/>
  <c r="H202" i="16" s="1"/>
  <c r="G499" i="14"/>
  <c r="G498" i="14" s="1"/>
  <c r="G497" i="14" s="1"/>
  <c r="H565" i="15"/>
  <c r="H564" i="15" s="1"/>
  <c r="H557" i="15" s="1"/>
  <c r="F697" i="14"/>
  <c r="F696" i="14" s="1"/>
  <c r="F695" i="14" s="1"/>
  <c r="G314" i="15"/>
  <c r="G313" i="15" s="1"/>
  <c r="G303" i="15" s="1"/>
  <c r="F694" i="14"/>
  <c r="F693" i="14" s="1"/>
  <c r="F692" i="14" s="1"/>
  <c r="G311" i="15"/>
  <c r="G310" i="15" s="1"/>
  <c r="H55" i="15"/>
  <c r="H54" i="15" s="1"/>
  <c r="G63" i="14"/>
  <c r="G62" i="14" s="1"/>
  <c r="G61" i="14" s="1"/>
  <c r="H383" i="16"/>
  <c r="H382" i="16" s="1"/>
  <c r="H381" i="16" s="1"/>
  <c r="G228" i="15"/>
  <c r="H228" i="15" s="1"/>
  <c r="G223" i="4"/>
  <c r="G222" i="4" s="1"/>
  <c r="G349" i="16"/>
  <c r="G348" i="16" s="1"/>
  <c r="G347" i="16" s="1"/>
  <c r="G123" i="4"/>
  <c r="D126" i="1"/>
  <c r="G64" i="15"/>
  <c r="G54" i="15"/>
  <c r="H501" i="15"/>
  <c r="F46" i="14"/>
  <c r="F45" i="14" s="1"/>
  <c r="G59" i="15"/>
  <c r="F109" i="14"/>
  <c r="G618" i="4"/>
  <c r="G452" i="4"/>
  <c r="H181" i="15"/>
  <c r="G313" i="4"/>
  <c r="G197" i="4"/>
  <c r="G619" i="4"/>
  <c r="G671" i="5"/>
  <c r="G667" i="5" s="1"/>
  <c r="F156" i="3"/>
  <c r="F384" i="3"/>
  <c r="F372" i="14" s="1"/>
  <c r="G372" i="14" s="1"/>
  <c r="G347" i="5"/>
  <c r="G346" i="5" s="1"/>
  <c r="F539" i="3"/>
  <c r="F538" i="3" s="1"/>
  <c r="G79" i="14"/>
  <c r="G599" i="4"/>
  <c r="G342" i="4"/>
  <c r="G251" i="5"/>
  <c r="G250" i="5" s="1"/>
  <c r="F143" i="3"/>
  <c r="F79" i="14"/>
  <c r="G104" i="16"/>
  <c r="G103" i="16" s="1"/>
  <c r="G102" i="16" s="1"/>
  <c r="G101" i="16" s="1"/>
  <c r="G106" i="16"/>
  <c r="G741" i="4"/>
  <c r="G451" i="4"/>
  <c r="G544" i="4"/>
  <c r="G543" i="4" s="1"/>
  <c r="F620" i="3"/>
  <c r="F619" i="3" s="1"/>
  <c r="H318" i="16"/>
  <c r="H317" i="16" s="1"/>
  <c r="H263" i="16"/>
  <c r="G827" i="5"/>
  <c r="G828" i="5" s="1"/>
  <c r="H199" i="15"/>
  <c r="H198" i="15" s="1"/>
  <c r="H197" i="15" s="1"/>
  <c r="G710" i="16"/>
  <c r="G712" i="16"/>
  <c r="G213" i="16"/>
  <c r="G211" i="16"/>
  <c r="G210" i="16" s="1"/>
  <c r="G46" i="16"/>
  <c r="G44" i="16"/>
  <c r="G43" i="16" s="1"/>
  <c r="G42" i="16" s="1"/>
  <c r="G41" i="16" s="1"/>
  <c r="G40" i="16" s="1"/>
  <c r="G28" i="16" s="1"/>
  <c r="G317" i="15"/>
  <c r="G316" i="15"/>
  <c r="G614" i="15"/>
  <c r="G613" i="15"/>
  <c r="G244" i="15"/>
  <c r="G243" i="15"/>
  <c r="G382" i="16"/>
  <c r="G381" i="16" s="1"/>
  <c r="G384" i="16"/>
  <c r="G491" i="16"/>
  <c r="G490" i="16" s="1"/>
  <c r="G485" i="16" s="1"/>
  <c r="G484" i="16" s="1"/>
  <c r="G483" i="16" s="1"/>
  <c r="G493" i="16"/>
  <c r="G361" i="16"/>
  <c r="G359" i="16"/>
  <c r="G358" i="16" s="1"/>
  <c r="G326" i="16"/>
  <c r="G325" i="16" s="1"/>
  <c r="G328" i="16"/>
  <c r="H1015" i="15"/>
  <c r="G925" i="16"/>
  <c r="H887" i="15"/>
  <c r="H25" i="16" s="1"/>
  <c r="H24" i="16" s="1"/>
  <c r="H20" i="16" s="1"/>
  <c r="H19" i="16" s="1"/>
  <c r="H18" i="16" s="1"/>
  <c r="H17" i="16" s="1"/>
  <c r="H9" i="16" s="1"/>
  <c r="G25" i="16"/>
  <c r="H674" i="15"/>
  <c r="G345" i="16"/>
  <c r="G933" i="16"/>
  <c r="H461" i="15"/>
  <c r="G26" i="17"/>
  <c r="G25" i="17" s="1"/>
  <c r="G24" i="17" s="1"/>
  <c r="G23" i="17" s="1"/>
  <c r="G22" i="17" s="1"/>
  <c r="G21" i="17" s="1"/>
  <c r="G39" i="17" s="1"/>
  <c r="G79" i="16"/>
  <c r="H593" i="15"/>
  <c r="G285" i="16"/>
  <c r="H715" i="15"/>
  <c r="G250" i="16"/>
  <c r="H812" i="15"/>
  <c r="G499" i="16"/>
  <c r="H338" i="16"/>
  <c r="G338" i="16"/>
  <c r="H312" i="15"/>
  <c r="G663" i="16"/>
  <c r="H667" i="15"/>
  <c r="G334" i="16"/>
  <c r="G729" i="15"/>
  <c r="G728" i="15"/>
  <c r="H539" i="15"/>
  <c r="H538" i="15" s="1"/>
  <c r="H537" i="15" s="1"/>
  <c r="H536" i="15" s="1"/>
  <c r="G539" i="15"/>
  <c r="G538" i="15" s="1"/>
  <c r="G537" i="15" s="1"/>
  <c r="G536" i="15" s="1"/>
  <c r="H388" i="15"/>
  <c r="G388" i="15"/>
  <c r="G453" i="15"/>
  <c r="G452" i="15"/>
  <c r="H716" i="16"/>
  <c r="G509" i="16"/>
  <c r="G511" i="16"/>
  <c r="G253" i="16"/>
  <c r="G252" i="16" s="1"/>
  <c r="G255" i="16"/>
  <c r="G203" i="16"/>
  <c r="G202" i="16" s="1"/>
  <c r="G193" i="16" s="1"/>
  <c r="G205" i="16"/>
  <c r="G228" i="16"/>
  <c r="G227" i="16" s="1"/>
  <c r="G230" i="16"/>
  <c r="G374" i="16"/>
  <c r="G373" i="16" s="1"/>
  <c r="G372" i="16" s="1"/>
  <c r="G371" i="16" s="1"/>
  <c r="G376" i="16"/>
  <c r="G280" i="16"/>
  <c r="G279" i="16" s="1"/>
  <c r="G282" i="16"/>
  <c r="G62" i="16"/>
  <c r="G61" i="16" s="1"/>
  <c r="G60" i="16" s="1"/>
  <c r="G59" i="16" s="1"/>
  <c r="G58" i="16" s="1"/>
  <c r="G57" i="16" s="1"/>
  <c r="G64" i="16"/>
  <c r="G155" i="16"/>
  <c r="G153" i="16"/>
  <c r="G152" i="16" s="1"/>
  <c r="G151" i="16" s="1"/>
  <c r="G150" i="16" s="1"/>
  <c r="G149" i="16" s="1"/>
  <c r="G148" i="16" s="1"/>
  <c r="G905" i="16"/>
  <c r="G903" i="16"/>
  <c r="G902" i="16" s="1"/>
  <c r="G901" i="16" s="1"/>
  <c r="G900" i="16" s="1"/>
  <c r="G873" i="16" s="1"/>
  <c r="G861" i="16" s="1"/>
  <c r="G236" i="16"/>
  <c r="G235" i="16" s="1"/>
  <c r="G214" i="16" s="1"/>
  <c r="G238" i="16"/>
  <c r="H886" i="15"/>
  <c r="H882" i="15" s="1"/>
  <c r="G882" i="15"/>
  <c r="G507" i="5"/>
  <c r="F778" i="3"/>
  <c r="H995" i="15"/>
  <c r="G733" i="16"/>
  <c r="H315" i="15"/>
  <c r="G667" i="16"/>
  <c r="H309" i="15"/>
  <c r="G659" i="16"/>
  <c r="H844" i="15"/>
  <c r="G507" i="16"/>
  <c r="H742" i="15"/>
  <c r="G387" i="16"/>
  <c r="H64" i="16"/>
  <c r="H62" i="16"/>
  <c r="H61" i="16" s="1"/>
  <c r="H60" i="16" s="1"/>
  <c r="H59" i="16" s="1"/>
  <c r="H58" i="16" s="1"/>
  <c r="H57" i="16" s="1"/>
  <c r="H1034" i="15"/>
  <c r="H298" i="15"/>
  <c r="H641" i="16" s="1"/>
  <c r="H640" i="16" s="1"/>
  <c r="H636" i="16" s="1"/>
  <c r="G641" i="16"/>
  <c r="H223" i="15"/>
  <c r="H237" i="15"/>
  <c r="H253" i="15"/>
  <c r="H252" i="15" s="1"/>
  <c r="G252" i="15"/>
  <c r="H259" i="15"/>
  <c r="G259" i="15"/>
  <c r="G255" i="4"/>
  <c r="G261" i="16"/>
  <c r="G260" i="16" s="1"/>
  <c r="G259" i="16" s="1"/>
  <c r="G258" i="16" s="1"/>
  <c r="G257" i="16" s="1"/>
  <c r="G263" i="16"/>
  <c r="H314" i="16"/>
  <c r="H313" i="16" s="1"/>
  <c r="G316" i="16"/>
  <c r="G314" i="16"/>
  <c r="G313" i="16" s="1"/>
  <c r="G320" i="16"/>
  <c r="G318" i="16"/>
  <c r="G317" i="16" s="1"/>
  <c r="H803" i="15"/>
  <c r="H945" i="15"/>
  <c r="H796" i="16" s="1"/>
  <c r="H795" i="16" s="1"/>
  <c r="H794" i="16" s="1"/>
  <c r="H793" i="16" s="1"/>
  <c r="H792" i="16" s="1"/>
  <c r="H791" i="16" s="1"/>
  <c r="G796" i="16"/>
  <c r="H804" i="16"/>
  <c r="G790" i="16"/>
  <c r="G788" i="16"/>
  <c r="G787" i="16" s="1"/>
  <c r="G786" i="16" s="1"/>
  <c r="G785" i="16" s="1"/>
  <c r="G784" i="16" s="1"/>
  <c r="H917" i="15"/>
  <c r="H916" i="15" s="1"/>
  <c r="G916" i="15"/>
  <c r="G802" i="16"/>
  <c r="G801" i="16" s="1"/>
  <c r="G800" i="16" s="1"/>
  <c r="G799" i="16" s="1"/>
  <c r="G798" i="16" s="1"/>
  <c r="G804" i="16"/>
  <c r="H998" i="15"/>
  <c r="G718" i="16"/>
  <c r="G716" i="16"/>
  <c r="G547" i="14"/>
  <c r="G546" i="14" s="1"/>
  <c r="F547" i="14"/>
  <c r="F546" i="14" s="1"/>
  <c r="G801" i="14"/>
  <c r="F801" i="14"/>
  <c r="G805" i="14"/>
  <c r="F805" i="14"/>
  <c r="F900" i="14"/>
  <c r="G527" i="14"/>
  <c r="F527" i="14"/>
  <c r="G169" i="14"/>
  <c r="G168" i="14" s="1"/>
  <c r="F169" i="14"/>
  <c r="F168" i="14" s="1"/>
  <c r="H705" i="15"/>
  <c r="G189" i="16"/>
  <c r="D137" i="12"/>
  <c r="C137" i="12"/>
  <c r="G766" i="16"/>
  <c r="G765" i="16" s="1"/>
  <c r="G760" i="16" s="1"/>
  <c r="G759" i="16" s="1"/>
  <c r="G758" i="16" s="1"/>
  <c r="G757" i="16" s="1"/>
  <c r="G768" i="16"/>
  <c r="F205" i="3"/>
  <c r="F204" i="3" s="1"/>
  <c r="G691" i="5"/>
  <c r="G861" i="5"/>
  <c r="F275" i="3"/>
  <c r="G763" i="5"/>
  <c r="G762" i="5" s="1"/>
  <c r="F154" i="3"/>
  <c r="G740" i="4"/>
  <c r="G337" i="5"/>
  <c r="G239" i="4"/>
  <c r="G240" i="4"/>
  <c r="G312" i="4"/>
  <c r="G198" i="4"/>
  <c r="G765" i="5"/>
  <c r="G335" i="5"/>
  <c r="G334" i="5" s="1"/>
  <c r="G400" i="5"/>
  <c r="F114" i="3"/>
  <c r="F754" i="3"/>
  <c r="G699" i="5"/>
  <c r="G697" i="5"/>
  <c r="G696" i="5" s="1"/>
  <c r="G693" i="5"/>
  <c r="G692" i="5" s="1"/>
  <c r="G111" i="5"/>
  <c r="G53" i="5"/>
  <c r="G1034" i="4"/>
  <c r="G580" i="4"/>
  <c r="G575" i="15" s="1"/>
  <c r="G576" i="15"/>
  <c r="H576" i="15" s="1"/>
  <c r="G684" i="4"/>
  <c r="G679" i="15" s="1"/>
  <c r="G680" i="15"/>
  <c r="H680" i="15" s="1"/>
  <c r="G144" i="4"/>
  <c r="G670" i="4"/>
  <c r="G556" i="4"/>
  <c r="G555" i="4" s="1"/>
  <c r="H906" i="15"/>
  <c r="H907" i="15"/>
  <c r="G666" i="4"/>
  <c r="G216" i="4"/>
  <c r="G980" i="4"/>
  <c r="H940" i="15"/>
  <c r="G440" i="4"/>
  <c r="G938" i="4"/>
  <c r="G930" i="4"/>
  <c r="G895" i="15"/>
  <c r="H895" i="15" s="1"/>
  <c r="G513" i="4"/>
  <c r="H1141" i="15"/>
  <c r="G1141" i="15"/>
  <c r="G1054" i="4"/>
  <c r="G627" i="4"/>
  <c r="G626" i="4" s="1"/>
  <c r="G321" i="4"/>
  <c r="G1126" i="4"/>
  <c r="G677" i="4"/>
  <c r="G715" i="4"/>
  <c r="G583" i="4"/>
  <c r="G578" i="15" s="1"/>
  <c r="H578" i="15" s="1"/>
  <c r="G579" i="15"/>
  <c r="H579" i="15" s="1"/>
  <c r="G809" i="4"/>
  <c r="G794" i="15"/>
  <c r="H794" i="15" s="1"/>
  <c r="G657" i="4"/>
  <c r="G652" i="15" s="1"/>
  <c r="G653" i="15"/>
  <c r="H653" i="15" s="1"/>
  <c r="F541" i="3"/>
  <c r="G725" i="4"/>
  <c r="G575" i="4"/>
  <c r="G306" i="4"/>
  <c r="G851" i="4"/>
  <c r="G850" i="4" s="1"/>
  <c r="G995" i="4"/>
  <c r="G955" i="15"/>
  <c r="G355" i="4"/>
  <c r="G1098" i="4"/>
  <c r="G410" i="4"/>
  <c r="G169" i="4"/>
  <c r="G999" i="4"/>
  <c r="G959" i="15"/>
  <c r="G614" i="4"/>
  <c r="G603" i="15"/>
  <c r="G1045" i="4"/>
  <c r="G1005" i="15"/>
  <c r="G991" i="4"/>
  <c r="G951" i="15"/>
  <c r="G732" i="4"/>
  <c r="G721" i="15"/>
  <c r="G182" i="4"/>
  <c r="G187" i="15"/>
  <c r="G115" i="4"/>
  <c r="G38" i="4"/>
  <c r="H44" i="15" s="1"/>
  <c r="G707" i="4"/>
  <c r="G262" i="4"/>
  <c r="G267" i="15"/>
  <c r="G698" i="4"/>
  <c r="G468" i="4"/>
  <c r="G404" i="4"/>
  <c r="G845" i="4"/>
  <c r="G976" i="4"/>
  <c r="G448" i="4"/>
  <c r="G13" i="4"/>
  <c r="G935" i="4"/>
  <c r="G521" i="4"/>
  <c r="G799" i="4"/>
  <c r="G798" i="4" s="1"/>
  <c r="G458" i="4"/>
  <c r="G593" i="4"/>
  <c r="G737" i="4"/>
  <c r="G1026" i="4"/>
  <c r="G1137" i="4"/>
  <c r="G528" i="4"/>
  <c r="G646" i="4"/>
  <c r="G309" i="4"/>
  <c r="G531" i="4"/>
  <c r="G829" i="4"/>
  <c r="G825" i="4" s="1"/>
  <c r="G660" i="4"/>
  <c r="G655" i="15" s="1"/>
  <c r="H655" i="15" s="1"/>
  <c r="G656" i="15"/>
  <c r="H656" i="15" s="1"/>
  <c r="G596" i="4"/>
  <c r="G1017" i="4"/>
  <c r="G687" i="4"/>
  <c r="G147" i="4"/>
  <c r="G822" i="4"/>
  <c r="G290" i="4"/>
  <c r="G297" i="15"/>
  <c r="H297" i="15" s="1"/>
  <c r="G903" i="4"/>
  <c r="G988" i="4"/>
  <c r="G1081" i="4"/>
  <c r="G1080" i="4" s="1"/>
  <c r="G569" i="4"/>
  <c r="G680" i="4"/>
  <c r="G652" i="4"/>
  <c r="G768" i="4"/>
  <c r="G673" i="4"/>
  <c r="G303" i="4"/>
  <c r="G190" i="5"/>
  <c r="G379" i="4"/>
  <c r="G119" i="4"/>
  <c r="G115" i="15" s="1"/>
  <c r="G192" i="4"/>
  <c r="G908" i="4"/>
  <c r="G879" i="15"/>
  <c r="G285" i="4"/>
  <c r="F12" i="3"/>
  <c r="G192" i="5"/>
  <c r="F171" i="3"/>
  <c r="F170" i="3" s="1"/>
  <c r="G749" i="4"/>
  <c r="G714" i="5"/>
  <c r="G895" i="4"/>
  <c r="G752" i="4"/>
  <c r="G41" i="6"/>
  <c r="G462" i="4"/>
  <c r="G461" i="4" s="1"/>
  <c r="G64" i="5"/>
  <c r="G963" i="5"/>
  <c r="G277" i="5"/>
  <c r="G710" i="5"/>
  <c r="G736" i="5"/>
  <c r="G839" i="5"/>
  <c r="G921" i="5"/>
  <c r="G907" i="5"/>
  <c r="G917" i="5"/>
  <c r="G927" i="5"/>
  <c r="G940" i="5"/>
  <c r="G356" i="5"/>
  <c r="G465" i="5"/>
  <c r="G480" i="5"/>
  <c r="G495" i="5"/>
  <c r="G688" i="5"/>
  <c r="G896" i="5"/>
  <c r="G912" i="5"/>
  <c r="G946" i="5"/>
  <c r="G792" i="5"/>
  <c r="G872" i="5"/>
  <c r="G888" i="5"/>
  <c r="G977" i="5"/>
  <c r="G852" i="5"/>
  <c r="G97" i="5"/>
  <c r="G417" i="5"/>
  <c r="G970" i="5"/>
  <c r="G167" i="5"/>
  <c r="G106" i="5"/>
  <c r="G292" i="5"/>
  <c r="G323" i="5"/>
  <c r="G456" i="5"/>
  <c r="G484" i="5"/>
  <c r="G488" i="5"/>
  <c r="F829" i="3"/>
  <c r="G270" i="5"/>
  <c r="G758" i="5"/>
  <c r="G773" i="5"/>
  <c r="G876" i="5"/>
  <c r="G880" i="5"/>
  <c r="G71" i="5"/>
  <c r="G954" i="5"/>
  <c r="G845" i="5"/>
  <c r="G136" i="4"/>
  <c r="G138" i="15"/>
  <c r="F228" i="3"/>
  <c r="F525" i="3"/>
  <c r="F511" i="14" s="1"/>
  <c r="G511" i="14" s="1"/>
  <c r="F512" i="14"/>
  <c r="G512" i="14" s="1"/>
  <c r="F977" i="3"/>
  <c r="F947" i="14" s="1"/>
  <c r="F72" i="3"/>
  <c r="F523" i="3"/>
  <c r="F510" i="14"/>
  <c r="G510" i="14" s="1"/>
  <c r="F940" i="3"/>
  <c r="F437" i="3"/>
  <c r="F680" i="3"/>
  <c r="F668" i="3"/>
  <c r="F630" i="3"/>
  <c r="F714" i="3"/>
  <c r="F1032" i="3"/>
  <c r="F194" i="3"/>
  <c r="F640" i="3"/>
  <c r="F920" i="3"/>
  <c r="F433" i="3"/>
  <c r="F862" i="3"/>
  <c r="F880" i="3"/>
  <c r="F569" i="3"/>
  <c r="F796" i="3"/>
  <c r="F776" i="14"/>
  <c r="F417" i="3"/>
  <c r="F49" i="3"/>
  <c r="F657" i="3"/>
  <c r="F514" i="3"/>
  <c r="F966" i="3"/>
  <c r="F937" i="14"/>
  <c r="F425" i="3"/>
  <c r="F79" i="3"/>
  <c r="F74" i="3"/>
  <c r="F77" i="3"/>
  <c r="F67" i="3"/>
  <c r="F335" i="3"/>
  <c r="F232" i="3"/>
  <c r="F671" i="3"/>
  <c r="F717" i="3"/>
  <c r="F876" i="3"/>
  <c r="F441" i="3"/>
  <c r="F426" i="14" s="1"/>
  <c r="G426" i="14" s="1"/>
  <c r="F106" i="3"/>
  <c r="F69" i="3"/>
  <c r="G156" i="5"/>
  <c r="F338" i="3"/>
  <c r="F332" i="3"/>
  <c r="F324" i="14"/>
  <c r="G324" i="14" s="1"/>
  <c r="F147" i="3"/>
  <c r="F613" i="3"/>
  <c r="F45" i="3"/>
  <c r="F32" i="3"/>
  <c r="F591" i="3"/>
  <c r="F454" i="3"/>
  <c r="F52" i="3"/>
  <c r="F261" i="3"/>
  <c r="F420" i="3"/>
  <c r="F774" i="3"/>
  <c r="F474" i="3"/>
  <c r="F471" i="3" s="1"/>
  <c r="F609" i="3"/>
  <c r="F464" i="3"/>
  <c r="F603" i="3"/>
  <c r="F590" i="14"/>
  <c r="F600" i="3"/>
  <c r="F587" i="14"/>
  <c r="F751" i="3"/>
  <c r="F700" i="3"/>
  <c r="F680" i="14"/>
  <c r="G680" i="14" s="1"/>
  <c r="F901" i="3"/>
  <c r="F1051" i="3"/>
  <c r="F1009" i="3"/>
  <c r="F1021" i="3"/>
  <c r="F212" i="3"/>
  <c r="F924" i="3"/>
  <c r="F208" i="3"/>
  <c r="F43" i="3"/>
  <c r="F962" i="3"/>
  <c r="F956" i="3"/>
  <c r="F351" i="3"/>
  <c r="F283" i="3"/>
  <c r="G337" i="14"/>
  <c r="F483" i="3"/>
  <c r="F760" i="3"/>
  <c r="F762" i="3"/>
  <c r="F770" i="3"/>
  <c r="F536" i="3"/>
  <c r="F776" i="3"/>
  <c r="F787" i="3"/>
  <c r="F711" i="3"/>
  <c r="F887" i="3"/>
  <c r="F938" i="3"/>
  <c r="F1003" i="3"/>
  <c r="F1017" i="3"/>
  <c r="F1043" i="3"/>
  <c r="F833" i="3"/>
  <c r="F560" i="3"/>
  <c r="F430" i="3"/>
  <c r="F649" i="3"/>
  <c r="F549" i="3"/>
  <c r="F543" i="14"/>
  <c r="F356" i="3"/>
  <c r="F358" i="14"/>
  <c r="F198" i="3"/>
  <c r="C113" i="1"/>
  <c r="G166" i="4"/>
  <c r="C16" i="1"/>
  <c r="C146" i="1"/>
  <c r="C42" i="1"/>
  <c r="D42" i="1" s="1"/>
  <c r="F388" i="3"/>
  <c r="G834" i="5"/>
  <c r="F380" i="3"/>
  <c r="G820" i="5"/>
  <c r="F376" i="3"/>
  <c r="G813" i="5"/>
  <c r="G772" i="5"/>
  <c r="G770" i="5"/>
  <c r="F422" i="3"/>
  <c r="F410" i="14" s="1"/>
  <c r="G748" i="5"/>
  <c r="F251" i="3"/>
  <c r="G798" i="5"/>
  <c r="G934" i="5"/>
  <c r="G936" i="5"/>
  <c r="G741" i="5"/>
  <c r="G743" i="5"/>
  <c r="G658" i="5"/>
  <c r="G600" i="5"/>
  <c r="G602" i="5"/>
  <c r="G594" i="5"/>
  <c r="G596" i="5"/>
  <c r="G545" i="5"/>
  <c r="G547" i="5"/>
  <c r="G548" i="5"/>
  <c r="G550" i="5"/>
  <c r="G551" i="5"/>
  <c r="G553" i="5"/>
  <c r="G536" i="5"/>
  <c r="G538" i="5"/>
  <c r="G533" i="5"/>
  <c r="G535" i="5"/>
  <c r="G500" i="5"/>
  <c r="G502" i="5"/>
  <c r="G474" i="5"/>
  <c r="G470" i="5"/>
  <c r="G434" i="5"/>
  <c r="G395" i="5"/>
  <c r="G397" i="5"/>
  <c r="G387" i="5"/>
  <c r="G389" i="5"/>
  <c r="G361" i="5"/>
  <c r="G363" i="5"/>
  <c r="G328" i="5"/>
  <c r="G330" i="5"/>
  <c r="G316" i="5"/>
  <c r="G318" i="5"/>
  <c r="G320" i="5"/>
  <c r="G322" i="5"/>
  <c r="G282" i="5"/>
  <c r="G284" i="5"/>
  <c r="G286" i="5"/>
  <c r="G288" i="5"/>
  <c r="G263" i="5"/>
  <c r="G265" i="5"/>
  <c r="G267" i="5"/>
  <c r="G269" i="5"/>
  <c r="G23" i="5"/>
  <c r="G25" i="5"/>
  <c r="G26" i="5"/>
  <c r="G28" i="5"/>
  <c r="G725" i="5"/>
  <c r="G728" i="4"/>
  <c r="G256" i="5"/>
  <c r="F623" i="3"/>
  <c r="G351" i="5"/>
  <c r="F595" i="3"/>
  <c r="G239" i="5"/>
  <c r="F616" i="3"/>
  <c r="G339" i="5"/>
  <c r="F518" i="3"/>
  <c r="G214" i="5"/>
  <c r="F512" i="3"/>
  <c r="G206" i="5"/>
  <c r="F589" i="3"/>
  <c r="G231" i="5"/>
  <c r="F739" i="3"/>
  <c r="G47" i="5"/>
  <c r="F911" i="3"/>
  <c r="G81" i="5"/>
  <c r="G82" i="5" s="1"/>
  <c r="F915" i="3"/>
  <c r="G88" i="5"/>
  <c r="F975" i="3"/>
  <c r="F904" i="3"/>
  <c r="F1019" i="3"/>
  <c r="F1023" i="3"/>
  <c r="F818" i="3"/>
  <c r="I168" i="4"/>
  <c r="I167" i="4" s="1"/>
  <c r="I166" i="4" s="1"/>
  <c r="I162" i="4" s="1"/>
  <c r="I161" i="4" s="1"/>
  <c r="I160" i="4" s="1"/>
  <c r="I159" i="4" s="1"/>
  <c r="I24" i="4" s="1"/>
  <c r="I1145" i="4" s="1"/>
  <c r="H167" i="4"/>
  <c r="H166" i="4" s="1"/>
  <c r="H162" i="4" s="1"/>
  <c r="H161" i="4" s="1"/>
  <c r="H160" i="4" s="1"/>
  <c r="H159" i="4" s="1"/>
  <c r="H24" i="4" s="1"/>
  <c r="H1145" i="4" s="1"/>
  <c r="F235" i="3"/>
  <c r="G176" i="4"/>
  <c r="D121" i="1" s="1"/>
  <c r="G63" i="4"/>
  <c r="D127" i="1" s="1"/>
  <c r="G53" i="4"/>
  <c r="G957" i="4"/>
  <c r="G58" i="4"/>
  <c r="D120" i="1" s="1"/>
  <c r="I985" i="10"/>
  <c r="F165" i="3"/>
  <c r="F1041" i="3"/>
  <c r="G984" i="4"/>
  <c r="G350" i="4"/>
  <c r="G106" i="4"/>
  <c r="G1020" i="4"/>
  <c r="G872" i="4"/>
  <c r="I983" i="10"/>
  <c r="G19" i="11"/>
  <c r="G12" i="11"/>
  <c r="G11" i="11" s="1"/>
  <c r="G498" i="11"/>
  <c r="G18" i="11"/>
  <c r="G511" i="11"/>
  <c r="G520" i="11" s="1"/>
  <c r="G271" i="11"/>
  <c r="I986" i="10"/>
  <c r="G419" i="11"/>
  <c r="G432" i="11"/>
  <c r="G348" i="11"/>
  <c r="G326" i="11"/>
  <c r="G117" i="11"/>
  <c r="G102" i="11"/>
  <c r="G487" i="11"/>
  <c r="I990" i="10"/>
  <c r="I984" i="10"/>
  <c r="G564" i="14" l="1"/>
  <c r="H790" i="16"/>
  <c r="H193" i="16"/>
  <c r="G490" i="14"/>
  <c r="F685" i="14"/>
  <c r="H776" i="16"/>
  <c r="G681" i="5"/>
  <c r="G683" i="5"/>
  <c r="G682" i="5" s="1"/>
  <c r="D112" i="12"/>
  <c r="D111" i="12" s="1"/>
  <c r="D110" i="12" s="1"/>
  <c r="G718" i="4"/>
  <c r="C75" i="1"/>
  <c r="C74" i="1" s="1"/>
  <c r="G562" i="4"/>
  <c r="G988" i="10"/>
  <c r="G636" i="4"/>
  <c r="G278" i="10"/>
  <c r="G277" i="10" s="1"/>
  <c r="G220" i="10" s="1"/>
  <c r="G1009" i="10"/>
  <c r="G506" i="10"/>
  <c r="G498" i="10" s="1"/>
  <c r="G784" i="10"/>
  <c r="G985" i="10" s="1"/>
  <c r="G20" i="5"/>
  <c r="H64" i="15"/>
  <c r="G673" i="10"/>
  <c r="F271" i="14"/>
  <c r="G271" i="14" s="1"/>
  <c r="F270" i="3"/>
  <c r="F269" i="3" s="1"/>
  <c r="C9" i="1"/>
  <c r="G855" i="15"/>
  <c r="G27" i="10"/>
  <c r="G981" i="10"/>
  <c r="D82" i="1"/>
  <c r="G986" i="10"/>
  <c r="H768" i="16"/>
  <c r="H153" i="16"/>
  <c r="H152" i="16" s="1"/>
  <c r="H151" i="16" s="1"/>
  <c r="H150" i="16" s="1"/>
  <c r="H149" i="16" s="1"/>
  <c r="H148" i="16" s="1"/>
  <c r="H213" i="16"/>
  <c r="H282" i="16"/>
  <c r="H511" i="16"/>
  <c r="H253" i="16"/>
  <c r="H252" i="16" s="1"/>
  <c r="G664" i="15"/>
  <c r="H230" i="16"/>
  <c r="H741" i="15"/>
  <c r="H740" i="15" s="1"/>
  <c r="G734" i="14"/>
  <c r="G733" i="14" s="1"/>
  <c r="G732" i="14" s="1"/>
  <c r="H326" i="16"/>
  <c r="H325" i="16" s="1"/>
  <c r="H312" i="16" s="1"/>
  <c r="H311" i="16" s="1"/>
  <c r="H310" i="16" s="1"/>
  <c r="G280" i="14"/>
  <c r="G279" i="14" s="1"/>
  <c r="G276" i="14" s="1"/>
  <c r="H180" i="15"/>
  <c r="H177" i="15" s="1"/>
  <c r="H491" i="16"/>
  <c r="H490" i="16" s="1"/>
  <c r="H485" i="16" s="1"/>
  <c r="H484" i="16" s="1"/>
  <c r="H483" i="16" s="1"/>
  <c r="G44" i="4"/>
  <c r="G589" i="4"/>
  <c r="G227" i="15"/>
  <c r="G226" i="15" s="1"/>
  <c r="G1150" i="15" s="1"/>
  <c r="H710" i="16"/>
  <c r="H709" i="16" s="1"/>
  <c r="H704" i="16" s="1"/>
  <c r="H703" i="16" s="1"/>
  <c r="H701" i="16" s="1"/>
  <c r="H746" i="15"/>
  <c r="H227" i="15"/>
  <c r="H226" i="15" s="1"/>
  <c r="H1150" i="15" s="1"/>
  <c r="H765" i="15"/>
  <c r="H760" i="15" s="1"/>
  <c r="F151" i="14"/>
  <c r="G114" i="4"/>
  <c r="G738" i="14"/>
  <c r="H152" i="15"/>
  <c r="H151" i="15" s="1"/>
  <c r="G71" i="14"/>
  <c r="H236" i="16"/>
  <c r="H235" i="16" s="1"/>
  <c r="H214" i="16" s="1"/>
  <c r="H59" i="15"/>
  <c r="G28" i="4"/>
  <c r="H659" i="16"/>
  <c r="H660" i="16" s="1"/>
  <c r="G691" i="14"/>
  <c r="G690" i="14" s="1"/>
  <c r="G689" i="14" s="1"/>
  <c r="H308" i="15"/>
  <c r="H307" i="15" s="1"/>
  <c r="H733" i="16"/>
  <c r="H734" i="16" s="1"/>
  <c r="G423" i="14"/>
  <c r="G422" i="14" s="1"/>
  <c r="G421" i="14" s="1"/>
  <c r="H994" i="15"/>
  <c r="H993" i="15" s="1"/>
  <c r="G50" i="14"/>
  <c r="G49" i="14" s="1"/>
  <c r="H42" i="15"/>
  <c r="H35" i="15" s="1"/>
  <c r="H334" i="16"/>
  <c r="H333" i="16" s="1"/>
  <c r="H332" i="16" s="1"/>
  <c r="G600" i="14"/>
  <c r="G599" i="14" s="1"/>
  <c r="G598" i="14" s="1"/>
  <c r="G597" i="14" s="1"/>
  <c r="H666" i="15"/>
  <c r="H665" i="15" s="1"/>
  <c r="H664" i="15" s="1"/>
  <c r="G469" i="14"/>
  <c r="G466" i="14"/>
  <c r="H349" i="16"/>
  <c r="G610" i="14"/>
  <c r="G609" i="14" s="1"/>
  <c r="G608" i="14" s="1"/>
  <c r="H676" i="15"/>
  <c r="H675" i="15" s="1"/>
  <c r="G155" i="14"/>
  <c r="G154" i="14" s="1"/>
  <c r="H110" i="15"/>
  <c r="F133" i="14"/>
  <c r="G53" i="14"/>
  <c r="G52" i="14" s="1"/>
  <c r="G51" i="14" s="1"/>
  <c r="H45" i="15"/>
  <c r="G139" i="14"/>
  <c r="G138" i="14" s="1"/>
  <c r="H860" i="15"/>
  <c r="G153" i="14"/>
  <c r="G152" i="14" s="1"/>
  <c r="H108" i="15"/>
  <c r="H189" i="16"/>
  <c r="H190" i="16" s="1"/>
  <c r="G638" i="14"/>
  <c r="G637" i="14" s="1"/>
  <c r="G636" i="14" s="1"/>
  <c r="H704" i="15"/>
  <c r="H703" i="15" s="1"/>
  <c r="H905" i="16"/>
  <c r="H376" i="16"/>
  <c r="H205" i="16"/>
  <c r="H507" i="16"/>
  <c r="H508" i="16" s="1"/>
  <c r="G987" i="14"/>
  <c r="G986" i="14" s="1"/>
  <c r="G985" i="14" s="1"/>
  <c r="H843" i="15"/>
  <c r="H842" i="15" s="1"/>
  <c r="H44" i="16"/>
  <c r="H43" i="16" s="1"/>
  <c r="H42" i="16" s="1"/>
  <c r="H41" i="16" s="1"/>
  <c r="H40" i="16" s="1"/>
  <c r="H28" i="16" s="1"/>
  <c r="H361" i="16"/>
  <c r="G888" i="14"/>
  <c r="G887" i="14" s="1"/>
  <c r="G886" i="14" s="1"/>
  <c r="H460" i="15"/>
  <c r="H459" i="15" s="1"/>
  <c r="H345" i="16"/>
  <c r="H344" i="16" s="1"/>
  <c r="H343" i="16" s="1"/>
  <c r="G607" i="14"/>
  <c r="G606" i="14" s="1"/>
  <c r="G605" i="14" s="1"/>
  <c r="H673" i="15"/>
  <c r="H672" i="15" s="1"/>
  <c r="H925" i="16"/>
  <c r="H924" i="16" s="1"/>
  <c r="H923" i="16" s="1"/>
  <c r="H922" i="16" s="1"/>
  <c r="H921" i="16" s="1"/>
  <c r="H920" i="16" s="1"/>
  <c r="H919" i="16" s="1"/>
  <c r="H1014" i="15"/>
  <c r="H1013" i="15" s="1"/>
  <c r="H1012" i="15" s="1"/>
  <c r="H1011" i="15" s="1"/>
  <c r="G443" i="14"/>
  <c r="G442" i="14" s="1"/>
  <c r="G441" i="14" s="1"/>
  <c r="G46" i="14"/>
  <c r="G45" i="14" s="1"/>
  <c r="H500" i="15"/>
  <c r="H497" i="15" s="1"/>
  <c r="H496" i="15" s="1"/>
  <c r="G976" i="14"/>
  <c r="G975" i="14" s="1"/>
  <c r="G972" i="14" s="1"/>
  <c r="H832" i="15"/>
  <c r="H829" i="15" s="1"/>
  <c r="G137" i="14"/>
  <c r="G136" i="14" s="1"/>
  <c r="H858" i="15"/>
  <c r="H933" i="16"/>
  <c r="H934" i="16" s="1"/>
  <c r="G204" i="14"/>
  <c r="G203" i="14" s="1"/>
  <c r="G202" i="14" s="1"/>
  <c r="H523" i="15"/>
  <c r="H522" i="15" s="1"/>
  <c r="H499" i="16"/>
  <c r="H500" i="16" s="1"/>
  <c r="G955" i="14"/>
  <c r="G954" i="14" s="1"/>
  <c r="G953" i="14" s="1"/>
  <c r="H811" i="15"/>
  <c r="H810" i="15" s="1"/>
  <c r="H285" i="16"/>
  <c r="H286" i="16" s="1"/>
  <c r="G526" i="14"/>
  <c r="G525" i="14" s="1"/>
  <c r="G524" i="14" s="1"/>
  <c r="H592" i="15"/>
  <c r="H591" i="15" s="1"/>
  <c r="H584" i="15" s="1"/>
  <c r="G864" i="14"/>
  <c r="G863" i="14" s="1"/>
  <c r="G862" i="14" s="1"/>
  <c r="H442" i="15"/>
  <c r="H441" i="15" s="1"/>
  <c r="H1065" i="15"/>
  <c r="H1064" i="15" s="1"/>
  <c r="G14" i="14"/>
  <c r="G13" i="14" s="1"/>
  <c r="G12" i="14" s="1"/>
  <c r="G11" i="14" s="1"/>
  <c r="G10" i="14" s="1"/>
  <c r="G9" i="14" s="1"/>
  <c r="E11" i="13" s="1"/>
  <c r="G107" i="15"/>
  <c r="H250" i="16"/>
  <c r="H249" i="16" s="1"/>
  <c r="H248" i="16" s="1"/>
  <c r="H714" i="15"/>
  <c r="H713" i="15" s="1"/>
  <c r="G648" i="14"/>
  <c r="G647" i="14" s="1"/>
  <c r="G646" i="14" s="1"/>
  <c r="G639" i="14" s="1"/>
  <c r="H667" i="16"/>
  <c r="H668" i="16" s="1"/>
  <c r="G697" i="14"/>
  <c r="G696" i="14" s="1"/>
  <c r="G695" i="14" s="1"/>
  <c r="H314" i="15"/>
  <c r="H313" i="15" s="1"/>
  <c r="H310" i="15"/>
  <c r="H663" i="16"/>
  <c r="H664" i="16" s="1"/>
  <c r="G694" i="14"/>
  <c r="G693" i="14" s="1"/>
  <c r="G692" i="14" s="1"/>
  <c r="H311" i="15"/>
  <c r="G901" i="14"/>
  <c r="G900" i="14" s="1"/>
  <c r="H384" i="16"/>
  <c r="F42" i="14"/>
  <c r="G50" i="15"/>
  <c r="G350" i="16"/>
  <c r="D139" i="1"/>
  <c r="G196" i="4"/>
  <c r="H387" i="16"/>
  <c r="H386" i="16" s="1"/>
  <c r="H385" i="16" s="1"/>
  <c r="H380" i="16" s="1"/>
  <c r="H379" i="16" s="1"/>
  <c r="H378" i="16" s="1"/>
  <c r="H377" i="16" s="1"/>
  <c r="G143" i="4"/>
  <c r="H26" i="16"/>
  <c r="G594" i="15"/>
  <c r="H594" i="15"/>
  <c r="G994" i="14"/>
  <c r="F994" i="14"/>
  <c r="F383" i="3"/>
  <c r="F382" i="3" s="1"/>
  <c r="F153" i="3"/>
  <c r="F152" i="3" s="1"/>
  <c r="F138" i="3"/>
  <c r="G826" i="5"/>
  <c r="G825" i="5" s="1"/>
  <c r="G348" i="5"/>
  <c r="G509" i="5"/>
  <c r="F113" i="3"/>
  <c r="G943" i="4"/>
  <c r="G942" i="4" s="1"/>
  <c r="G1053" i="4"/>
  <c r="G1052" i="4" s="1"/>
  <c r="G99" i="16"/>
  <c r="G100" i="16"/>
  <c r="G495" i="4"/>
  <c r="G494" i="4" s="1"/>
  <c r="G709" i="16"/>
  <c r="G704" i="16" s="1"/>
  <c r="G703" i="16" s="1"/>
  <c r="G702" i="16" s="1"/>
  <c r="F11" i="3"/>
  <c r="F10" i="3" s="1"/>
  <c r="G676" i="4"/>
  <c r="G247" i="4"/>
  <c r="G246" i="4" s="1"/>
  <c r="G584" i="15"/>
  <c r="G312" i="16"/>
  <c r="G311" i="16" s="1"/>
  <c r="G310" i="16" s="1"/>
  <c r="H905" i="15"/>
  <c r="H904" i="15" s="1"/>
  <c r="H170" i="15"/>
  <c r="G170" i="15"/>
  <c r="G369" i="16"/>
  <c r="G370" i="16"/>
  <c r="G26" i="16"/>
  <c r="G24" i="16"/>
  <c r="G20" i="16" s="1"/>
  <c r="G19" i="16" s="1"/>
  <c r="G18" i="16" s="1"/>
  <c r="G17" i="16" s="1"/>
  <c r="G9" i="16" s="1"/>
  <c r="H316" i="15"/>
  <c r="H317" i="15"/>
  <c r="G191" i="15"/>
  <c r="G335" i="16"/>
  <c r="G333" i="16"/>
  <c r="G332" i="16" s="1"/>
  <c r="G251" i="16"/>
  <c r="G249" i="16"/>
  <c r="G248" i="16" s="1"/>
  <c r="G239" i="16" s="1"/>
  <c r="G78" i="16"/>
  <c r="G77" i="16" s="1"/>
  <c r="G76" i="16" s="1"/>
  <c r="G75" i="16" s="1"/>
  <c r="G80" i="16"/>
  <c r="H865" i="15"/>
  <c r="H864" i="15" s="1"/>
  <c r="H863" i="15" s="1"/>
  <c r="H862" i="15" s="1"/>
  <c r="G865" i="15"/>
  <c r="G864" i="15" s="1"/>
  <c r="G863" i="15" s="1"/>
  <c r="G862" i="15" s="1"/>
  <c r="G736" i="15"/>
  <c r="G735" i="15" s="1"/>
  <c r="G734" i="15" s="1"/>
  <c r="G733" i="15" s="1"/>
  <c r="H1005" i="15"/>
  <c r="H1004" i="15" s="1"/>
  <c r="G1004" i="15"/>
  <c r="G1119" i="15" s="1"/>
  <c r="H411" i="15"/>
  <c r="H410" i="15" s="1"/>
  <c r="G411" i="15"/>
  <c r="G410" i="15" s="1"/>
  <c r="H359" i="15"/>
  <c r="G359" i="15"/>
  <c r="H642" i="16"/>
  <c r="H369" i="16"/>
  <c r="H370" i="16"/>
  <c r="H337" i="16"/>
  <c r="H336" i="16" s="1"/>
  <c r="H339" i="16"/>
  <c r="G346" i="16"/>
  <c r="G344" i="16"/>
  <c r="G343" i="16" s="1"/>
  <c r="G926" i="16"/>
  <c r="G924" i="16"/>
  <c r="G923" i="16" s="1"/>
  <c r="G922" i="16" s="1"/>
  <c r="G921" i="16" s="1"/>
  <c r="G920" i="16" s="1"/>
  <c r="G919" i="16" s="1"/>
  <c r="G353" i="16"/>
  <c r="G352" i="16" s="1"/>
  <c r="G351" i="16"/>
  <c r="H243" i="15"/>
  <c r="H244" i="15"/>
  <c r="H1055" i="15"/>
  <c r="H1054" i="15" s="1"/>
  <c r="H1053" i="15" s="1"/>
  <c r="H1052" i="15" s="1"/>
  <c r="H1051" i="15" s="1"/>
  <c r="G1055" i="15"/>
  <c r="G1054" i="15" s="1"/>
  <c r="G1053" i="15" s="1"/>
  <c r="G1052" i="15" s="1"/>
  <c r="G1051" i="15" s="1"/>
  <c r="G671" i="15"/>
  <c r="H729" i="15"/>
  <c r="H728" i="15"/>
  <c r="G934" i="16"/>
  <c r="G932" i="16"/>
  <c r="G931" i="16" s="1"/>
  <c r="G930" i="16" s="1"/>
  <c r="G929" i="16" s="1"/>
  <c r="H289" i="15"/>
  <c r="G289" i="15"/>
  <c r="H380" i="15"/>
  <c r="G380" i="15"/>
  <c r="H469" i="15"/>
  <c r="H468" i="15" s="1"/>
  <c r="G469" i="15"/>
  <c r="G468" i="15" s="1"/>
  <c r="H797" i="16"/>
  <c r="G508" i="16"/>
  <c r="G506" i="16"/>
  <c r="G505" i="16" s="1"/>
  <c r="G504" i="16" s="1"/>
  <c r="G503" i="16" s="1"/>
  <c r="G502" i="16" s="1"/>
  <c r="G501" i="16" s="1"/>
  <c r="G668" i="16"/>
  <c r="G666" i="16"/>
  <c r="G665" i="16" s="1"/>
  <c r="H453" i="15"/>
  <c r="H452" i="15"/>
  <c r="H351" i="16"/>
  <c r="H353" i="16"/>
  <c r="H352" i="16" s="1"/>
  <c r="G339" i="16"/>
  <c r="G337" i="16"/>
  <c r="G336" i="16" s="1"/>
  <c r="H614" i="15"/>
  <c r="H613" i="15"/>
  <c r="H685" i="15"/>
  <c r="G685" i="15"/>
  <c r="H528" i="15"/>
  <c r="H527" i="15" s="1"/>
  <c r="H526" i="15" s="1"/>
  <c r="H525" i="15" s="1"/>
  <c r="G528" i="15"/>
  <c r="G527" i="15" s="1"/>
  <c r="G526" i="15" s="1"/>
  <c r="G525" i="15" s="1"/>
  <c r="H695" i="15"/>
  <c r="H694" i="15" s="1"/>
  <c r="G695" i="15"/>
  <c r="G694" i="15" s="1"/>
  <c r="G1012" i="15"/>
  <c r="G1011" i="15" s="1"/>
  <c r="G386" i="16"/>
  <c r="G385" i="16" s="1"/>
  <c r="G380" i="16" s="1"/>
  <c r="G379" i="16" s="1"/>
  <c r="G378" i="16" s="1"/>
  <c r="G377" i="16" s="1"/>
  <c r="G388" i="16"/>
  <c r="G660" i="16"/>
  <c r="G658" i="16"/>
  <c r="G657" i="16" s="1"/>
  <c r="G734" i="16"/>
  <c r="G732" i="16"/>
  <c r="G731" i="16" s="1"/>
  <c r="G726" i="16" s="1"/>
  <c r="G725" i="16" s="1"/>
  <c r="G664" i="16"/>
  <c r="G662" i="16"/>
  <c r="G661" i="16" s="1"/>
  <c r="G500" i="16"/>
  <c r="G498" i="16"/>
  <c r="G497" i="16" s="1"/>
  <c r="G496" i="16" s="1"/>
  <c r="G495" i="16" s="1"/>
  <c r="G494" i="16" s="1"/>
  <c r="G452" i="16" s="1"/>
  <c r="G284" i="16"/>
  <c r="G283" i="16" s="1"/>
  <c r="G274" i="16" s="1"/>
  <c r="G273" i="16" s="1"/>
  <c r="G272" i="16" s="1"/>
  <c r="G256" i="16" s="1"/>
  <c r="G286" i="16"/>
  <c r="H26" i="17"/>
  <c r="H25" i="17" s="1"/>
  <c r="H24" i="17" s="1"/>
  <c r="H23" i="17" s="1"/>
  <c r="H22" i="17" s="1"/>
  <c r="H21" i="17" s="1"/>
  <c r="H39" i="17" s="1"/>
  <c r="H79" i="16"/>
  <c r="G642" i="16"/>
  <c r="G640" i="16"/>
  <c r="G636" i="16" s="1"/>
  <c r="H138" i="15"/>
  <c r="H137" i="15" s="1"/>
  <c r="H136" i="15" s="1"/>
  <c r="H135" i="15" s="1"/>
  <c r="H134" i="15" s="1"/>
  <c r="G137" i="15"/>
  <c r="G136" i="15" s="1"/>
  <c r="G135" i="15" s="1"/>
  <c r="G134" i="15" s="1"/>
  <c r="H187" i="15"/>
  <c r="H183" i="15" s="1"/>
  <c r="H182" i="15" s="1"/>
  <c r="G183" i="15"/>
  <c r="G182" i="15" s="1"/>
  <c r="H267" i="15"/>
  <c r="H266" i="15" s="1"/>
  <c r="H251" i="15" s="1"/>
  <c r="H250" i="15" s="1"/>
  <c r="H249" i="15" s="1"/>
  <c r="H248" i="15" s="1"/>
  <c r="G266" i="15"/>
  <c r="G251" i="15" s="1"/>
  <c r="G250" i="15" s="1"/>
  <c r="G249" i="15" s="1"/>
  <c r="G248" i="15" s="1"/>
  <c r="H575" i="15"/>
  <c r="H574" i="15" s="1"/>
  <c r="G574" i="15"/>
  <c r="G579" i="4"/>
  <c r="H603" i="15"/>
  <c r="H602" i="15" s="1"/>
  <c r="H601" i="15" s="1"/>
  <c r="G602" i="15"/>
  <c r="G601" i="15" s="1"/>
  <c r="H652" i="15"/>
  <c r="H651" i="15" s="1"/>
  <c r="G651" i="15"/>
  <c r="H679" i="15"/>
  <c r="H678" i="15" s="1"/>
  <c r="G678" i="15"/>
  <c r="H691" i="15"/>
  <c r="H690" i="15" s="1"/>
  <c r="H689" i="15" s="1"/>
  <c r="G690" i="15"/>
  <c r="G689" i="15" s="1"/>
  <c r="H721" i="15"/>
  <c r="H720" i="15" s="1"/>
  <c r="G720" i="15"/>
  <c r="H879" i="15"/>
  <c r="H878" i="15" s="1"/>
  <c r="H877" i="15" s="1"/>
  <c r="H876" i="15" s="1"/>
  <c r="G878" i="15"/>
  <c r="G877" i="15" s="1"/>
  <c r="G876" i="15" s="1"/>
  <c r="H892" i="15"/>
  <c r="H891" i="15" s="1"/>
  <c r="H890" i="15" s="1"/>
  <c r="H889" i="15" s="1"/>
  <c r="G891" i="15"/>
  <c r="G890" i="15" s="1"/>
  <c r="G889" i="15" s="1"/>
  <c r="G905" i="15"/>
  <c r="G904" i="15" s="1"/>
  <c r="H959" i="15"/>
  <c r="H958" i="15" s="1"/>
  <c r="G958" i="15"/>
  <c r="H951" i="15"/>
  <c r="H950" i="15" s="1"/>
  <c r="G950" i="15"/>
  <c r="H955" i="15"/>
  <c r="H954" i="15" s="1"/>
  <c r="G954" i="15"/>
  <c r="G797" i="16"/>
  <c r="G795" i="16"/>
  <c r="G794" i="16" s="1"/>
  <c r="G793" i="16" s="1"/>
  <c r="G792" i="16" s="1"/>
  <c r="G791" i="16" s="1"/>
  <c r="G776" i="16" s="1"/>
  <c r="H363" i="15"/>
  <c r="G363" i="15"/>
  <c r="H633" i="16"/>
  <c r="H635" i="16"/>
  <c r="H634" i="16" s="1"/>
  <c r="C135" i="12"/>
  <c r="C136" i="12"/>
  <c r="D135" i="12"/>
  <c r="D136" i="12"/>
  <c r="G784" i="14"/>
  <c r="F784" i="14"/>
  <c r="G196" i="14"/>
  <c r="G191" i="14" s="1"/>
  <c r="F196" i="14"/>
  <c r="F191" i="14" s="1"/>
  <c r="G543" i="14"/>
  <c r="G542" i="14" s="1"/>
  <c r="G541" i="14" s="1"/>
  <c r="F542" i="14"/>
  <c r="F541" i="14" s="1"/>
  <c r="F945" i="14"/>
  <c r="G896" i="14"/>
  <c r="G895" i="14" s="1"/>
  <c r="F896" i="14"/>
  <c r="F895" i="14" s="1"/>
  <c r="G622" i="14"/>
  <c r="F622" i="14"/>
  <c r="G809" i="14"/>
  <c r="F809" i="14"/>
  <c r="G358" i="14"/>
  <c r="G344" i="14" s="1"/>
  <c r="F344" i="14"/>
  <c r="G628" i="14"/>
  <c r="G627" i="14" s="1"/>
  <c r="F628" i="14"/>
  <c r="F627" i="14" s="1"/>
  <c r="G334" i="14"/>
  <c r="G333" i="14" s="1"/>
  <c r="F333" i="14"/>
  <c r="G554" i="14"/>
  <c r="F554" i="14"/>
  <c r="G925" i="14"/>
  <c r="F925" i="14"/>
  <c r="G190" i="16"/>
  <c r="G188" i="16"/>
  <c r="G187" i="16" s="1"/>
  <c r="G186" i="16" s="1"/>
  <c r="G163" i="16" s="1"/>
  <c r="G162" i="16" s="1"/>
  <c r="D8" i="1"/>
  <c r="H1082" i="15"/>
  <c r="H1081" i="15" s="1"/>
  <c r="H1080" i="15" s="1"/>
  <c r="G1082" i="15"/>
  <c r="G1081" i="15" s="1"/>
  <c r="G1080" i="15" s="1"/>
  <c r="F11" i="14"/>
  <c r="F10" i="14" s="1"/>
  <c r="F9" i="14" s="1"/>
  <c r="D11" i="13" s="1"/>
  <c r="G496" i="15"/>
  <c r="G838" i="14"/>
  <c r="G837" i="14" s="1"/>
  <c r="F838" i="14"/>
  <c r="F837" i="14" s="1"/>
  <c r="H417" i="15"/>
  <c r="H416" i="15" s="1"/>
  <c r="G417" i="15"/>
  <c r="G416" i="15" s="1"/>
  <c r="G766" i="14"/>
  <c r="F766" i="14"/>
  <c r="H89" i="15"/>
  <c r="H88" i="15" s="1"/>
  <c r="H87" i="15" s="1"/>
  <c r="G89" i="15"/>
  <c r="G88" i="15" s="1"/>
  <c r="G87" i="15" s="1"/>
  <c r="H13" i="15"/>
  <c r="H12" i="15" s="1"/>
  <c r="H11" i="15" s="1"/>
  <c r="H10" i="15" s="1"/>
  <c r="H9" i="15" s="1"/>
  <c r="G13" i="15"/>
  <c r="G12" i="15" s="1"/>
  <c r="G11" i="15" s="1"/>
  <c r="G10" i="15" s="1"/>
  <c r="G9" i="15" s="1"/>
  <c r="G108" i="14"/>
  <c r="F108" i="14"/>
  <c r="G860" i="5"/>
  <c r="H115" i="15"/>
  <c r="F1016" i="3"/>
  <c r="F1015" i="3" s="1"/>
  <c r="F1014" i="3" s="1"/>
  <c r="G1125" i="4"/>
  <c r="G1124" i="4" s="1"/>
  <c r="G401" i="5"/>
  <c r="G399" i="5"/>
  <c r="G527" i="4"/>
  <c r="G526" i="4" s="1"/>
  <c r="G929" i="4"/>
  <c r="F759" i="3"/>
  <c r="F758" i="3" s="1"/>
  <c r="G656" i="4"/>
  <c r="F76" i="3"/>
  <c r="F753" i="3"/>
  <c r="F568" i="3"/>
  <c r="G110" i="5"/>
  <c r="G109" i="5" s="1"/>
  <c r="G189" i="5"/>
  <c r="G188" i="5" s="1"/>
  <c r="G166" i="5"/>
  <c r="G416" i="5"/>
  <c r="G157" i="5"/>
  <c r="G155" i="5"/>
  <c r="G154" i="5" s="1"/>
  <c r="G767" i="4"/>
  <c r="G766" i="4" s="1"/>
  <c r="G987" i="4"/>
  <c r="G289" i="4"/>
  <c r="H1154" i="15"/>
  <c r="G1154" i="15"/>
  <c r="H1155" i="15"/>
  <c r="G1155" i="15"/>
  <c r="G1016" i="4"/>
  <c r="G349" i="4"/>
  <c r="G277" i="4"/>
  <c r="G162" i="4"/>
  <c r="G447" i="4"/>
  <c r="G844" i="4"/>
  <c r="G467" i="4"/>
  <c r="G181" i="4"/>
  <c r="G613" i="4"/>
  <c r="G1097" i="4"/>
  <c r="G320" i="4"/>
  <c r="G512" i="4"/>
  <c r="G215" i="4"/>
  <c r="G871" i="4"/>
  <c r="G204" i="4"/>
  <c r="G105" i="4"/>
  <c r="G983" i="4"/>
  <c r="G943" i="15"/>
  <c r="G341" i="4"/>
  <c r="G327" i="4"/>
  <c r="G175" i="4"/>
  <c r="G902" i="4"/>
  <c r="G818" i="4"/>
  <c r="G1142" i="15"/>
  <c r="G808" i="4"/>
  <c r="G793" i="15"/>
  <c r="G714" i="4"/>
  <c r="G371" i="4"/>
  <c r="G370" i="4" s="1"/>
  <c r="G683" i="4"/>
  <c r="G426" i="4"/>
  <c r="G669" i="4"/>
  <c r="F342" i="3"/>
  <c r="F341" i="3" s="1"/>
  <c r="G150" i="4"/>
  <c r="G191" i="4"/>
  <c r="G1136" i="4"/>
  <c r="G736" i="4"/>
  <c r="G457" i="4"/>
  <c r="G520" i="4"/>
  <c r="G12" i="4"/>
  <c r="G975" i="4"/>
  <c r="H934" i="15"/>
  <c r="G697" i="4"/>
  <c r="G706" i="4"/>
  <c r="G409" i="4"/>
  <c r="G1071" i="4"/>
  <c r="G439" i="4"/>
  <c r="G979" i="4"/>
  <c r="G87" i="4"/>
  <c r="G1030" i="4"/>
  <c r="G894" i="4"/>
  <c r="G748" i="4"/>
  <c r="G916" i="5"/>
  <c r="G469" i="5"/>
  <c r="G472" i="5" s="1"/>
  <c r="G933" i="5"/>
  <c r="G70" i="5"/>
  <c r="G969" i="5"/>
  <c r="G365" i="5"/>
  <c r="G364" i="5" s="1"/>
  <c r="G315" i="5"/>
  <c r="G499" i="5"/>
  <c r="G80" i="5"/>
  <c r="G266" i="5"/>
  <c r="G386" i="5"/>
  <c r="G473" i="5"/>
  <c r="G476" i="5" s="1"/>
  <c r="G135" i="4"/>
  <c r="G953" i="5"/>
  <c r="G291" i="5"/>
  <c r="G851" i="5"/>
  <c r="G976" i="5"/>
  <c r="G262" i="5"/>
  <c r="G394" i="5"/>
  <c r="G105" i="5"/>
  <c r="G96" i="5"/>
  <c r="G281" i="5"/>
  <c r="G345" i="5"/>
  <c r="G666" i="5"/>
  <c r="G911" i="5"/>
  <c r="G962" i="5"/>
  <c r="F42" i="3"/>
  <c r="F66" i="3"/>
  <c r="F955" i="3"/>
  <c r="G285" i="5"/>
  <c r="G319" i="5"/>
  <c r="G327" i="5"/>
  <c r="G360" i="5"/>
  <c r="G355" i="5" s="1"/>
  <c r="G433" i="5"/>
  <c r="G479" i="5"/>
  <c r="G664" i="5"/>
  <c r="G769" i="5"/>
  <c r="G455" i="5"/>
  <c r="G506" i="5"/>
  <c r="G945" i="5"/>
  <c r="G895" i="5"/>
  <c r="G939" i="5"/>
  <c r="G926" i="5"/>
  <c r="G906" i="5"/>
  <c r="G838" i="5"/>
  <c r="G709" i="5"/>
  <c r="G63" i="5"/>
  <c r="F817" i="3"/>
  <c r="F903" i="3"/>
  <c r="F738" i="3"/>
  <c r="F615" i="3"/>
  <c r="F379" i="3"/>
  <c r="F203" i="3"/>
  <c r="F202" i="3"/>
  <c r="F648" i="3"/>
  <c r="F697" i="3"/>
  <c r="F679" i="14"/>
  <c r="G679" i="14" s="1"/>
  <c r="F599" i="3"/>
  <c r="F586" i="14"/>
  <c r="F146" i="3"/>
  <c r="F231" i="3"/>
  <c r="F193" i="3"/>
  <c r="F713" i="3"/>
  <c r="F667" i="3"/>
  <c r="F436" i="3"/>
  <c r="F419" i="3"/>
  <c r="F773" i="3"/>
  <c r="F937" i="3"/>
  <c r="F910" i="3"/>
  <c r="F588" i="3"/>
  <c r="F517" i="3"/>
  <c r="F594" i="3"/>
  <c r="F375" i="3"/>
  <c r="F387" i="3"/>
  <c r="F511" i="3"/>
  <c r="F622" i="3"/>
  <c r="F234" i="3"/>
  <c r="F250" i="3"/>
  <c r="F710" i="3"/>
  <c r="F769" i="3"/>
  <c r="F1050" i="3"/>
  <c r="F337" i="3"/>
  <c r="F716" i="3"/>
  <c r="F795" i="3"/>
  <c r="F786" i="3" s="1"/>
  <c r="G267" i="14"/>
  <c r="G262" i="14" s="1"/>
  <c r="G261" i="14" s="1"/>
  <c r="F459" i="3"/>
  <c r="F71" i="3"/>
  <c r="F66" i="14" s="1"/>
  <c r="F914" i="3"/>
  <c r="F913" i="3" s="1"/>
  <c r="F548" i="3"/>
  <c r="F1002" i="3"/>
  <c r="F886" i="3"/>
  <c r="F535" i="3"/>
  <c r="F480" i="3"/>
  <c r="F280" i="3"/>
  <c r="F207" i="3"/>
  <c r="F1008" i="3"/>
  <c r="F900" i="3"/>
  <c r="F750" i="3"/>
  <c r="F602" i="3"/>
  <c r="F588" i="14" s="1"/>
  <c r="F589" i="14"/>
  <c r="F608" i="3"/>
  <c r="F260" i="3"/>
  <c r="F51" i="3"/>
  <c r="F453" i="3"/>
  <c r="F31" i="3"/>
  <c r="F612" i="3"/>
  <c r="F329" i="3"/>
  <c r="F323" i="14"/>
  <c r="G323" i="14" s="1"/>
  <c r="F105" i="3"/>
  <c r="F873" i="3"/>
  <c r="F670" i="3"/>
  <c r="F334" i="3"/>
  <c r="F965" i="3"/>
  <c r="F936" i="14"/>
  <c r="F656" i="3"/>
  <c r="F416" i="3"/>
  <c r="F861" i="3"/>
  <c r="F919" i="3"/>
  <c r="F639" i="3"/>
  <c r="F1029" i="3"/>
  <c r="F629" i="3"/>
  <c r="F679" i="3"/>
  <c r="F522" i="3"/>
  <c r="F509" i="14"/>
  <c r="G509" i="14" s="1"/>
  <c r="G593" i="5"/>
  <c r="G821" i="5"/>
  <c r="G819" i="5"/>
  <c r="G749" i="5"/>
  <c r="G747" i="5"/>
  <c r="G814" i="5"/>
  <c r="G812" i="5"/>
  <c r="G835" i="5"/>
  <c r="G833" i="5"/>
  <c r="G542" i="4"/>
  <c r="G799" i="5"/>
  <c r="G797" i="5"/>
  <c r="G532" i="5"/>
  <c r="G544" i="5"/>
  <c r="G415" i="5"/>
  <c r="G350" i="5"/>
  <c r="G352" i="5"/>
  <c r="G338" i="5"/>
  <c r="G255" i="5"/>
  <c r="G257" i="5"/>
  <c r="G238" i="5"/>
  <c r="G240" i="5"/>
  <c r="G230" i="5"/>
  <c r="G232" i="5"/>
  <c r="G205" i="5"/>
  <c r="G207" i="5"/>
  <c r="G213" i="5"/>
  <c r="G215" i="5"/>
  <c r="G87" i="5"/>
  <c r="G89" i="5"/>
  <c r="G46" i="5"/>
  <c r="G48" i="5"/>
  <c r="G844" i="5"/>
  <c r="G32" i="5"/>
  <c r="F1038" i="3"/>
  <c r="F164" i="3"/>
  <c r="G912" i="4"/>
  <c r="G907" i="4"/>
  <c r="I988" i="10"/>
  <c r="I989" i="10"/>
  <c r="I987" i="10"/>
  <c r="G534" i="11"/>
  <c r="G652" i="16" l="1"/>
  <c r="G650" i="16"/>
  <c r="H239" i="16"/>
  <c r="H303" i="15"/>
  <c r="G685" i="14"/>
  <c r="D74" i="12"/>
  <c r="D73" i="12" s="1"/>
  <c r="G987" i="10"/>
  <c r="G991" i="10" s="1"/>
  <c r="G797" i="4"/>
  <c r="G796" i="4" s="1"/>
  <c r="F706" i="3"/>
  <c r="F504" i="3"/>
  <c r="F496" i="3" s="1"/>
  <c r="F660" i="3"/>
  <c r="F578" i="3"/>
  <c r="G748" i="10"/>
  <c r="G975" i="10" s="1"/>
  <c r="G977" i="10" s="1"/>
  <c r="H50" i="15"/>
  <c r="G27" i="4"/>
  <c r="G26" i="4" s="1"/>
  <c r="H855" i="15"/>
  <c r="C74" i="12"/>
  <c r="C73" i="12" s="1"/>
  <c r="C147" i="12" s="1"/>
  <c r="H498" i="16"/>
  <c r="H497" i="16" s="1"/>
  <c r="H496" i="16" s="1"/>
  <c r="H495" i="16" s="1"/>
  <c r="H494" i="16" s="1"/>
  <c r="H452" i="16" s="1"/>
  <c r="H662" i="16"/>
  <c r="H661" i="16" s="1"/>
  <c r="H666" i="16"/>
  <c r="H665" i="16" s="1"/>
  <c r="G319" i="4"/>
  <c r="G318" i="4" s="1"/>
  <c r="G451" i="16"/>
  <c r="H932" i="16"/>
  <c r="H931" i="16" s="1"/>
  <c r="H930" i="16" s="1"/>
  <c r="H929" i="16" s="1"/>
  <c r="H928" i="16" s="1"/>
  <c r="H192" i="16"/>
  <c r="H191" i="16" s="1"/>
  <c r="H732" i="16"/>
  <c r="H731" i="16" s="1"/>
  <c r="H726" i="16" s="1"/>
  <c r="H725" i="16" s="1"/>
  <c r="H723" i="16" s="1"/>
  <c r="H700" i="16" s="1"/>
  <c r="F129" i="14"/>
  <c r="G133" i="14"/>
  <c r="G129" i="14" s="1"/>
  <c r="H671" i="15"/>
  <c r="H650" i="15" s="1"/>
  <c r="H188" i="16"/>
  <c r="H187" i="16" s="1"/>
  <c r="H186" i="16" s="1"/>
  <c r="H163" i="16" s="1"/>
  <c r="H162" i="16" s="1"/>
  <c r="G340" i="4"/>
  <c r="H926" i="16"/>
  <c r="G203" i="4"/>
  <c r="G202" i="4" s="1"/>
  <c r="G655" i="4"/>
  <c r="H506" i="16"/>
  <c r="H505" i="16" s="1"/>
  <c r="H504" i="16" s="1"/>
  <c r="H503" i="16" s="1"/>
  <c r="H502" i="16" s="1"/>
  <c r="H501" i="16" s="1"/>
  <c r="G142" i="4"/>
  <c r="G141" i="4" s="1"/>
  <c r="G161" i="4"/>
  <c r="G160" i="4" s="1"/>
  <c r="H251" i="16"/>
  <c r="H335" i="16"/>
  <c r="H658" i="16"/>
  <c r="H657" i="16" s="1"/>
  <c r="H650" i="16" s="1"/>
  <c r="G151" i="14"/>
  <c r="G42" i="14"/>
  <c r="G41" i="14" s="1"/>
  <c r="H346" i="16"/>
  <c r="H284" i="16"/>
  <c r="H283" i="16" s="1"/>
  <c r="H274" i="16" s="1"/>
  <c r="H273" i="16" s="1"/>
  <c r="H272" i="16" s="1"/>
  <c r="H256" i="16" s="1"/>
  <c r="H107" i="15"/>
  <c r="H106" i="15" s="1"/>
  <c r="H105" i="15" s="1"/>
  <c r="H104" i="15" s="1"/>
  <c r="H348" i="16"/>
  <c r="H347" i="16" s="1"/>
  <c r="H342" i="16" s="1"/>
  <c r="H341" i="16" s="1"/>
  <c r="H350" i="16"/>
  <c r="G604" i="14"/>
  <c r="G583" i="14" s="1"/>
  <c r="G276" i="4"/>
  <c r="G66" i="14"/>
  <c r="F57" i="14"/>
  <c r="H1125" i="15"/>
  <c r="G1125" i="15"/>
  <c r="H573" i="15"/>
  <c r="G573" i="15"/>
  <c r="H495" i="15"/>
  <c r="H494" i="15" s="1"/>
  <c r="G495" i="15"/>
  <c r="G494" i="15" s="1"/>
  <c r="F57" i="3"/>
  <c r="H388" i="16"/>
  <c r="G174" i="4"/>
  <c r="G173" i="4" s="1"/>
  <c r="G578" i="4"/>
  <c r="H702" i="16"/>
  <c r="F371" i="14"/>
  <c r="F370" i="14" s="1"/>
  <c r="F41" i="14"/>
  <c r="H782" i="15"/>
  <c r="F134" i="3"/>
  <c r="F150" i="14"/>
  <c r="E24" i="13"/>
  <c r="F332" i="14"/>
  <c r="G701" i="16"/>
  <c r="G192" i="16"/>
  <c r="G191" i="16" s="1"/>
  <c r="G161" i="16" s="1"/>
  <c r="F737" i="14"/>
  <c r="F736" i="14" s="1"/>
  <c r="H1146" i="15"/>
  <c r="F971" i="14"/>
  <c r="F970" i="14" s="1"/>
  <c r="H458" i="15"/>
  <c r="G458" i="15"/>
  <c r="H513" i="15"/>
  <c r="H512" i="15" s="1"/>
  <c r="G513" i="15"/>
  <c r="G512" i="15" s="1"/>
  <c r="H809" i="15"/>
  <c r="G809" i="15"/>
  <c r="H755" i="15"/>
  <c r="G755" i="15"/>
  <c r="G723" i="16"/>
  <c r="G724" i="16"/>
  <c r="H1030" i="15"/>
  <c r="G1030" i="15"/>
  <c r="H872" i="15"/>
  <c r="H871" i="15" s="1"/>
  <c r="H870" i="15" s="1"/>
  <c r="H869" i="15" s="1"/>
  <c r="G872" i="15"/>
  <c r="G871" i="15" s="1"/>
  <c r="G870" i="15" s="1"/>
  <c r="G869" i="15" s="1"/>
  <c r="H448" i="15"/>
  <c r="G448" i="15"/>
  <c r="G332" i="14"/>
  <c r="H462" i="15"/>
  <c r="G462" i="15"/>
  <c r="H521" i="15"/>
  <c r="G521" i="15"/>
  <c r="H724" i="15"/>
  <c r="H719" i="15" s="1"/>
  <c r="G724" i="15"/>
  <c r="G719" i="15" s="1"/>
  <c r="H1142" i="15"/>
  <c r="H331" i="15"/>
  <c r="G331" i="15"/>
  <c r="H208" i="15"/>
  <c r="H1128" i="15" s="1"/>
  <c r="G208" i="15"/>
  <c r="G1128" i="15" s="1"/>
  <c r="H219" i="15"/>
  <c r="H218" i="15" s="1"/>
  <c r="H217" i="15" s="1"/>
  <c r="H216" i="15" s="1"/>
  <c r="H215" i="15" s="1"/>
  <c r="G219" i="15"/>
  <c r="G218" i="15" s="1"/>
  <c r="G217" i="15" s="1"/>
  <c r="G216" i="15" s="1"/>
  <c r="G215" i="15" s="1"/>
  <c r="H324" i="15"/>
  <c r="G324" i="15"/>
  <c r="G650" i="15"/>
  <c r="G651" i="16"/>
  <c r="G928" i="16"/>
  <c r="G927" i="16"/>
  <c r="H331" i="16"/>
  <c r="H330" i="16" s="1"/>
  <c r="H329" i="16"/>
  <c r="H736" i="15"/>
  <c r="H735" i="15" s="1"/>
  <c r="H734" i="15" s="1"/>
  <c r="H733" i="15" s="1"/>
  <c r="H989" i="15"/>
  <c r="H988" i="15" s="1"/>
  <c r="G988" i="15"/>
  <c r="H841" i="15"/>
  <c r="H840" i="15" s="1"/>
  <c r="H839" i="15" s="1"/>
  <c r="G841" i="15"/>
  <c r="G840" i="15" s="1"/>
  <c r="G839" i="15" s="1"/>
  <c r="H1119" i="15"/>
  <c r="G74" i="16"/>
  <c r="G73" i="16"/>
  <c r="G27" i="16" s="1"/>
  <c r="H440" i="15"/>
  <c r="H439" i="15" s="1"/>
  <c r="H438" i="15" s="1"/>
  <c r="G440" i="15"/>
  <c r="G439" i="15" s="1"/>
  <c r="G438" i="15" s="1"/>
  <c r="H851" i="15"/>
  <c r="H850" i="15" s="1"/>
  <c r="H849" i="15" s="1"/>
  <c r="H848" i="15" s="1"/>
  <c r="G851" i="15"/>
  <c r="G850" i="15" s="1"/>
  <c r="G849" i="15" s="1"/>
  <c r="G848" i="15" s="1"/>
  <c r="H802" i="15"/>
  <c r="G802" i="15"/>
  <c r="H814" i="15"/>
  <c r="H813" i="15" s="1"/>
  <c r="H1151" i="15" s="1"/>
  <c r="G814" i="15"/>
  <c r="G813" i="15" s="1"/>
  <c r="G1151" i="15" s="1"/>
  <c r="H78" i="16"/>
  <c r="H77" i="16" s="1"/>
  <c r="H76" i="16" s="1"/>
  <c r="H75" i="16" s="1"/>
  <c r="H80" i="16"/>
  <c r="G342" i="16"/>
  <c r="G341" i="16" s="1"/>
  <c r="G340" i="16"/>
  <c r="G329" i="16"/>
  <c r="G331" i="16"/>
  <c r="G330" i="16" s="1"/>
  <c r="H293" i="15"/>
  <c r="G293" i="15"/>
  <c r="G635" i="16"/>
  <c r="G634" i="16" s="1"/>
  <c r="G633" i="16"/>
  <c r="G1146" i="15"/>
  <c r="H793" i="15"/>
  <c r="H792" i="15" s="1"/>
  <c r="G792" i="15"/>
  <c r="H943" i="15"/>
  <c r="H942" i="15" s="1"/>
  <c r="G942" i="15"/>
  <c r="H939" i="15"/>
  <c r="H938" i="15" s="1"/>
  <c r="G938" i="15"/>
  <c r="H946" i="15"/>
  <c r="G946" i="15"/>
  <c r="H975" i="15"/>
  <c r="H974" i="15" s="1"/>
  <c r="G975" i="15"/>
  <c r="G974" i="15" s="1"/>
  <c r="H621" i="15"/>
  <c r="H620" i="15" s="1"/>
  <c r="G621" i="15"/>
  <c r="G620" i="15" s="1"/>
  <c r="F935" i="14"/>
  <c r="F482" i="14"/>
  <c r="G482" i="14"/>
  <c r="G993" i="14"/>
  <c r="G992" i="14" s="1"/>
  <c r="F993" i="14"/>
  <c r="F992" i="14" s="1"/>
  <c r="F201" i="14"/>
  <c r="F200" i="14"/>
  <c r="G635" i="14"/>
  <c r="F635" i="14"/>
  <c r="G702" i="15"/>
  <c r="H176" i="15"/>
  <c r="H175" i="15" s="1"/>
  <c r="H174" i="15" s="1"/>
  <c r="G176" i="15"/>
  <c r="G175" i="15" s="1"/>
  <c r="G174" i="15" s="1"/>
  <c r="H163" i="15"/>
  <c r="H162" i="15" s="1"/>
  <c r="H161" i="15" s="1"/>
  <c r="G163" i="15"/>
  <c r="G162" i="15" s="1"/>
  <c r="G161" i="15" s="1"/>
  <c r="H1093" i="15"/>
  <c r="H1092" i="15" s="1"/>
  <c r="H1091" i="15" s="1"/>
  <c r="G1093" i="15"/>
  <c r="G1092" i="15" s="1"/>
  <c r="G1091" i="15" s="1"/>
  <c r="H1063" i="15"/>
  <c r="H1062" i="15" s="1"/>
  <c r="H1061" i="15" s="1"/>
  <c r="G1063" i="15"/>
  <c r="G1062" i="15" s="1"/>
  <c r="G1061" i="15" s="1"/>
  <c r="H1037" i="15"/>
  <c r="G1037" i="15"/>
  <c r="H1018" i="15"/>
  <c r="H1017" i="15" s="1"/>
  <c r="G1018" i="15"/>
  <c r="G1017" i="15" s="1"/>
  <c r="H828" i="15"/>
  <c r="H827" i="15" s="1"/>
  <c r="G828" i="15"/>
  <c r="G827" i="15" s="1"/>
  <c r="H820" i="15"/>
  <c r="H819" i="15" s="1"/>
  <c r="G820" i="15"/>
  <c r="G819" i="15" s="1"/>
  <c r="H759" i="15"/>
  <c r="G759" i="15"/>
  <c r="H745" i="15"/>
  <c r="H744" i="15" s="1"/>
  <c r="G745" i="15"/>
  <c r="G744" i="15" s="1"/>
  <c r="H427" i="15"/>
  <c r="H426" i="15" s="1"/>
  <c r="G427" i="15"/>
  <c r="G426" i="15" s="1"/>
  <c r="G793" i="14"/>
  <c r="G792" i="14" s="1"/>
  <c r="F793" i="14"/>
  <c r="F792" i="14" s="1"/>
  <c r="H372" i="15"/>
  <c r="H371" i="15" s="1"/>
  <c r="G372" i="15"/>
  <c r="G371" i="15" s="1"/>
  <c r="G774" i="14"/>
  <c r="G765" i="14" s="1"/>
  <c r="F774" i="14"/>
  <c r="F765" i="14" s="1"/>
  <c r="H345" i="15"/>
  <c r="G345" i="15"/>
  <c r="H281" i="15"/>
  <c r="G281" i="15"/>
  <c r="H143" i="15"/>
  <c r="H142" i="15" s="1"/>
  <c r="H141" i="15" s="1"/>
  <c r="G143" i="15"/>
  <c r="G142" i="15" s="1"/>
  <c r="G141" i="15" s="1"/>
  <c r="G232" i="14"/>
  <c r="F232" i="14"/>
  <c r="G106" i="15"/>
  <c r="G105" i="15" s="1"/>
  <c r="G104" i="15" s="1"/>
  <c r="H34" i="15"/>
  <c r="G34" i="15"/>
  <c r="G33" i="15" s="1"/>
  <c r="G32" i="15" s="1"/>
  <c r="G928" i="4"/>
  <c r="G927" i="4" s="1"/>
  <c r="G398" i="5"/>
  <c r="G393" i="5" s="1"/>
  <c r="G392" i="5" s="1"/>
  <c r="G849" i="4"/>
  <c r="G859" i="5"/>
  <c r="G858" i="5" s="1"/>
  <c r="G261" i="5"/>
  <c r="G592" i="5"/>
  <c r="G86" i="4"/>
  <c r="G731" i="4"/>
  <c r="G190" i="4"/>
  <c r="G974" i="4"/>
  <c r="G941" i="4" s="1"/>
  <c r="G214" i="4"/>
  <c r="G425" i="4"/>
  <c r="G245" i="4"/>
  <c r="H1137" i="15"/>
  <c r="G1137" i="15"/>
  <c r="G1029" i="4"/>
  <c r="G438" i="4"/>
  <c r="G1070" i="4"/>
  <c r="G11" i="4"/>
  <c r="G1135" i="4"/>
  <c r="G493" i="4"/>
  <c r="G104" i="4"/>
  <c r="G870" i="4"/>
  <c r="G869" i="4" s="1"/>
  <c r="G511" i="4"/>
  <c r="G1096" i="4"/>
  <c r="G843" i="4"/>
  <c r="G1105" i="4"/>
  <c r="G554" i="4"/>
  <c r="G525" i="4"/>
  <c r="G1123" i="4"/>
  <c r="G1058" i="4"/>
  <c r="G519" i="4"/>
  <c r="G901" i="4"/>
  <c r="G713" i="4"/>
  <c r="G446" i="4"/>
  <c r="G1015" i="4"/>
  <c r="G756" i="4"/>
  <c r="G625" i="4"/>
  <c r="G837" i="5"/>
  <c r="G836" i="5" s="1"/>
  <c r="G880" i="4"/>
  <c r="G165" i="5"/>
  <c r="F9" i="3"/>
  <c r="D11" i="2" s="1"/>
  <c r="G541" i="4"/>
  <c r="G893" i="4"/>
  <c r="G747" i="4"/>
  <c r="G314" i="5"/>
  <c r="G757" i="5"/>
  <c r="G756" i="5" s="1"/>
  <c r="G755" i="5" s="1"/>
  <c r="G456" i="4"/>
  <c r="G843" i="5"/>
  <c r="G212" i="5"/>
  <c r="G229" i="5"/>
  <c r="G254" i="5"/>
  <c r="G241" i="5" s="1"/>
  <c r="G531" i="5"/>
  <c r="G944" i="5"/>
  <c r="G423" i="5"/>
  <c r="G932" i="5"/>
  <c r="G333" i="5"/>
  <c r="G811" i="5"/>
  <c r="G818" i="5"/>
  <c r="G905" i="5"/>
  <c r="G104" i="5"/>
  <c r="G850" i="5"/>
  <c r="G349" i="5"/>
  <c r="G344" i="5" s="1"/>
  <c r="G543" i="5"/>
  <c r="G796" i="5"/>
  <c r="G832" i="5"/>
  <c r="G740" i="5"/>
  <c r="G961" i="5"/>
  <c r="G665" i="5"/>
  <c r="G95" i="5"/>
  <c r="G974" i="5"/>
  <c r="G975" i="5"/>
  <c r="G290" i="5"/>
  <c r="G134" i="4"/>
  <c r="G708" i="5"/>
  <c r="G701" i="5" s="1"/>
  <c r="G700" i="5" s="1"/>
  <c r="G942" i="5"/>
  <c r="G938" i="5"/>
  <c r="G454" i="5"/>
  <c r="G385" i="5"/>
  <c r="G79" i="5"/>
  <c r="G968" i="5"/>
  <c r="G19" i="5"/>
  <c r="G354" i="5"/>
  <c r="G952" i="5"/>
  <c r="G69" i="5"/>
  <c r="G86" i="5"/>
  <c r="G204" i="5"/>
  <c r="G237" i="5"/>
  <c r="G276" i="5"/>
  <c r="G464" i="5"/>
  <c r="G62" i="5"/>
  <c r="G925" i="5"/>
  <c r="G894" i="5"/>
  <c r="G505" i="5"/>
  <c r="G824" i="5"/>
  <c r="G478" i="5"/>
  <c r="G353" i="5"/>
  <c r="G153" i="5"/>
  <c r="G645" i="5"/>
  <c r="G494" i="5"/>
  <c r="F936" i="3"/>
  <c r="F470" i="3"/>
  <c r="F696" i="3"/>
  <c r="F678" i="3"/>
  <c r="F1028" i="3"/>
  <c r="F328" i="3"/>
  <c r="F30" i="3"/>
  <c r="F749" i="3"/>
  <c r="F1007" i="3"/>
  <c r="F279" i="3"/>
  <c r="F1001" i="3"/>
  <c r="F264" i="3"/>
  <c r="F1049" i="3"/>
  <c r="F757" i="3"/>
  <c r="F618" i="3"/>
  <c r="F386" i="3"/>
  <c r="F772" i="3"/>
  <c r="F378" i="3"/>
  <c r="F737" i="3"/>
  <c r="F816" i="3"/>
  <c r="F415" i="3"/>
  <c r="F145" i="3"/>
  <c r="F585" i="14"/>
  <c r="F598" i="3"/>
  <c r="F163" i="3"/>
  <c r="F429" i="3"/>
  <c r="F227" i="3"/>
  <c r="F531" i="3"/>
  <c r="F508" i="14"/>
  <c r="F521" i="3"/>
  <c r="F625" i="3"/>
  <c r="F634" i="3"/>
  <c r="F872" i="3"/>
  <c r="F104" i="3"/>
  <c r="F99" i="14"/>
  <c r="F452" i="3"/>
  <c r="F451" i="3"/>
  <c r="F259" i="3"/>
  <c r="F899" i="3"/>
  <c r="F479" i="3"/>
  <c r="F885" i="3"/>
  <c r="F458" i="3"/>
  <c r="F768" i="3"/>
  <c r="F246" i="3"/>
  <c r="F41" i="3"/>
  <c r="F374" i="3"/>
  <c r="F909" i="3"/>
  <c r="F611" i="3"/>
  <c r="G31" i="5"/>
  <c r="G331" i="5"/>
  <c r="G45" i="5"/>
  <c r="G11" i="5"/>
  <c r="F1037" i="3"/>
  <c r="I981" i="10"/>
  <c r="G906" i="4"/>
  <c r="H652" i="16" l="1"/>
  <c r="H33" i="15"/>
  <c r="H32" i="15" s="1"/>
  <c r="D147" i="12"/>
  <c r="E51" i="13" s="1"/>
  <c r="F73" i="12"/>
  <c r="G195" i="5"/>
  <c r="G216" i="5"/>
  <c r="G791" i="4"/>
  <c r="E73" i="12"/>
  <c r="E75" i="12" s="1"/>
  <c r="D51" i="13"/>
  <c r="H724" i="16"/>
  <c r="H612" i="16"/>
  <c r="H512" i="16" s="1"/>
  <c r="H927" i="16"/>
  <c r="H161" i="16"/>
  <c r="H451" i="16"/>
  <c r="H340" i="16"/>
  <c r="H309" i="16" s="1"/>
  <c r="H651" i="16"/>
  <c r="G973" i="15"/>
  <c r="G967" i="15" s="1"/>
  <c r="H1122" i="15"/>
  <c r="G701" i="15"/>
  <c r="G700" i="15" s="1"/>
  <c r="G699" i="15" s="1"/>
  <c r="G1122" i="15"/>
  <c r="G344" i="15"/>
  <c r="G343" i="15" s="1"/>
  <c r="G342" i="15" s="1"/>
  <c r="G520" i="15"/>
  <c r="G511" i="15" s="1"/>
  <c r="G493" i="15" s="1"/>
  <c r="G492" i="15" s="1"/>
  <c r="G1111" i="15"/>
  <c r="H1105" i="15"/>
  <c r="J1106" i="15" s="1"/>
  <c r="H344" i="15"/>
  <c r="H520" i="15"/>
  <c r="H511" i="15" s="1"/>
  <c r="H493" i="15" s="1"/>
  <c r="H492" i="15" s="1"/>
  <c r="H1111" i="15"/>
  <c r="G1105" i="15"/>
  <c r="I1106" i="15" s="1"/>
  <c r="G57" i="14"/>
  <c r="G40" i="14" s="1"/>
  <c r="G39" i="14" s="1"/>
  <c r="E13" i="13" s="1"/>
  <c r="H447" i="15"/>
  <c r="G447" i="15"/>
  <c r="F520" i="3"/>
  <c r="G510" i="4"/>
  <c r="G371" i="14"/>
  <c r="G370" i="14" s="1"/>
  <c r="D119" i="1"/>
  <c r="D118" i="1"/>
  <c r="G612" i="16"/>
  <c r="G512" i="16" s="1"/>
  <c r="G339" i="4"/>
  <c r="G338" i="4" s="1"/>
  <c r="G150" i="14"/>
  <c r="G207" i="15"/>
  <c r="G206" i="15" s="1"/>
  <c r="G190" i="15" s="1"/>
  <c r="H207" i="15"/>
  <c r="H206" i="15" s="1"/>
  <c r="H190" i="15" s="1"/>
  <c r="G31" i="15"/>
  <c r="H31" i="15"/>
  <c r="G700" i="16"/>
  <c r="G737" i="14"/>
  <c r="G736" i="14" s="1"/>
  <c r="G280" i="15"/>
  <c r="G279" i="15" s="1"/>
  <c r="G278" i="15" s="1"/>
  <c r="H781" i="15"/>
  <c r="H780" i="15" s="1"/>
  <c r="H779" i="15" s="1"/>
  <c r="G457" i="15"/>
  <c r="G1116" i="15"/>
  <c r="G781" i="15"/>
  <c r="G780" i="15" s="1"/>
  <c r="G779" i="15" s="1"/>
  <c r="G140" i="14"/>
  <c r="F140" i="14"/>
  <c r="G971" i="14"/>
  <c r="G970" i="14" s="1"/>
  <c r="H754" i="15"/>
  <c r="H743" i="15" s="1"/>
  <c r="G1029" i="15"/>
  <c r="G1016" i="15" s="1"/>
  <c r="H280" i="15"/>
  <c r="H279" i="15" s="1"/>
  <c r="H278" i="15" s="1"/>
  <c r="G549" i="15"/>
  <c r="G548" i="15" s="1"/>
  <c r="G547" i="15" s="1"/>
  <c r="H549" i="15"/>
  <c r="H548" i="15" s="1"/>
  <c r="H547" i="15" s="1"/>
  <c r="H323" i="15"/>
  <c r="H322" i="15" s="1"/>
  <c r="H321" i="15" s="1"/>
  <c r="H457" i="15"/>
  <c r="H1116" i="15"/>
  <c r="H1060" i="15"/>
  <c r="H1059" i="15" s="1"/>
  <c r="H160" i="15"/>
  <c r="H973" i="15"/>
  <c r="H967" i="15" s="1"/>
  <c r="H415" i="15"/>
  <c r="H1029" i="15"/>
  <c r="H1016" i="15" s="1"/>
  <c r="G619" i="15"/>
  <c r="G618" i="15" s="1"/>
  <c r="H933" i="15"/>
  <c r="H903" i="15" s="1"/>
  <c r="H74" i="16"/>
  <c r="H73" i="16"/>
  <c r="H27" i="16" s="1"/>
  <c r="F40" i="14"/>
  <c r="F39" i="14" s="1"/>
  <c r="D13" i="13" s="1"/>
  <c r="G415" i="15"/>
  <c r="G818" i="15"/>
  <c r="G754" i="15"/>
  <c r="G743" i="15" s="1"/>
  <c r="G1060" i="15"/>
  <c r="G160" i="15"/>
  <c r="G309" i="16"/>
  <c r="G160" i="16" s="1"/>
  <c r="G323" i="15"/>
  <c r="G322" i="15" s="1"/>
  <c r="G321" i="15" s="1"/>
  <c r="H619" i="15"/>
  <c r="H618" i="15" s="1"/>
  <c r="G933" i="15"/>
  <c r="G903" i="15" s="1"/>
  <c r="G764" i="14"/>
  <c r="G763" i="14" s="1"/>
  <c r="E38" i="13" s="1"/>
  <c r="F764" i="14"/>
  <c r="F763" i="14" s="1"/>
  <c r="D38" i="13" s="1"/>
  <c r="G747" i="14"/>
  <c r="F747" i="14"/>
  <c r="G861" i="14"/>
  <c r="G860" i="14" s="1"/>
  <c r="G859" i="14" s="1"/>
  <c r="F861" i="14"/>
  <c r="F860" i="14" s="1"/>
  <c r="F859" i="14" s="1"/>
  <c r="G875" i="14"/>
  <c r="G874" i="14" s="1"/>
  <c r="F875" i="14"/>
  <c r="F874" i="14" s="1"/>
  <c r="F611" i="14"/>
  <c r="G225" i="14"/>
  <c r="G224" i="14" s="1"/>
  <c r="G223" i="14" s="1"/>
  <c r="F225" i="14"/>
  <c r="F224" i="14" s="1"/>
  <c r="F223" i="14" s="1"/>
  <c r="G366" i="14"/>
  <c r="F366" i="14"/>
  <c r="G553" i="14"/>
  <c r="F553" i="14"/>
  <c r="F604" i="14"/>
  <c r="G728" i="14"/>
  <c r="G727" i="14" s="1"/>
  <c r="G726" i="14" s="1"/>
  <c r="F728" i="14"/>
  <c r="F727" i="14" s="1"/>
  <c r="F726" i="14" s="1"/>
  <c r="G319" i="14"/>
  <c r="G318" i="14" s="1"/>
  <c r="G317" i="14" s="1"/>
  <c r="E27" i="13" s="1"/>
  <c r="F319" i="14"/>
  <c r="F318" i="14" s="1"/>
  <c r="F317" i="14" s="1"/>
  <c r="D27" i="13" s="1"/>
  <c r="G458" i="14"/>
  <c r="F458" i="14"/>
  <c r="G957" i="14"/>
  <c r="G956" i="14" s="1"/>
  <c r="F957" i="14"/>
  <c r="F956" i="14" s="1"/>
  <c r="G984" i="14"/>
  <c r="G983" i="14" s="1"/>
  <c r="G982" i="14" s="1"/>
  <c r="F984" i="14"/>
  <c r="F983" i="14" s="1"/>
  <c r="F982" i="14" s="1"/>
  <c r="G910" i="14"/>
  <c r="G909" i="14" s="1"/>
  <c r="G908" i="14" s="1"/>
  <c r="E43" i="13" s="1"/>
  <c r="F910" i="14"/>
  <c r="F909" i="14" s="1"/>
  <c r="F908" i="14" s="1"/>
  <c r="D43" i="13" s="1"/>
  <c r="G200" i="14"/>
  <c r="G201" i="14"/>
  <c r="G517" i="14"/>
  <c r="F517" i="14"/>
  <c r="G1005" i="14"/>
  <c r="G1004" i="14" s="1"/>
  <c r="G991" i="14" s="1"/>
  <c r="F1005" i="14"/>
  <c r="F1004" i="14" s="1"/>
  <c r="F991" i="14" s="1"/>
  <c r="G675" i="14"/>
  <c r="F675" i="14"/>
  <c r="G257" i="14"/>
  <c r="G256" i="14" s="1"/>
  <c r="G255" i="14" s="1"/>
  <c r="F257" i="14"/>
  <c r="F256" i="14" s="1"/>
  <c r="F255" i="14" s="1"/>
  <c r="D23" i="13" s="1"/>
  <c r="F439" i="14"/>
  <c r="F440" i="14"/>
  <c r="F584" i="14"/>
  <c r="G634" i="14"/>
  <c r="F634" i="14"/>
  <c r="G716" i="14"/>
  <c r="G708" i="14" s="1"/>
  <c r="G707" i="14" s="1"/>
  <c r="F716" i="14"/>
  <c r="F708" i="14" s="1"/>
  <c r="F707" i="14" s="1"/>
  <c r="G374" i="14"/>
  <c r="F374" i="14"/>
  <c r="F597" i="14"/>
  <c r="F403" i="14"/>
  <c r="F402" i="14" s="1"/>
  <c r="G885" i="14"/>
  <c r="F885" i="14"/>
  <c r="G508" i="14"/>
  <c r="G507" i="14" s="1"/>
  <c r="F507" i="14"/>
  <c r="G161" i="14"/>
  <c r="G160" i="14" s="1"/>
  <c r="G159" i="14" s="1"/>
  <c r="F161" i="14"/>
  <c r="F160" i="14" s="1"/>
  <c r="F159" i="14" s="1"/>
  <c r="G657" i="14"/>
  <c r="G652" i="14" s="1"/>
  <c r="F657" i="14"/>
  <c r="F652" i="14" s="1"/>
  <c r="G403" i="14"/>
  <c r="G402" i="14" s="1"/>
  <c r="H701" i="15"/>
  <c r="H700" i="15" s="1"/>
  <c r="H699" i="15" s="1"/>
  <c r="H702" i="15"/>
  <c r="G275" i="14"/>
  <c r="G274" i="14" s="1"/>
  <c r="G273" i="14" s="1"/>
  <c r="E25" i="13" s="1"/>
  <c r="F275" i="14"/>
  <c r="F274" i="14" s="1"/>
  <c r="F273" i="14" s="1"/>
  <c r="D25" i="13" s="1"/>
  <c r="G244" i="14"/>
  <c r="G243" i="14" s="1"/>
  <c r="G242" i="14" s="1"/>
  <c r="F244" i="14"/>
  <c r="F243" i="14" s="1"/>
  <c r="F242" i="14" s="1"/>
  <c r="G98" i="14"/>
  <c r="G97" i="14" s="1"/>
  <c r="E14" i="13" s="1"/>
  <c r="F98" i="14"/>
  <c r="F97" i="14" s="1"/>
  <c r="D14" i="13" s="1"/>
  <c r="G30" i="14"/>
  <c r="G29" i="14" s="1"/>
  <c r="G28" i="14" s="1"/>
  <c r="E12" i="13" s="1"/>
  <c r="F30" i="14"/>
  <c r="F29" i="14" s="1"/>
  <c r="F28" i="14" s="1"/>
  <c r="G465" i="14"/>
  <c r="F465" i="14"/>
  <c r="G1057" i="4"/>
  <c r="G446" i="14"/>
  <c r="G445" i="14" s="1"/>
  <c r="F446" i="14"/>
  <c r="F445" i="14" s="1"/>
  <c r="H818" i="15"/>
  <c r="G963" i="14"/>
  <c r="G962" i="14" s="1"/>
  <c r="F963" i="14"/>
  <c r="F962" i="14" s="1"/>
  <c r="G751" i="14"/>
  <c r="F751" i="14"/>
  <c r="G848" i="14"/>
  <c r="G847" i="14" s="1"/>
  <c r="F848" i="14"/>
  <c r="F847" i="14" s="1"/>
  <c r="G591" i="5"/>
  <c r="G590" i="5" s="1"/>
  <c r="G159" i="4"/>
  <c r="G83" i="5"/>
  <c r="G260" i="5"/>
  <c r="G259" i="5" s="1"/>
  <c r="G735" i="5"/>
  <c r="G734" i="5" s="1"/>
  <c r="G313" i="5"/>
  <c r="G312" i="5" s="1"/>
  <c r="G164" i="5"/>
  <c r="G712" i="4"/>
  <c r="G524" i="4"/>
  <c r="G1095" i="4"/>
  <c r="G10" i="4"/>
  <c r="G9" i="4" s="1"/>
  <c r="G437" i="4"/>
  <c r="G755" i="4"/>
  <c r="G879" i="4"/>
  <c r="G1014" i="4"/>
  <c r="G213" i="4"/>
  <c r="G212" i="4" s="1"/>
  <c r="G189" i="4"/>
  <c r="G624" i="4"/>
  <c r="G140" i="4"/>
  <c r="H1131" i="15"/>
  <c r="G1131" i="15"/>
  <c r="G1104" i="4"/>
  <c r="G103" i="4"/>
  <c r="G25" i="4" s="1"/>
  <c r="G275" i="4"/>
  <c r="H1152" i="15"/>
  <c r="G1152" i="15"/>
  <c r="G900" i="4"/>
  <c r="G899" i="4" s="1"/>
  <c r="H1140" i="15"/>
  <c r="G1140" i="15"/>
  <c r="G848" i="4"/>
  <c r="G1134" i="4"/>
  <c r="G553" i="4"/>
  <c r="G244" i="4"/>
  <c r="G332" i="5"/>
  <c r="G892" i="4"/>
  <c r="G746" i="4"/>
  <c r="G445" i="4"/>
  <c r="G85" i="5"/>
  <c r="G84" i="5" s="1"/>
  <c r="G152" i="5"/>
  <c r="G275" i="5"/>
  <c r="G44" i="5"/>
  <c r="G893" i="5"/>
  <c r="G133" i="4"/>
  <c r="G981" i="5"/>
  <c r="G810" i="5"/>
  <c r="G931" i="5"/>
  <c r="G943" i="5"/>
  <c r="G530" i="5"/>
  <c r="G504" i="5"/>
  <c r="G644" i="5"/>
  <c r="G823" i="5"/>
  <c r="G61" i="5"/>
  <c r="G951" i="5"/>
  <c r="G78" i="5"/>
  <c r="G452" i="5"/>
  <c r="G453" i="5"/>
  <c r="G289" i="5"/>
  <c r="G791" i="5"/>
  <c r="G391" i="5"/>
  <c r="G343" i="5"/>
  <c r="G493" i="5"/>
  <c r="G477" i="5"/>
  <c r="G67" i="5"/>
  <c r="G68" i="5"/>
  <c r="G18" i="5"/>
  <c r="G966" i="5"/>
  <c r="G967" i="5"/>
  <c r="G384" i="5"/>
  <c r="G960" i="5"/>
  <c r="G831" i="5"/>
  <c r="G542" i="5"/>
  <c r="G342" i="5"/>
  <c r="G103" i="5"/>
  <c r="G857" i="5"/>
  <c r="G463" i="5"/>
  <c r="G937" i="5"/>
  <c r="G93" i="5"/>
  <c r="G94" i="5"/>
  <c r="G817" i="5"/>
  <c r="G422" i="5"/>
  <c r="G754" i="5"/>
  <c r="F683" i="3"/>
  <c r="F29" i="3"/>
  <c r="F373" i="3"/>
  <c r="F340" i="3" s="1"/>
  <c r="F428" i="3"/>
  <c r="F567" i="3"/>
  <c r="F263" i="3"/>
  <c r="F1006" i="3"/>
  <c r="F1027" i="3"/>
  <c r="F935" i="3"/>
  <c r="F1036" i="3"/>
  <c r="F457" i="3"/>
  <c r="F258" i="3"/>
  <c r="F226" i="3"/>
  <c r="F748" i="3"/>
  <c r="F327" i="3"/>
  <c r="F469" i="3"/>
  <c r="F245" i="3"/>
  <c r="F884" i="3"/>
  <c r="F898" i="3"/>
  <c r="F871" i="3"/>
  <c r="F655" i="3"/>
  <c r="F1000" i="3"/>
  <c r="F908" i="3"/>
  <c r="F785" i="3"/>
  <c r="F103" i="3"/>
  <c r="F633" i="3"/>
  <c r="F632" i="3" s="1"/>
  <c r="F162" i="3"/>
  <c r="F133" i="3"/>
  <c r="F414" i="3"/>
  <c r="F729" i="3"/>
  <c r="F767" i="3"/>
  <c r="F1048" i="3"/>
  <c r="F278" i="3"/>
  <c r="F277" i="3" s="1"/>
  <c r="F673" i="3"/>
  <c r="F40" i="3"/>
  <c r="D74" i="1"/>
  <c r="H1148" i="15"/>
  <c r="G1148" i="15"/>
  <c r="G572" i="5"/>
  <c r="D17" i="18" l="1"/>
  <c r="C17" i="18"/>
  <c r="H160" i="16"/>
  <c r="H959" i="16" s="1"/>
  <c r="H446" i="15"/>
  <c r="H445" i="15" s="1"/>
  <c r="H444" i="15" s="1"/>
  <c r="G662" i="14"/>
  <c r="G661" i="14" s="1"/>
  <c r="G417" i="14"/>
  <c r="G416" i="14" s="1"/>
  <c r="G401" i="14" s="1"/>
  <c r="F506" i="14"/>
  <c r="F481" i="14" s="1"/>
  <c r="F480" i="14" s="1"/>
  <c r="D32" i="13" s="1"/>
  <c r="G446" i="15"/>
  <c r="G445" i="15" s="1"/>
  <c r="G444" i="15" s="1"/>
  <c r="G1059" i="15"/>
  <c r="G1109" i="15"/>
  <c r="G506" i="14"/>
  <c r="G481" i="14" s="1"/>
  <c r="G480" i="14" s="1"/>
  <c r="E32" i="13" s="1"/>
  <c r="G311" i="5"/>
  <c r="G959" i="16"/>
  <c r="G30" i="15"/>
  <c r="H30" i="15"/>
  <c r="E23" i="13"/>
  <c r="G241" i="14"/>
  <c r="G277" i="15"/>
  <c r="H277" i="15"/>
  <c r="G546" i="15"/>
  <c r="G535" i="15" s="1"/>
  <c r="G341" i="15"/>
  <c r="H1109" i="15"/>
  <c r="F884" i="14"/>
  <c r="F873" i="14" s="1"/>
  <c r="F872" i="14" s="1"/>
  <c r="F706" i="14"/>
  <c r="D35" i="13" s="1"/>
  <c r="G222" i="14"/>
  <c r="E20" i="13"/>
  <c r="E19" i="13" s="1"/>
  <c r="G746" i="14"/>
  <c r="G735" i="14" s="1"/>
  <c r="E36" i="13" s="1"/>
  <c r="G706" i="14"/>
  <c r="E35" i="13" s="1"/>
  <c r="F836" i="14"/>
  <c r="D39" i="13" s="1"/>
  <c r="D37" i="13" s="1"/>
  <c r="F961" i="14"/>
  <c r="D46" i="13" s="1"/>
  <c r="H888" i="15"/>
  <c r="H847" i="15" s="1"/>
  <c r="H546" i="15"/>
  <c r="H535" i="15" s="1"/>
  <c r="G778" i="15"/>
  <c r="G770" i="15" s="1"/>
  <c r="D20" i="13"/>
  <c r="D19" i="13" s="1"/>
  <c r="F222" i="14"/>
  <c r="F746" i="14"/>
  <c r="F735" i="14" s="1"/>
  <c r="D36" i="13" s="1"/>
  <c r="H778" i="15"/>
  <c r="H770" i="15" s="1"/>
  <c r="F662" i="14"/>
  <c r="F661" i="14" s="1"/>
  <c r="H343" i="15"/>
  <c r="H342" i="15" s="1"/>
  <c r="H341" i="15" s="1"/>
  <c r="G836" i="14"/>
  <c r="E39" i="13" s="1"/>
  <c r="E37" i="13" s="1"/>
  <c r="G961" i="14"/>
  <c r="E46" i="13" s="1"/>
  <c r="G884" i="14"/>
  <c r="G873" i="14" s="1"/>
  <c r="G872" i="14" s="1"/>
  <c r="E42" i="13" s="1"/>
  <c r="E40" i="13" s="1"/>
  <c r="F633" i="14"/>
  <c r="G633" i="14"/>
  <c r="G457" i="14"/>
  <c r="G444" i="14" s="1"/>
  <c r="E30" i="13" s="1"/>
  <c r="G888" i="15"/>
  <c r="F457" i="14"/>
  <c r="F444" i="14" s="1"/>
  <c r="D30" i="13" s="1"/>
  <c r="F990" i="14"/>
  <c r="D48" i="13"/>
  <c r="D47" i="13" s="1"/>
  <c r="G990" i="14"/>
  <c r="E48" i="13"/>
  <c r="E47" i="13" s="1"/>
  <c r="G439" i="14"/>
  <c r="G440" i="14"/>
  <c r="F361" i="14"/>
  <c r="F401" i="14"/>
  <c r="F395" i="14" s="1"/>
  <c r="D29" i="13" s="1"/>
  <c r="G361" i="14"/>
  <c r="G128" i="14"/>
  <c r="G127" i="14" s="1"/>
  <c r="G8" i="14" s="1"/>
  <c r="K8" i="14" s="1"/>
  <c r="F128" i="14"/>
  <c r="F127" i="14" s="1"/>
  <c r="D22" i="13"/>
  <c r="D21" i="13" s="1"/>
  <c r="F241" i="14"/>
  <c r="E22" i="13"/>
  <c r="D12" i="13"/>
  <c r="F456" i="3"/>
  <c r="G733" i="5"/>
  <c r="G317" i="4"/>
  <c r="G274" i="4"/>
  <c r="H1149" i="15"/>
  <c r="G1149" i="15"/>
  <c r="G623" i="4"/>
  <c r="G1008" i="4"/>
  <c r="G926" i="4" s="1"/>
  <c r="G878" i="4"/>
  <c r="G552" i="4"/>
  <c r="G414" i="4"/>
  <c r="G711" i="4"/>
  <c r="H1153" i="15"/>
  <c r="G1153" i="15"/>
  <c r="G492" i="4"/>
  <c r="G491" i="4" s="1"/>
  <c r="G1103" i="4"/>
  <c r="G1094" i="4"/>
  <c r="G194" i="5"/>
  <c r="G732" i="5"/>
  <c r="G731" i="5" s="1"/>
  <c r="F495" i="3"/>
  <c r="G745" i="4"/>
  <c r="G444" i="4"/>
  <c r="G816" i="5"/>
  <c r="G17" i="5"/>
  <c r="G950" i="5"/>
  <c r="G503" i="5"/>
  <c r="G462" i="5"/>
  <c r="G589" i="5"/>
  <c r="G541" i="5"/>
  <c r="G540" i="5" s="1"/>
  <c r="G958" i="5"/>
  <c r="G959" i="5"/>
  <c r="G973" i="5"/>
  <c r="G790" i="5"/>
  <c r="G809" i="5"/>
  <c r="G43" i="5"/>
  <c r="G151" i="5"/>
  <c r="G414" i="5"/>
  <c r="G100" i="5"/>
  <c r="G74" i="5"/>
  <c r="G60" i="5"/>
  <c r="G904" i="5"/>
  <c r="G102" i="5"/>
  <c r="G101" i="5"/>
  <c r="G822" i="5"/>
  <c r="G830" i="5"/>
  <c r="G383" i="5"/>
  <c r="G382" i="5"/>
  <c r="G492" i="5"/>
  <c r="G390" i="5"/>
  <c r="G77" i="5"/>
  <c r="G643" i="5"/>
  <c r="G529" i="5"/>
  <c r="G274" i="5"/>
  <c r="F897" i="3"/>
  <c r="F896" i="3" s="1"/>
  <c r="F225" i="3"/>
  <c r="D24" i="2"/>
  <c r="F161" i="3"/>
  <c r="F654" i="3"/>
  <c r="F244" i="3"/>
  <c r="F326" i="3"/>
  <c r="F257" i="3"/>
  <c r="F1035" i="3"/>
  <c r="F1026" i="3"/>
  <c r="F1005" i="3" s="1"/>
  <c r="F756" i="3"/>
  <c r="F784" i="3"/>
  <c r="F102" i="3"/>
  <c r="F413" i="3"/>
  <c r="F682" i="3"/>
  <c r="F39" i="3"/>
  <c r="F728" i="3"/>
  <c r="F597" i="3"/>
  <c r="F987" i="3"/>
  <c r="F883" i="3"/>
  <c r="F747" i="3"/>
  <c r="F934" i="3"/>
  <c r="F28" i="3"/>
  <c r="C152" i="1"/>
  <c r="I991" i="10"/>
  <c r="G847" i="15" l="1"/>
  <c r="G461" i="5"/>
  <c r="D53" i="2"/>
  <c r="F889" i="3"/>
  <c r="G337" i="4"/>
  <c r="G551" i="4"/>
  <c r="G540" i="4" s="1"/>
  <c r="G632" i="14"/>
  <c r="E34" i="13" s="1"/>
  <c r="G214" i="15"/>
  <c r="G1102" i="15" s="1"/>
  <c r="F1013" i="14" s="1"/>
  <c r="H214" i="15"/>
  <c r="H1102" i="15" s="1"/>
  <c r="D16" i="13"/>
  <c r="D10" i="13" s="1"/>
  <c r="F8" i="14"/>
  <c r="J8" i="14" s="1"/>
  <c r="E21" i="13"/>
  <c r="F331" i="14"/>
  <c r="D28" i="13" s="1"/>
  <c r="D26" i="13" s="1"/>
  <c r="G331" i="14"/>
  <c r="E28" i="13" s="1"/>
  <c r="F762" i="14"/>
  <c r="G762" i="14"/>
  <c r="F632" i="14"/>
  <c r="D34" i="13" s="1"/>
  <c r="G865" i="14"/>
  <c r="G395" i="14"/>
  <c r="E29" i="13" s="1"/>
  <c r="E16" i="13"/>
  <c r="E10" i="13" s="1"/>
  <c r="G552" i="14"/>
  <c r="G551" i="14" s="1"/>
  <c r="F618" i="14"/>
  <c r="F583" i="14" s="1"/>
  <c r="F552" i="14" s="1"/>
  <c r="F551" i="14" s="1"/>
  <c r="F865" i="14"/>
  <c r="J865" i="14" s="1"/>
  <c r="D42" i="13"/>
  <c r="D40" i="13" s="1"/>
  <c r="F494" i="3"/>
  <c r="D32" i="2" s="1"/>
  <c r="G193" i="5"/>
  <c r="G992" i="5"/>
  <c r="G273" i="4"/>
  <c r="G1147" i="15"/>
  <c r="H1147" i="15"/>
  <c r="G24" i="4"/>
  <c r="G1102" i="4"/>
  <c r="G211" i="4"/>
  <c r="H1145" i="15"/>
  <c r="G1145" i="15"/>
  <c r="H1139" i="15"/>
  <c r="G1139" i="15"/>
  <c r="H1113" i="15"/>
  <c r="G1113" i="15"/>
  <c r="G443" i="4"/>
  <c r="H1138" i="15"/>
  <c r="G1138" i="15"/>
  <c r="G957" i="5"/>
  <c r="G42" i="5"/>
  <c r="F860" i="3"/>
  <c r="D39" i="2" s="1"/>
  <c r="H1112" i="15"/>
  <c r="G1112" i="15"/>
  <c r="G829" i="5"/>
  <c r="G892" i="5"/>
  <c r="G150" i="5"/>
  <c r="G808" i="5"/>
  <c r="G815" i="5"/>
  <c r="G76" i="5"/>
  <c r="G75" i="5"/>
  <c r="G59" i="5"/>
  <c r="G789" i="5"/>
  <c r="G965" i="5"/>
  <c r="G528" i="5"/>
  <c r="G108" i="5"/>
  <c r="I589" i="5"/>
  <c r="G9" i="5"/>
  <c r="D44" i="2"/>
  <c r="D25" i="2"/>
  <c r="D28" i="2"/>
  <c r="D23" i="2"/>
  <c r="F243" i="3"/>
  <c r="D22" i="2"/>
  <c r="F224" i="3"/>
  <c r="D20" i="2"/>
  <c r="D30" i="2"/>
  <c r="F407" i="3"/>
  <c r="F325" i="3" s="1"/>
  <c r="D38" i="2"/>
  <c r="F132" i="3"/>
  <c r="F8" i="3" s="1"/>
  <c r="D12" i="2"/>
  <c r="F986" i="3"/>
  <c r="F982" i="3" s="1"/>
  <c r="F727" i="3"/>
  <c r="D13" i="2"/>
  <c r="D14" i="2"/>
  <c r="D36" i="2"/>
  <c r="F1034" i="3"/>
  <c r="D49" i="2"/>
  <c r="D27" i="2"/>
  <c r="F653" i="3"/>
  <c r="C21" i="7"/>
  <c r="G210" i="4" l="1"/>
  <c r="E26" i="13"/>
  <c r="F316" i="14"/>
  <c r="C18" i="18"/>
  <c r="D18" i="18"/>
  <c r="G1013" i="14"/>
  <c r="G316" i="14"/>
  <c r="D33" i="13"/>
  <c r="D31" i="13" s="1"/>
  <c r="F479" i="14"/>
  <c r="J479" i="14" s="1"/>
  <c r="E33" i="13"/>
  <c r="E31" i="13" s="1"/>
  <c r="G479" i="14"/>
  <c r="K479" i="14" s="1"/>
  <c r="G163" i="5"/>
  <c r="G790" i="4"/>
  <c r="G877" i="4"/>
  <c r="H1114" i="15"/>
  <c r="H1115" i="15" s="1"/>
  <c r="G1114" i="15"/>
  <c r="G1115" i="15" s="1"/>
  <c r="H1110" i="15"/>
  <c r="G1110" i="15"/>
  <c r="H1144" i="15"/>
  <c r="H1157" i="15" s="1"/>
  <c r="G1144" i="15"/>
  <c r="G788" i="5"/>
  <c r="F783" i="3"/>
  <c r="G807" i="5"/>
  <c r="I892" i="5"/>
  <c r="G30" i="5"/>
  <c r="G539" i="5"/>
  <c r="G460" i="5"/>
  <c r="G66" i="5"/>
  <c r="F954" i="3"/>
  <c r="D35" i="2"/>
  <c r="D16" i="2"/>
  <c r="D10" i="2" s="1"/>
  <c r="D34" i="2"/>
  <c r="D47" i="2"/>
  <c r="F566" i="3"/>
  <c r="D42" i="2"/>
  <c r="D40" i="2" s="1"/>
  <c r="D48" i="2"/>
  <c r="D37" i="2"/>
  <c r="D29" i="2"/>
  <c r="D19" i="2"/>
  <c r="D21" i="2"/>
  <c r="G782" i="4" l="1"/>
  <c r="G1145" i="4" s="1"/>
  <c r="H961" i="16"/>
  <c r="H963" i="16" s="1"/>
  <c r="G1157" i="15"/>
  <c r="G961" i="16" s="1"/>
  <c r="G963" i="16" s="1"/>
  <c r="G952" i="14"/>
  <c r="G924" i="14" s="1"/>
  <c r="G923" i="14" s="1"/>
  <c r="G922" i="14" s="1"/>
  <c r="F952" i="14"/>
  <c r="F924" i="14" s="1"/>
  <c r="F923" i="14" s="1"/>
  <c r="F922" i="14" s="1"/>
  <c r="H1129" i="15"/>
  <c r="H1130" i="15" s="1"/>
  <c r="H1123" i="15"/>
  <c r="H1124" i="15" s="1"/>
  <c r="G1123" i="15"/>
  <c r="G1124" i="15" s="1"/>
  <c r="H1117" i="15"/>
  <c r="H1118" i="15" s="1"/>
  <c r="G1117" i="15"/>
  <c r="G1118" i="15" s="1"/>
  <c r="H1120" i="15"/>
  <c r="H1121" i="15" s="1"/>
  <c r="G1120" i="15"/>
  <c r="G1121" i="15" s="1"/>
  <c r="H1126" i="15"/>
  <c r="G1126" i="15"/>
  <c r="I539" i="5"/>
  <c r="G29" i="5"/>
  <c r="D26" i="2"/>
  <c r="F565" i="3"/>
  <c r="F980" i="3"/>
  <c r="D45" i="13" l="1"/>
  <c r="D44" i="13" s="1"/>
  <c r="D49" i="13" s="1"/>
  <c r="D53" i="13" s="1"/>
  <c r="F921" i="14"/>
  <c r="F1009" i="14" s="1"/>
  <c r="F1015" i="14" s="1"/>
  <c r="E45" i="13"/>
  <c r="E44" i="13" s="1"/>
  <c r="E49" i="13" s="1"/>
  <c r="E53" i="13" s="1"/>
  <c r="G921" i="14"/>
  <c r="G1009" i="14" s="1"/>
  <c r="G1015" i="14" s="1"/>
  <c r="G1129" i="15"/>
  <c r="G1130" i="15" s="1"/>
  <c r="D51" i="2"/>
  <c r="G1127" i="15"/>
  <c r="H1127" i="15"/>
  <c r="H1134" i="15" s="1"/>
  <c r="H1133" i="15"/>
  <c r="I29" i="5"/>
  <c r="D33" i="2"/>
  <c r="F493" i="3"/>
  <c r="F953" i="3"/>
  <c r="F948" i="3" s="1"/>
  <c r="F947" i="3" s="1"/>
  <c r="G1133" i="15" l="1"/>
  <c r="G1134" i="15"/>
  <c r="F1054" i="3"/>
  <c r="H1135" i="15"/>
  <c r="D31" i="2"/>
  <c r="G1135" i="15" l="1"/>
  <c r="G1104" i="15"/>
  <c r="F1010" i="14"/>
  <c r="D46" i="2"/>
  <c r="H1104" i="15" l="1"/>
  <c r="G1010" i="14"/>
  <c r="D45" i="2"/>
  <c r="D50" i="2" s="1"/>
  <c r="F1053" i="3"/>
  <c r="D54" i="2" l="1"/>
  <c r="C22" i="7"/>
  <c r="F1055" i="3"/>
  <c r="F1011" i="14" s="1"/>
  <c r="G1011" i="14" s="1"/>
  <c r="D19" i="18" l="1"/>
  <c r="D11" i="18" s="1"/>
  <c r="C19" i="18"/>
  <c r="C11" i="18" s="1"/>
  <c r="C23" i="7"/>
  <c r="D52" i="2"/>
  <c r="C13" i="18" l="1"/>
  <c r="C12" i="18" s="1"/>
  <c r="C10" i="18"/>
  <c r="C12" i="7"/>
  <c r="C14" i="7" s="1"/>
  <c r="C14" i="18" l="1"/>
  <c r="C9" i="18"/>
  <c r="C11" i="7"/>
  <c r="D10" i="18" l="1"/>
  <c r="C13" i="7"/>
  <c r="C10" i="7" s="1"/>
  <c r="D9" i="18" s="1"/>
  <c r="D13" i="18"/>
  <c r="G258" i="5"/>
  <c r="G162" i="5" s="1"/>
  <c r="I162" i="5" s="1"/>
  <c r="C15" i="7" l="1"/>
  <c r="D12" i="18"/>
  <c r="D14" i="18"/>
  <c r="G990" i="5"/>
  <c r="G993" i="5" s="1"/>
</calcChain>
</file>

<file path=xl/comments1.xml><?xml version="1.0" encoding="utf-8"?>
<comments xmlns="http://schemas.openxmlformats.org/spreadsheetml/2006/main">
  <authors>
    <author>Автор</author>
  </authors>
  <commentList>
    <comment ref="B86" authorId="0">
      <text>
        <r>
          <rPr>
            <b/>
            <sz val="9"/>
            <color indexed="81"/>
            <rFont val="Tahoma"/>
            <family val="2"/>
            <charset val="204"/>
          </rPr>
          <t>измен Приказ 206н от 29.11.19 в 85н</t>
        </r>
        <r>
          <rPr>
            <sz val="9"/>
            <color indexed="81"/>
            <rFont val="Tahoma"/>
            <family val="2"/>
            <charset val="204"/>
          </rPr>
          <t xml:space="preserve">
стр. 454</t>
        </r>
      </text>
    </comment>
  </commentList>
</comments>
</file>

<file path=xl/sharedStrings.xml><?xml version="1.0" encoding="utf-8"?>
<sst xmlns="http://schemas.openxmlformats.org/spreadsheetml/2006/main" count="34714" uniqueCount="1558">
  <si>
    <t>к решению СПОГО</t>
  </si>
  <si>
    <t>(тыс.руб.)</t>
  </si>
  <si>
    <t xml:space="preserve">Код </t>
  </si>
  <si>
    <t>Наименование налога</t>
  </si>
  <si>
    <t>План на 2017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</si>
  <si>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</si>
  <si>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</si>
  <si>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</si>
  <si>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</si>
  <si>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</si>
  <si>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</si>
  <si>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</si>
  <si>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</si>
  <si>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</si>
  <si>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</si>
  <si>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</si>
  <si>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</si>
  <si>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</si>
  <si>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</si>
  <si>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</si>
  <si>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</si>
  <si>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</si>
  <si>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</si>
  <si>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</si>
  <si>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</si>
  <si>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</si>
  <si>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</si>
  <si>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</si>
  <si>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</si>
  <si>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</si>
  <si>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</si>
  <si>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</si>
  <si>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</si>
  <si>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</si>
  <si>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</si>
  <si>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</si>
  <si>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</si>
  <si>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</si>
  <si>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Единый налог на вмененный доход для отдельных видов деятельности</t>
  </si>
  <si>
    <t>1 05 02010 02 0000 110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</si>
  <si>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</si>
  <si>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</si>
  <si>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</si>
  <si>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</si>
  <si>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</si>
  <si>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</si>
  <si>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</si>
  <si>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</si>
  <si>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</si>
  <si>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</si>
  <si>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</si>
  <si>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</si>
  <si>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</si>
  <si>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</si>
  <si>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</si>
  <si>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</si>
  <si>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</si>
  <si>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</si>
  <si>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</si>
  <si>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</si>
  <si>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</si>
  <si>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</si>
  <si>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</si>
  <si>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</si>
  <si>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</si>
  <si>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</si>
  <si>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</si>
  <si>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</si>
  <si>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</si>
  <si>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</si>
  <si>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</si>
  <si>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</si>
  <si>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</si>
  <si>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</si>
  <si>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</si>
  <si>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</si>
  <si>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</si>
  <si>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</si>
  <si>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</si>
  <si>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</si>
  <si>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1 13 00000 00 0000 000</t>
  </si>
  <si>
    <t>ДОХОДЫ ОТ ОКАЗАНИЯ ПЛАТНЫХ УСЛУГ (РАБОТ) И КОМПЕНСАЦИИ ЗАТРАТ ГОСУДАРСТВА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</si>
  <si>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</si>
  <si>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</si>
  <si>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</si>
  <si>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</si>
  <si>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</si>
  <si>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</si>
  <si>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</si>
  <si>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</si>
  <si>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>1 14 02043 04 0000 410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</si>
  <si>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</si>
  <si>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</si>
  <si>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</si>
  <si>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</si>
  <si>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</si>
  <si>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</si>
  <si>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</si>
  <si>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</si>
  <si>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</si>
  <si>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</si>
  <si>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</si>
  <si>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РФ и муниципальных образований</t>
  </si>
  <si>
    <t xml:space="preserve">Дотация на выравнивание бюджетной обеспеченности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</si>
  <si>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 xml:space="preserve">Дотация  на выравнивание бюджетной обеспеченности поселений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</si>
  <si>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</si>
  <si>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</t>
  </si>
  <si>
    <t>в том числе</t>
  </si>
  <si>
    <t xml:space="preserve"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</si>
  <si>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</si>
  <si>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</si>
  <si>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 бюджетам  городских округов на выполнение передаваемых полномочий субъектов Российской Федерации</t>
  </si>
  <si>
    <t xml:space="preserve">Субвенции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</si>
  <si>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</si>
  <si>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</si>
  <si>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попечительства:</t>
  </si>
  <si>
    <t xml:space="preserve"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</si>
  <si>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на осуществление  государственных полномочий  по созданию и организации деятельности административных комиссий 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</si>
  <si>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</si>
  <si>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</si>
  <si>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</si>
  <si>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</t>
  </si>
  <si>
    <t>ВСЕГО ДОХОДОВ:</t>
  </si>
  <si>
    <t>Приложение № 5</t>
  </si>
  <si>
    <t xml:space="preserve">Ведомственная  структура расходов бюджета Омсукчанского городского округа на 2017 год </t>
  </si>
  <si>
    <t xml:space="preserve">Наименование бюджетной классификации </t>
  </si>
  <si>
    <t>Код главы ГРБС</t>
  </si>
  <si>
    <t>Рз</t>
  </si>
  <si>
    <t>Пр</t>
  </si>
  <si>
    <t>ЦС</t>
  </si>
  <si>
    <t>ВР</t>
  </si>
  <si>
    <t>Комитет финансов администрации  Омсукчанского городского округа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</si>
  <si>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</si>
  <si>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</si>
  <si>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</si>
  <si>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</si>
  <si>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мероприятия</t>
  </si>
  <si>
    <t>68 0 00 00000</t>
  </si>
  <si>
    <t>Расходы на обеспечение деятельности органов местного самоуправления</t>
  </si>
  <si>
    <t>68 1 00 00000</t>
  </si>
  <si>
    <t>Расходы на обеспечение деятельности муниципальных служащих местной администрации</t>
  </si>
  <si>
    <t>68 1 00 01030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</si>
  <si>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</si>
  <si>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</si>
  <si>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</si>
  <si>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</si>
  <si>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</si>
  <si>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</si>
  <si>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</si>
  <si>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</si>
  <si>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</si>
  <si>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 xml:space="preserve">800 </t>
  </si>
  <si>
    <t>Уплата налогов, сборо в и иных платежей</t>
  </si>
  <si>
    <t>850</t>
  </si>
  <si>
    <t>Другие общегосударственные вопросы</t>
  </si>
  <si>
    <t>13</t>
  </si>
  <si>
    <t>Прочие непрограммные мероприятия</t>
  </si>
  <si>
    <t>68 3 00 00000</t>
  </si>
  <si>
    <t>Расходы на исполнение судебных актов</t>
  </si>
  <si>
    <t>68 3 00 01350</t>
  </si>
  <si>
    <t>800</t>
  </si>
  <si>
    <t>Исполнение судебных актов</t>
  </si>
  <si>
    <t>830</t>
  </si>
  <si>
    <t>Администрация Омсукчанского городского округа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</si>
  <si>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</si>
  <si>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</si>
  <si>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 местной администрации</t>
  </si>
  <si>
    <t>68 1 00 01040</t>
  </si>
  <si>
    <t>Расходы на обеспечение деятельности  прочих работников аппарата местной администрации</t>
  </si>
  <si>
    <t>68 3 00 01050</t>
  </si>
  <si>
    <t>Муниципальная программа "Развитие малого и среднего предпринимательства в Омсукчанском городском округе на 2015-2017 годы"</t>
  </si>
  <si>
    <t>53 0 00 00000</t>
  </si>
  <si>
    <t>Проведение  мероприятий по реализации муниципальных программ</t>
  </si>
  <si>
    <t>53 0 00 01150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</si>
  <si>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</si>
  <si>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</si>
  <si>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"Развитие муниципальной службы Омсукчанского городского округа на 2015-2017 годы"</t>
  </si>
  <si>
    <t>54 0 00 00000</t>
  </si>
  <si>
    <t>Приобретение и использование справочно-правовых систем</t>
  </si>
  <si>
    <t>54 0 00 01510</t>
  </si>
  <si>
    <t>Организация дополнительного профессионального образования муниципальных служащих и лиц, замещающих муниципальные должности</t>
  </si>
  <si>
    <t>54 0 00 01520</t>
  </si>
  <si>
    <t>Муниципальная программа " 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</si>
  <si>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56 0 00 00000</t>
  </si>
  <si>
    <t>Подпрограмма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2016-2018 годы"</t>
  </si>
  <si>
    <t>56 1 00 00000</t>
  </si>
  <si>
    <t>Мероприятия по профилактике злоупотребления наркотическими средствами</t>
  </si>
  <si>
    <t>56 1 00 01560</t>
  </si>
  <si>
    <t>Подпрограмма "Профилактика правонарушений и обеспечение общественной безопасности на территории Омсукчанского городского округа" на 2016-2018 годы"</t>
  </si>
  <si>
    <t>56 2 00 00000</t>
  </si>
  <si>
    <t>Меропрития по профилактике правонарушений</t>
  </si>
  <si>
    <t>56 2 00 01170</t>
  </si>
  <si>
    <t>Подпрограмма "Профилактика коррупции на территории Омсукчанского городского округа" на 2016-2018 годы"</t>
  </si>
  <si>
    <t>56 3 00 00000</t>
  </si>
  <si>
    <t>Мероприятия по противодействию коррупции</t>
  </si>
  <si>
    <t>56 3 00 01180</t>
  </si>
  <si>
    <t>Муниципальная программа "Развитие торговли на территории Омсукчанского городского округа" на 2016-2020 годы"</t>
  </si>
  <si>
    <t>61 0 00 00000</t>
  </si>
  <si>
    <t>61 0 00 01150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</si>
  <si>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</si>
  <si>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расходов за счет безвозмездных поступлений</t>
  </si>
  <si>
    <t>68 2 00 00000</t>
  </si>
  <si>
    <t>Осуществление государственных полномочий по составлению списков кандидатов в присяжные заседатели</t>
  </si>
  <si>
    <t>68 2 00 51200</t>
  </si>
  <si>
    <t>Осуществление государственных полномочий Российской Федерации по государственной регистрации актов гражданского состояния</t>
  </si>
  <si>
    <t>68 2 00 59300</t>
  </si>
  <si>
    <t>Подготовка участников резерва управленческих кадров Магаданской области из числа муниципальных служащих</t>
  </si>
  <si>
    <t>68 2 00 73270</t>
  </si>
  <si>
    <t>Подготовка резерва управленческих кадров и его эффективное использование</t>
  </si>
  <si>
    <t>Осуществление государственных полномочий по созданию и организации  деятельности комиссий по делам несовершеннолетних и защите их прав</t>
  </si>
  <si>
    <t>68 2 00 74020</t>
  </si>
  <si>
    <t>Осуществление государственных полномочий по созданию и организации деятельности административных комиссий</t>
  </si>
  <si>
    <t>68 2 00 74030</t>
  </si>
  <si>
    <t>Закупка товаров, работ и услуг для обеспечения государственных (муниципальных) нужд</t>
  </si>
  <si>
    <t>Выполнение других обязательств государства</t>
  </si>
  <si>
    <t>68 3 00 01070</t>
  </si>
  <si>
    <t>Мероприятия в области социальной политики</t>
  </si>
  <si>
    <t>68 3 00 01130</t>
  </si>
  <si>
    <t>Мероприятия по повышению безопасности дорожного движения</t>
  </si>
  <si>
    <t>68 3 00 01160</t>
  </si>
  <si>
    <t>68 3 00 01180</t>
  </si>
  <si>
    <t>Расходы на содержание муниципального архива</t>
  </si>
  <si>
    <t>68 3 00 01200</t>
  </si>
  <si>
    <t>Расходы на выплату персоналу казенных учреждений</t>
  </si>
  <si>
    <t>110</t>
  </si>
  <si>
    <t>Расходы на обеспечение деятельности органа по государственной регистрации актов гражданского состояния</t>
  </si>
  <si>
    <t>68 3 00 01210</t>
  </si>
  <si>
    <t>Национальная оборона</t>
  </si>
  <si>
    <t>02</t>
  </si>
  <si>
    <t>Мобилизационная и всевойсковая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</si>
  <si>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</si>
  <si>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</si>
  <si>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68 2 00 51180</t>
  </si>
  <si>
    <t>Другие вопросы в области национальной обороны</t>
  </si>
  <si>
    <t>09</t>
  </si>
  <si>
    <t>Мероприятия в области национальной обороны</t>
  </si>
  <si>
    <t>68 3 00 01320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</si>
  <si>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</si>
  <si>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</si>
  <si>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по предупреждению и ликвидации последствий чрезвычайных ситуаций и стихийных бедствий </t>
  </si>
  <si>
    <t>68 3 00 01080</t>
  </si>
  <si>
    <t>Мероприятия по гражданской обороне</t>
  </si>
  <si>
    <t>68 3 00 01090</t>
  </si>
  <si>
    <t>Расходы на содержание Единой дежурной диспетчерской службы</t>
  </si>
  <si>
    <t>68 3 00 01220</t>
  </si>
  <si>
    <t>Мероприятия по пожарной безопасности</t>
  </si>
  <si>
    <t>68 3 00 01250</t>
  </si>
  <si>
    <t>Национальная экономика</t>
  </si>
  <si>
    <t>Сельское хозяйство и рыболовство</t>
  </si>
  <si>
    <t>05</t>
  </si>
  <si>
    <t>Организация и проведение областных универсальных совместных ярмарок</t>
  </si>
  <si>
    <t>68 2 00 73900</t>
  </si>
  <si>
    <t>Другие вопросы в области национальной экономики</t>
  </si>
  <si>
    <t>12</t>
  </si>
  <si>
    <t>Реализация мероприятий поддержки развития малого и среднего предпринимательства</t>
  </si>
  <si>
    <t>68 2 00 73360</t>
  </si>
  <si>
    <t>Осуществление государственных полномочий по предоставлению жилищных субсидий гражданам, выезжающим из районов Крайнего Севера и приравненных к ним местностей</t>
  </si>
  <si>
    <t>68 2 00 74040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</si>
  <si>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</si>
  <si>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</si>
  <si>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</si>
  <si>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</si>
  <si>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68 3 00 01120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</si>
  <si>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</si>
  <si>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</si>
  <si>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</si>
  <si>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</si>
  <si>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</si>
  <si>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 в 2015-2020 годах"</t>
  </si>
  <si>
    <t>55 0 00 00000</t>
  </si>
  <si>
    <t>55 0 00 01150</t>
  </si>
  <si>
    <t>Расселение наиболее неблагоприятных для проживания населенных пунктов Магаданской области</t>
  </si>
  <si>
    <t>68 2 00 61060</t>
  </si>
  <si>
    <t>Другие вопросы в области социальной политики</t>
  </si>
  <si>
    <t xml:space="preserve">Осуществление государственных полномочий по организации и осуществлению деятельности органов опеки и попечительства </t>
  </si>
  <si>
    <t>68 2 00 74090</t>
  </si>
  <si>
    <t>Управление культуры, социальной и молодежной политики  администрации Омсукчанского городского округа</t>
  </si>
  <si>
    <t>68 3 00  01180</t>
  </si>
  <si>
    <t>Образование</t>
  </si>
  <si>
    <t>07</t>
  </si>
  <si>
    <t>Дополнительное образование детей</t>
  </si>
  <si>
    <t>Муниципальная программа "Развитие культуры в Омсукчанском городском округе на 2015-2020 г.г."</t>
  </si>
  <si>
    <t>58 0 00 00000</t>
  </si>
  <si>
    <t>Подпрограмма "Развитие дополнительного образования детей в области культуры в Омсукчанском городском округе на 2015-2020 г.г."</t>
  </si>
  <si>
    <t>58 3 00 00000</t>
  </si>
  <si>
    <t>Субсидии муниципальным учреждениям дополнительного образования на выполнение муниципального задания</t>
  </si>
  <si>
    <t>58 3 00 13000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</si>
  <si>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</si>
  <si>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</si>
  <si>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</si>
  <si>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</si>
  <si>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Целевые субсидии муниципальным учреждениям  на выполнение мероприятий в области культуры и искусства</t>
  </si>
  <si>
    <t>58 3 00  20020</t>
  </si>
  <si>
    <t>Целевые субсидии муниципальным учреждениям  на проведение ремонта недвижимого  имущества</t>
  </si>
  <si>
    <t>58 3 00 20030</t>
  </si>
  <si>
    <t>Целевые субсидии муниципальным учреждениям  на оснащение</t>
  </si>
  <si>
    <t>58 3 00 20040</t>
  </si>
  <si>
    <t>Целевые субсидии муниципальным учреждениям  на выплату стипендии учащимся</t>
  </si>
  <si>
    <t>58 3 00 20060</t>
  </si>
  <si>
    <t>Целевые субсидии муниципальным учреждениям  на оплату контейнера</t>
  </si>
  <si>
    <t>58 1 00 20070</t>
  </si>
  <si>
    <t>58 3 00 20070</t>
  </si>
  <si>
    <t>Целевые субсидии муниципальным учреждениям на приобретение жилья работникам учреждения</t>
  </si>
  <si>
    <t>58 3 00 20100</t>
  </si>
  <si>
    <t>Осуществление  государственных полномочий по предоставлению дополнительных мер социальной поддержки работникам муниципальных образовательных учреждений</t>
  </si>
  <si>
    <t>68 2 00 74060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</si>
  <si>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</si>
  <si>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68 2 00 74070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</si>
  <si>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</si>
  <si>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68 2 00 75010</t>
  </si>
  <si>
    <t>Другие вопросы в области образования</t>
  </si>
  <si>
    <t>Поддержка преподавания этнических языков (корякский, эвенский, юкагарский и якутский)</t>
  </si>
  <si>
    <t>68 2 00 73470</t>
  </si>
  <si>
    <t>Культура, кинематография</t>
  </si>
  <si>
    <t>08</t>
  </si>
  <si>
    <t>Культура</t>
  </si>
  <si>
    <t>Подпрограмма "Развитие народного творчества и проведение культурного досуга населения в Омсукчанском городском округе на 2015-2020 г.г."</t>
  </si>
  <si>
    <t>58 1 00 00000</t>
  </si>
  <si>
    <t>Субсидии муниципальным учреждениям культуры на выполнение муниципального задания</t>
  </si>
  <si>
    <t>58 1 00 15000</t>
  </si>
  <si>
    <t>58 1 00 20020</t>
  </si>
  <si>
    <t>58 1 00 20030</t>
  </si>
  <si>
    <t>Целевые субсидии на оснащение учреждений</t>
  </si>
  <si>
    <t>58 1 00 20040</t>
  </si>
  <si>
    <t>58 1 00 20100</t>
  </si>
  <si>
    <t xml:space="preserve">Обеспечение деятельности подведомственных учреждений </t>
  </si>
  <si>
    <t>58 1 00 40000</t>
  </si>
  <si>
    <t>Подпрограмма "Развитие библиотечного дела в Омсукчанском городском округе на 2015-2020 г.г."</t>
  </si>
  <si>
    <t>58 2 00 00000</t>
  </si>
  <si>
    <t>58 2 00 15000</t>
  </si>
  <si>
    <t>Развитие библиотечного дела Магаданской области</t>
  </si>
  <si>
    <t>58 2 00 S3160</t>
  </si>
  <si>
    <t>58 2 00 20020</t>
  </si>
  <si>
    <t>58 2 00 20030</t>
  </si>
  <si>
    <t>58 2 00 20040</t>
  </si>
  <si>
    <t>58 2 00 20070</t>
  </si>
  <si>
    <t>Целевые субсидии муниципальным учреждениям на комплектование библиотечных фондов</t>
  </si>
  <si>
    <t>58 2 00 20080</t>
  </si>
  <si>
    <t>Муниципальная программа "Энергосбережение и повышение энергетической эффективности в Омсукчанском городском округе" на 2015-2017 годы</t>
  </si>
  <si>
    <t>59 0 00 00000</t>
  </si>
  <si>
    <t>Целевые субсидии на проведение мероприятий по энергосбережению и проведению энергетической эффективности</t>
  </si>
  <si>
    <t>59 0 00 20110</t>
  </si>
  <si>
    <t>Комплектование книжных фондов библиотек муниципальных образований</t>
  </si>
  <si>
    <t>68 2 00 51440</t>
  </si>
  <si>
    <t>Развитие библиотечного дела в Магаданской области</t>
  </si>
  <si>
    <t>68 2 00 73160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</si>
  <si>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 культуры</t>
  </si>
  <si>
    <t>68 2 00 74110</t>
  </si>
  <si>
    <t>Другие вопросы в области культуры, кинематографии</t>
  </si>
  <si>
    <t>Муниципальная программа "Формирование доступной среды в Омсукчанском городском округе" на 2017-2020 годы"</t>
  </si>
  <si>
    <t>63 0 00 00000</t>
  </si>
  <si>
    <t>Адаптация муниципальных учреждений для доступности инвалидам и МГН</t>
  </si>
  <si>
    <t>63 0 00 01570</t>
  </si>
  <si>
    <t>Обеспечение  новогодними подарками детей-инвалидов</t>
  </si>
  <si>
    <t>63 0 00 01590</t>
  </si>
  <si>
    <t>Расходы на обеспечение деятельности  обслуживающего персонала</t>
  </si>
  <si>
    <t>68 3 00 01370</t>
  </si>
  <si>
    <t>Расходы на выплаты персоналу казенных учреждений</t>
  </si>
  <si>
    <t>Муниципальная программа "Проведение социальной политики в Омсукчанском городском округе" на 2015-2020 г.г.</t>
  </si>
  <si>
    <t>51 0 00 00000</t>
  </si>
  <si>
    <t>Подпрограмма "Молодежь Омсукчанского городского округа"</t>
  </si>
  <si>
    <t>51 1 00 00000</t>
  </si>
  <si>
    <t>51 1 00 01150</t>
  </si>
  <si>
    <t>Публичные нормативные социальные выплаты гражданам</t>
  </si>
  <si>
    <t>310</t>
  </si>
  <si>
    <t>Целевые субсидии на организацию трудоустройства несовершеннолетних детей</t>
  </si>
  <si>
    <t>51 1 00 20120</t>
  </si>
  <si>
    <t xml:space="preserve">Подпрограмма  "Обеспечение жильем молодых семей" </t>
  </si>
  <si>
    <t>51 2 00 00000</t>
  </si>
  <si>
    <t>51 2 00 01150</t>
  </si>
  <si>
    <t xml:space="preserve">Подпрограмма  "Улучшение демографической ситуации в Омсукчанском городском округе" </t>
  </si>
  <si>
    <t>51 3 00 00000</t>
  </si>
  <si>
    <t>51 3 00 01150</t>
  </si>
  <si>
    <t xml:space="preserve">Подпрограмма  "Забота о старшем поколении" </t>
  </si>
  <si>
    <t>51 4 00 00000</t>
  </si>
  <si>
    <t>51 4 00 01150</t>
  </si>
  <si>
    <t>Подпрограмма  "Оказание адресной социальной помощи отдельным категориям граждан"</t>
  </si>
  <si>
    <t>51 5 00 00000</t>
  </si>
  <si>
    <t>51 5 00 01150</t>
  </si>
  <si>
    <t xml:space="preserve">Подпрограмма  "Организация мероприятий, направленных на поддержку семьи, материнства и детства в Омсукчанском городском округе" </t>
  </si>
  <si>
    <t>51 6 00 00000</t>
  </si>
  <si>
    <t>51 6 00 01150</t>
  </si>
  <si>
    <t xml:space="preserve">Подпрограмма  "Комплексные меры по поддержке малочисленных народов Севера, проживающих на территории Омсукчанского городского округа" </t>
  </si>
  <si>
    <t>51 7 00 00000</t>
  </si>
  <si>
    <t>Проведение мероприятий в рамках реализации муниципальных программ</t>
  </si>
  <si>
    <t>51 7 00 01150</t>
  </si>
  <si>
    <t xml:space="preserve">Субсидии некоммерческим организациям (за исключением государственных (муниципальных) учреждений)
</t>
  </si>
  <si>
    <t>630</t>
  </si>
  <si>
    <t>Укрепление материально-технической базы муниципальных предприятий, муниципальных сельскохозяйственных предприятий,крестьянских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</si>
  <si>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51 7 00 S3290</t>
  </si>
  <si>
    <t>Предоставление социальных выплат на приобретение жилых помещений гражданам из числа коренных малочисленных народов Севера</t>
  </si>
  <si>
    <t>51 7 00 S3310</t>
  </si>
  <si>
    <t xml:space="preserve">Поддержка преподавания этнических языков (корякский, эвенский, юкагирский и якутский) </t>
  </si>
  <si>
    <t>51 7 00 S3470</t>
  </si>
  <si>
    <t>51 7 00 L3470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</si>
  <si>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на 2016-2020 годы"</t>
  </si>
  <si>
    <t>51 8 00 00000</t>
  </si>
  <si>
    <t>51 8 00 01150</t>
  </si>
  <si>
    <t>Обеспечение жильем молодых семей</t>
  </si>
  <si>
    <t>68 2 00 R0200</t>
  </si>
  <si>
    <t>68 2 00 73310</t>
  </si>
  <si>
    <t>68 2 00 76030</t>
  </si>
  <si>
    <t>Комитет по управлению муниципальным имуществом администрации Омсукчанского городского округа</t>
  </si>
  <si>
    <t>Оценка недвижимости, признание прав и регулирование отношений по государственной и муниципальной собственности</t>
  </si>
  <si>
    <t>68 3 00 01060</t>
  </si>
  <si>
    <t>Жилищно-коммунальное хозяйство</t>
  </si>
  <si>
    <t>Жилищное хозяйство</t>
  </si>
  <si>
    <t>Мероприятия, реализуемых с привлечением средств Фонда содействия реформированию жилищно-коммунального хозяйства</t>
  </si>
  <si>
    <t>68 2 00 96000</t>
  </si>
  <si>
    <t>Обеспечение мероприятий по переселению граждан из аварийного жилищного фонда</t>
  </si>
  <si>
    <t>68 2 00 96020</t>
  </si>
  <si>
    <t>Приобретение жилья на вторичном рынке</t>
  </si>
  <si>
    <t>68 3 00 01380</t>
  </si>
  <si>
    <t>Взносы на капитальный ремонт муниципального жилищного фонда</t>
  </si>
  <si>
    <t>68 3 00 01330</t>
  </si>
  <si>
    <t>Охрана семьи и детства</t>
  </si>
  <si>
    <t>Осуществление государственных полномочий по обеспечению жилыми помещениями детей-сирот</t>
  </si>
  <si>
    <t>68 2 00 74100</t>
  </si>
  <si>
    <t>Управление образования администрации Омсукчанского городского округа</t>
  </si>
  <si>
    <t>Дошкольное образование</t>
  </si>
  <si>
    <t>Муниципальная программа "Развитие системы образования в Омсукчанском городском округе  на 2015-2020 г.г."</t>
  </si>
  <si>
    <t>52 0 00 00000</t>
  </si>
  <si>
    <t>Подпрограмма "Управление развитием отрасли образования в Омсукчанском городском округе"</t>
  </si>
  <si>
    <t>52 1 00 00000</t>
  </si>
  <si>
    <t>Субсидии муниципальным учреждениям дошкольного образования на выполнение муниципального задания</t>
  </si>
  <si>
    <t>52 1 00 11000</t>
  </si>
  <si>
    <t>Подпрограмма "Развитие дошкольного образования в Омсукчанском городском округе"</t>
  </si>
  <si>
    <t>52 2 00 00000</t>
  </si>
  <si>
    <t>52 2 00 20030</t>
  </si>
  <si>
    <t>52 2 00 20040</t>
  </si>
  <si>
    <t xml:space="preserve">Целевые субсидии муниципальным учреждениям  на выполнение мероприятий по организации питания </t>
  </si>
  <si>
    <t>52 2 00 20050</t>
  </si>
  <si>
    <t>52 2 00 20070</t>
  </si>
  <si>
    <t>Укрепление материально-технической базы учреждений дошкольного образования детей</t>
  </si>
  <si>
    <t>68 2 00 73180</t>
  </si>
  <si>
    <t>Осуществление  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</si>
  <si>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Осуществление 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</si>
  <si>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68 2 00 74120</t>
  </si>
  <si>
    <t>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</si>
  <si>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68 2 00 75050</t>
  </si>
  <si>
    <t>Общее образование</t>
  </si>
  <si>
    <t>Муниципальная программа "Развитие системы образования в Омсукчанском городском округе на 2015-2020 г.г."</t>
  </si>
  <si>
    <t>Субсидии муниципальным учреждениям общего образования на выполнение муниципального задания</t>
  </si>
  <si>
    <t>52 1 00 12000</t>
  </si>
  <si>
    <t>52 1 00 13000</t>
  </si>
  <si>
    <t>Подпрограмма "Развитие общего образования в Омсукчанском городском округе"</t>
  </si>
  <si>
    <t>52 3 00 00000</t>
  </si>
  <si>
    <t>Целевые субсидии на осуществление мероприятий по реконструкции и капитальному ремонту общеобразовательных организаций</t>
  </si>
  <si>
    <t>52 3 00 S3100</t>
  </si>
  <si>
    <t>Целевые субсидии на приобретение школьных автобусов</t>
  </si>
  <si>
    <t>52 3 00 S3150</t>
  </si>
  <si>
    <t xml:space="preserve">Целевые субсидии муниципальным учреждениям  на выполнение мероприятий по совершенствованию питания учащихся
</t>
  </si>
  <si>
    <t>52 3 00 S3440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</si>
  <si>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</si>
  <si>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>52 3 00 S3950</t>
  </si>
  <si>
    <t>Целевые субсидии муниципальным учреждениям  на проведение физкультурно-спортивных мероприятий</t>
  </si>
  <si>
    <t>52 3 00 20010</t>
  </si>
  <si>
    <t>52 3 00 20030</t>
  </si>
  <si>
    <t>52 3 00 20040</t>
  </si>
  <si>
    <t>52 3 00 20060</t>
  </si>
  <si>
    <t>52 3 00 20070</t>
  </si>
  <si>
    <t>Подпрограмма "Развитие дополнительного  образования в Омсукчанском городском округе"</t>
  </si>
  <si>
    <t>52 4 00 00000</t>
  </si>
  <si>
    <t>52 4 00 S3190</t>
  </si>
  <si>
    <t>52 4 00 20030</t>
  </si>
  <si>
    <t>Осуществление мероприятий по реконструкции и капитальному ремонту общеобразовательных организаций</t>
  </si>
  <si>
    <t>68 2 00 73100</t>
  </si>
  <si>
    <t>Приобретение школьных автобусов</t>
  </si>
  <si>
    <t>68 2 00 73150</t>
  </si>
  <si>
    <t xml:space="preserve">Укрепление материально-технической базы учреждений дополнительного образования </t>
  </si>
  <si>
    <t>68 2 00 73190</t>
  </si>
  <si>
    <t>Совершенствование питания учащихся в общеобразовательных организациях</t>
  </si>
  <si>
    <t>68 2 00 73440</t>
  </si>
  <si>
    <t>Питание (завтрак или полдник) детей из многодетных семей, обучающихся в общеобразовательных организациях</t>
  </si>
  <si>
    <t>68 2 00 73950</t>
  </si>
  <si>
    <t>Осуществление 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</si>
  <si>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>68 2 00 74050</t>
  </si>
  <si>
    <t xml:space="preserve">Выполнение государственных полномочий по обеспечению ежемесячного денежного вознаграждения за классное руководство </t>
  </si>
  <si>
    <t>68 2 00 74130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</si>
  <si>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"Закон Магаданской области от 28 декабря 2004 года № 528-ОЗ"</t>
  </si>
  <si>
    <t>Непрограммные мерприятия</t>
  </si>
  <si>
    <t>Молодежная политика и оздоровление детей</t>
  </si>
  <si>
    <t>Подпрограмма "Оздоровление детей и подростков в Омсукчанском городском округе"</t>
  </si>
  <si>
    <t xml:space="preserve">07 </t>
  </si>
  <si>
    <t>52 5 00 00000</t>
  </si>
  <si>
    <t>Субсидии муниципальным учреждениям  общего образования на выполнение муниципального задания</t>
  </si>
  <si>
    <t>52 5 00 S3210</t>
  </si>
  <si>
    <t>Выполнение полномочий органов местного самоуправления по вопросам местного значения за счет субсидий из областного бюджета</t>
  </si>
  <si>
    <t>68 2 00 73000</t>
  </si>
  <si>
    <t>Организация отдыха и оздоровление детей в лагерях дневного пребывания</t>
  </si>
  <si>
    <t>68 2 00 73210</t>
  </si>
  <si>
    <t>Обучение специалистов для организации обучения детей с ограниченными возможностями здоровья, в том числе детей-инвалидов</t>
  </si>
  <si>
    <t>63 0 00 01580</t>
  </si>
  <si>
    <t>Прочие мероприятия в области образования</t>
  </si>
  <si>
    <t>68 3 00 01190</t>
  </si>
  <si>
    <t>Управление спорта и туризма администрации Омсукчанского городского округа</t>
  </si>
  <si>
    <t>Муниципальная программа "Развитие физической культуры и спорта в Омсукчанском городском округе на 2015-2020 г.г."</t>
  </si>
  <si>
    <t>57 0 00 00000</t>
  </si>
  <si>
    <t>Подпрограмма "Развитие дополнительного образования детей в области физической культуры и спорта на 2015-2020 г.г."</t>
  </si>
  <si>
    <t>57 2 00 00000</t>
  </si>
  <si>
    <t>57 2 00 13000</t>
  </si>
  <si>
    <t>57 2 00 20030</t>
  </si>
  <si>
    <t>57 2 00 20040</t>
  </si>
  <si>
    <t>57 2 00 20060</t>
  </si>
  <si>
    <t>57 2 00 20070</t>
  </si>
  <si>
    <t>Физическая культура и спорт</t>
  </si>
  <si>
    <t>11</t>
  </si>
  <si>
    <t xml:space="preserve">Физическая культура </t>
  </si>
  <si>
    <t>Подпрограмма "Развитие массовой физической культуры и спорта в Омсукчанском городском округе на 2015-2020 г.г."</t>
  </si>
  <si>
    <t>57 1 00 00000</t>
  </si>
  <si>
    <t>Субсидии муниципальным учреждениям спорта на выполнение муниципального задания</t>
  </si>
  <si>
    <t>57 1 00 14000</t>
  </si>
  <si>
    <t>57 1 00 20030</t>
  </si>
  <si>
    <t>57 1 00 20040</t>
  </si>
  <si>
    <t>57 1 00 20070</t>
  </si>
  <si>
    <t>Другие вопросы в области физической культуры и спорта</t>
  </si>
  <si>
    <t>Подпрограмма "Физкультурно-спортивные мероприятия окружного и областного уровней на 2015-2020 годы"</t>
  </si>
  <si>
    <t>57 3 00 00000</t>
  </si>
  <si>
    <t>57 3 00 01150</t>
  </si>
  <si>
    <t>Управление ЖКХ и градостроительства  администрации Омсукчанского городского округа</t>
  </si>
  <si>
    <t>Транспорт</t>
  </si>
  <si>
    <t>Мероприятия в области автомобильного транспорта</t>
  </si>
  <si>
    <t>68 3 00 01100</t>
  </si>
  <si>
    <t>Дорожное хозяйство (дорожные фонды)</t>
  </si>
  <si>
    <t>Муниципальная программа "Развитие транспортной инфраструктуры  Омсукчанского городского округа" на 2015-2017 годы"</t>
  </si>
  <si>
    <t>50 0 00 00000</t>
  </si>
  <si>
    <t>Содержание автомобильных дорог</t>
  </si>
  <si>
    <t>50 0 00 01530</t>
  </si>
  <si>
    <t>Возмещение убытков по пустующему жилью</t>
  </si>
  <si>
    <t>68 2 00 10790</t>
  </si>
  <si>
    <t>Мероприятия в области жилищного хозяйства</t>
  </si>
  <si>
    <t>68 3 00 01240</t>
  </si>
  <si>
    <t>Коммунальное хозяйство</t>
  </si>
  <si>
    <t>62 0 00 00000</t>
  </si>
  <si>
    <t>Осуществление мероприятий по подготовке к осенне-зимнему отопительному периоду 2016-2017 годов</t>
  </si>
  <si>
    <t>62 0 00 S2110</t>
  </si>
  <si>
    <t>Ремонт и подготовка жилфонда</t>
  </si>
  <si>
    <t>62 0 00 01440</t>
  </si>
  <si>
    <t>Подготовка тепловых сетей</t>
  </si>
  <si>
    <t>62 0 00 01450</t>
  </si>
  <si>
    <t>Подготовка и ремонт котельных</t>
  </si>
  <si>
    <t>62 0 00 01460</t>
  </si>
  <si>
    <t>Подготовка и ремонт канализационных сетей</t>
  </si>
  <si>
    <t>62 0 00 01470</t>
  </si>
  <si>
    <t>Подготовка и ремонт водозаборов</t>
  </si>
  <si>
    <t>62 0 00 01480</t>
  </si>
  <si>
    <t>Подготовка и ремонт канализационных насосных станций</t>
  </si>
  <si>
    <t>62 0 00 01490</t>
  </si>
  <si>
    <t>Подготовка и ремонт очистных сооружений</t>
  </si>
  <si>
    <t>62 0 00 01500</t>
  </si>
  <si>
    <t>68 2 00 17010</t>
  </si>
  <si>
    <t>68 2 00 62110</t>
  </si>
  <si>
    <t>Мероприятия в области коммунального хозяйства</t>
  </si>
  <si>
    <t>68 3 00 01270</t>
  </si>
  <si>
    <t>Расходы по содержанию пустующего жилья</t>
  </si>
  <si>
    <t>68 3 00 01340</t>
  </si>
  <si>
    <t>Благоустройство</t>
  </si>
  <si>
    <t>Муниципальная программа "Благоустройство территории Омсукчанского городского округа на 2016-2020 годы"</t>
  </si>
  <si>
    <t>60 0 00 00000</t>
  </si>
  <si>
    <t>Подпрограмма "Обеспечение комфортными условиями проживания населения Омсукчанского городского округа"</t>
  </si>
  <si>
    <t>60 1 00 00000</t>
  </si>
  <si>
    <t xml:space="preserve">Прочие мероприятия в области  благоустройства </t>
  </si>
  <si>
    <t>60 1 00 01280</t>
  </si>
  <si>
    <t>Наружнее освещение, иллюминация</t>
  </si>
  <si>
    <t>60 1 00 01390</t>
  </si>
  <si>
    <t>Благоустройство в дворовых территориях</t>
  </si>
  <si>
    <t>60 1 00 01400</t>
  </si>
  <si>
    <t>Подпрограмма "Санитарное содержание территорий поселений Омсукчанского городского округа на 2016-2020 годы"</t>
  </si>
  <si>
    <t>60 2 00 00000</t>
  </si>
  <si>
    <t>60 2 00 01400</t>
  </si>
  <si>
    <t>Озеленение</t>
  </si>
  <si>
    <t>60 2 00 01410</t>
  </si>
  <si>
    <t>Мероприятия по благоустройству мест несанкционированного размещения твердых бытовых отходов в поселениях</t>
  </si>
  <si>
    <t>60 2 00 01420</t>
  </si>
  <si>
    <t>Санация территории от безнадзорных животных</t>
  </si>
  <si>
    <t>60 2 00 01430</t>
  </si>
  <si>
    <t>Проведение мероприятий по благоустройству территорий городских округов</t>
  </si>
  <si>
    <t>68 2 00 62010</t>
  </si>
  <si>
    <t>68 2 00 75040</t>
  </si>
  <si>
    <t>Содержание мест захоронения</t>
  </si>
  <si>
    <t>68 3 00 01110</t>
  </si>
  <si>
    <t>Мероприятия в области благоустройства</t>
  </si>
  <si>
    <t>68 3 00 01280</t>
  </si>
  <si>
    <t>Уплата налогов, сборов в и иных платежей</t>
  </si>
  <si>
    <t>Другие вопросы в области жилищно-коммунального хозяйства</t>
  </si>
  <si>
    <t>Прочие мероприятия в области жилищно-коммунального хозяйства</t>
  </si>
  <si>
    <t>68 3 00 01260</t>
  </si>
  <si>
    <t>Организация ритуальных услуг</t>
  </si>
  <si>
    <t>68 3 00  01140</t>
  </si>
  <si>
    <t>Собрание представителей Омсукчанского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</si>
  <si>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</si>
  <si>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деятельности высшего должностного лица муниципального образования</t>
  </si>
  <si>
    <t>68 1 00 01010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</si>
  <si>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</si>
  <si>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деятельности представительных органов муниципальных образований</t>
  </si>
  <si>
    <t>68 1 00 01020</t>
  </si>
  <si>
    <t>МКУ "Редакция газеты "Омсукчанские вести"</t>
  </si>
  <si>
    <t>Средства массовой информации</t>
  </si>
  <si>
    <t>Периодическая печать и издательства</t>
  </si>
  <si>
    <t>Расходы на обеспечение деятельности казенных учреждений</t>
  </si>
  <si>
    <t>68 4 00 00000</t>
  </si>
  <si>
    <t>68 4 00 40000</t>
  </si>
  <si>
    <t>ВСЕГО РАСХОДЫ</t>
  </si>
  <si>
    <t>м/б</t>
  </si>
  <si>
    <t>обл/б</t>
  </si>
  <si>
    <t>МП</t>
  </si>
  <si>
    <t xml:space="preserve">к решению СПОГО </t>
  </si>
  <si>
    <t>Наименование</t>
  </si>
  <si>
    <t>Муниципальная программа "Обеспечение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</si>
  <si>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Муниципальная программа "Комплексное развитие  систем коммунальной инфраструктуры муниципального образования " Омсукчанский городской округ" на 2016-2018 годы"</t>
  </si>
  <si>
    <t>Целевые субсидии муниципальным учреждениям  на выполнение мероприятий по физической культуре и спорту</t>
  </si>
  <si>
    <t>52 2 2001</t>
  </si>
  <si>
    <t>52 2 2003</t>
  </si>
  <si>
    <t>Субсидии бюджетным учреждениям на иные цели</t>
  </si>
  <si>
    <t>612</t>
  </si>
  <si>
    <t>52 2 2007</t>
  </si>
  <si>
    <t>52 3 2001</t>
  </si>
  <si>
    <t>Целевые субсидии муниципальным учреждениям  на выполнение мероприятий по совершенствованию питания учащихся</t>
  </si>
  <si>
    <t xml:space="preserve">Целевые субсидии муниципальным учреждениям  на ремонт недвижимого имущества </t>
  </si>
  <si>
    <t>52 3 2007</t>
  </si>
  <si>
    <t>52 3 2008</t>
  </si>
  <si>
    <t>52 4 2003</t>
  </si>
  <si>
    <t>Целевые субсидии муниципальным учреждениям  на оплату разовых услуг</t>
  </si>
  <si>
    <t>58 3 2009</t>
  </si>
  <si>
    <t>Организация  отдыха и оздоровление детей в лагерях дневного пребывания</t>
  </si>
  <si>
    <t>58 1 2002</t>
  </si>
  <si>
    <t>58 1 2007</t>
  </si>
  <si>
    <t>Целевые субсидии на проведение ремонта недвижимого имущества</t>
  </si>
  <si>
    <t>58 2 2007</t>
  </si>
  <si>
    <t>Осуществление социальных выплат  молодым семьям</t>
  </si>
  <si>
    <t>51 2 00 S6030</t>
  </si>
  <si>
    <t>Приложение № 6</t>
  </si>
  <si>
    <t>Целевая статья</t>
  </si>
  <si>
    <t>Раздел</t>
  </si>
  <si>
    <t>Подраздел</t>
  </si>
  <si>
    <t>Вид расхода</t>
  </si>
  <si>
    <t>Ведомство</t>
  </si>
  <si>
    <t>Муниципальная программа "Развитие транспортной инфраструктуры  Омсукчанского городского округа" на 2015-2017 гг."</t>
  </si>
  <si>
    <t>Управление  ЖКХ и градостроительства администрации Омсукчанского городского округа</t>
  </si>
  <si>
    <t>908</t>
  </si>
  <si>
    <t xml:space="preserve">Подпрограмма "Молодежь Омсукчанского городского округа" </t>
  </si>
  <si>
    <t>51 1 00 11500</t>
  </si>
  <si>
    <t>903</t>
  </si>
  <si>
    <t xml:space="preserve">Подпрограмма  "Обеспечение жильем молодых семей в Омсукчанском городском округе" </t>
  </si>
  <si>
    <t xml:space="preserve">Подпрограмма "Улучшение демографической ситуации в Омсукчанском городском округе" </t>
  </si>
  <si>
    <t>51 3 00 11500</t>
  </si>
  <si>
    <t>Подпрограмма "Забота о старшем поколении"</t>
  </si>
  <si>
    <t>51 4 00 11500</t>
  </si>
  <si>
    <t>Подпрограмма "Оказание адресной социальной помощи отдельным категориям граждан"</t>
  </si>
  <si>
    <t>51 5 00 11500</t>
  </si>
  <si>
    <t>51 6 00 11500</t>
  </si>
  <si>
    <t>906</t>
  </si>
  <si>
    <t>Целевые субсидии муниципальным учреждениям  на содержаиние социальной группы</t>
  </si>
  <si>
    <t>Целевые субсидии муниципальным учреждениям  на ремонт учреждений</t>
  </si>
  <si>
    <t xml:space="preserve">02 </t>
  </si>
  <si>
    <t>Целевые субсидии муниципальным учреждениям  на оснащение учреждений</t>
  </si>
  <si>
    <t>902</t>
  </si>
  <si>
    <t>Подпрограмма "Развитие дополнительного образования детей в области физической культуры и спорта в Омсукчанском городском округе на 2015-2020 г.г."</t>
  </si>
  <si>
    <t>57 2 00 20010</t>
  </si>
  <si>
    <t>57 2 2003</t>
  </si>
  <si>
    <t>57 2 2004</t>
  </si>
  <si>
    <t>57 1 00 20010</t>
  </si>
  <si>
    <t>57 1 2004</t>
  </si>
  <si>
    <t>57 1 2007</t>
  </si>
  <si>
    <t>58 3 2002</t>
  </si>
  <si>
    <t>58 3 2003</t>
  </si>
  <si>
    <t>58 3 2004</t>
  </si>
  <si>
    <t>58 2 2002</t>
  </si>
  <si>
    <t>Целевые субсидии  на оснащение учреждений</t>
  </si>
  <si>
    <t>Развитие бибилиотечного дела Магаданской области</t>
  </si>
  <si>
    <t>Целевые субсидии муниципальным учреждениям на проведение меропрятий в области энергосбережения</t>
  </si>
  <si>
    <t>Муниципальная программа "Комплексное развитие систем коммунальной инфраструктуры муниципального образования "Омсукчанский городской округ" на 2016-2018 годы"</t>
  </si>
  <si>
    <t>ИТОГО:</t>
  </si>
  <si>
    <t>Управление культуры, социальной и молодежной политики  адмнистрации Омсукчанского городского округа</t>
  </si>
  <si>
    <t>Источники внутреннего финансирования дефицита</t>
  </si>
  <si>
    <t>Код бюджетной классификации</t>
  </si>
  <si>
    <t>Наименование источника</t>
  </si>
  <si>
    <t>901 01 05 00 00 00 0000 000</t>
  </si>
  <si>
    <t>Изменение остатков средств на счетах по учету средств бюджета</t>
  </si>
  <si>
    <t>901 01 05 02 01 00 0000 500</t>
  </si>
  <si>
    <t>Увеличение прочих остатков средств бюджетов</t>
  </si>
  <si>
    <t>901 01 05 02 01 04 0000 510</t>
  </si>
  <si>
    <t>Увеличение прочих остатков денежных средств бюджетов городских округов</t>
  </si>
  <si>
    <t>901 01 05 02 01 00 0000 600</t>
  </si>
  <si>
    <t>Уменьшение прочих остатков средств бюджетов</t>
  </si>
  <si>
    <t>901 01 05 02 01 04 0000 610</t>
  </si>
  <si>
    <t>Уменьшение прочих остатков денежных средств бюджетов городских округов</t>
  </si>
  <si>
    <t>доходы</t>
  </si>
  <si>
    <t>расходы</t>
  </si>
  <si>
    <t>дефицит</t>
  </si>
  <si>
    <t>Наименование бюджетной классификации</t>
  </si>
  <si>
    <t>РЗ</t>
  </si>
  <si>
    <t>ПР</t>
  </si>
  <si>
    <t>Всего расходов</t>
  </si>
  <si>
    <t>Оказание помощи инвалидам, семьям с детьми-инвалидами в адаптации их жилых помещений</t>
  </si>
  <si>
    <t>63 0 00 01700</t>
  </si>
  <si>
    <t>Расходы за счет резервных фондов органов государственной власти субъекта РФ на ликвидацию чрезвычайных ситуаций</t>
  </si>
  <si>
    <t xml:space="preserve">54 0 00 S3270 </t>
  </si>
  <si>
    <t>Поддержка отрасли культуры</t>
  </si>
  <si>
    <t>58 2 00 S5190</t>
  </si>
  <si>
    <t xml:space="preserve">Поддержка отрасли культуры </t>
  </si>
  <si>
    <t>68 2 00 R5190</t>
  </si>
  <si>
    <t xml:space="preserve">Осуществление мероприятий по подготовке к осенне-зимнему отопительному периоду </t>
  </si>
  <si>
    <t>Реализация муниципальных программ энергосбережения по установке общедомовых приборов учета энегетических ресурсов</t>
  </si>
  <si>
    <t>68 2 00 73880</t>
  </si>
  <si>
    <t>Осуществление государственных полномочий по отлову и содержанию безнадзорных животных</t>
  </si>
  <si>
    <t>68 2 00 74170</t>
  </si>
  <si>
    <t>Благоустройство территорий городских округов и развитие объектов социально-культурного назначения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</si>
  <si>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</si>
  <si>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68 2 00 R5550</t>
  </si>
  <si>
    <t>Организация дополнительного профессионального образования для лиц, замещающих муниципальные должности Магаданской области</t>
  </si>
  <si>
    <t>54 0 00 S3260</t>
  </si>
  <si>
    <t>68 2 00 73260</t>
  </si>
  <si>
    <t>(тыс. руб.)</t>
  </si>
  <si>
    <t>Доходы от реализации иного имущества, находящегося в 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</si>
  <si>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</si>
  <si>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</si>
  <si>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организация и осуществление деятельности по опеке и попечительству над несовершеннолетними</t>
  </si>
  <si>
    <t>организация и осуществление деятельности по опеке и попечительству над совершеннолетними</t>
  </si>
  <si>
    <t>Подпрограмма "Развитие дополнительного образования в Омсукчанском городском округе"</t>
  </si>
  <si>
    <t>Целевые субсидии на проведение обследования здания</t>
  </si>
  <si>
    <t>52 4 00 20130</t>
  </si>
  <si>
    <t>Целевые субсидии муниципальным учреждениям  на проведение  мероприятий в области культуры и искусства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</si>
  <si>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</si>
  <si>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     2014-2020 годы" государственной программы Магаданской области "Развитие образования в Магаданской области" на 2014-2020 годы"</t>
  </si>
  <si>
    <t>Уплата налогов, сборов и иных платежей</t>
  </si>
  <si>
    <t>64 0 00 00000</t>
  </si>
  <si>
    <t>64 0 00 01730</t>
  </si>
  <si>
    <t>Муниципальная программа "Профилактика экстеремизма и терроризма на территории Омсукчанского городского округа на 2017-2021 годы"</t>
  </si>
  <si>
    <t>Оказание помощи инвалидам, семьям с детьми-инвалидами в адаптации их жилых помещений, приобретение технических средств реабилитации</t>
  </si>
  <si>
    <t>Муниципальная программа "Формирование современной городской среды муниципального образования "Омсукчанский городской округ" на 2017год"</t>
  </si>
  <si>
    <t>Проведение мероприятий в рамках муниципальных программ</t>
  </si>
  <si>
    <t>65 0 00 00000</t>
  </si>
  <si>
    <t>65 0 00 01150</t>
  </si>
  <si>
    <t>64 0 00 01150</t>
  </si>
  <si>
    <t xml:space="preserve"> Распределение бюджетных ассигнований, направляемых на реализацию муниципальных программ  из бюджета Омсукчанского городского округа  на  2017 год</t>
  </si>
  <si>
    <t>(-1733,7)</t>
  </si>
  <si>
    <t>(+1112,5)</t>
  </si>
  <si>
    <t>(+621,1)</t>
  </si>
  <si>
    <t>(+140,0)</t>
  </si>
  <si>
    <t>(-100)</t>
  </si>
  <si>
    <t>(+100)</t>
  </si>
  <si>
    <t>(-74,0)</t>
  </si>
  <si>
    <t>(+74)</t>
  </si>
  <si>
    <t>(-5,8)</t>
  </si>
  <si>
    <t>(+5,8)</t>
  </si>
  <si>
    <t>(+800,0)</t>
  </si>
  <si>
    <t>(+59,4)</t>
  </si>
  <si>
    <t>(+90)</t>
  </si>
  <si>
    <t>68 2 00 11830</t>
  </si>
  <si>
    <t>(+88,7)</t>
  </si>
  <si>
    <t>Укрепление материально-технической базы в области физической культуры и спорта</t>
  </si>
  <si>
    <t>(+297,5)</t>
  </si>
  <si>
    <t>(+500)</t>
  </si>
  <si>
    <t>(+308)</t>
  </si>
  <si>
    <t>68 2 00 73240</t>
  </si>
  <si>
    <t>Укрепление гражданского единства, гармонизация межнациональных отношений, профилактика экстремизма"</t>
  </si>
  <si>
    <t xml:space="preserve">Дополнительная социальная выплата при рождении (усыновлении) каждого ребенка и на обеспечение жильем молодых семей </t>
  </si>
  <si>
    <t xml:space="preserve">от   08.2017г. № </t>
  </si>
  <si>
    <t xml:space="preserve">от    08.2017г. № </t>
  </si>
  <si>
    <t>(+400)</t>
  </si>
  <si>
    <t>(+25)</t>
  </si>
  <si>
    <t>(+800, +300, +45)</t>
  </si>
  <si>
    <t>(+356,2)</t>
  </si>
  <si>
    <t>(-356,2)</t>
  </si>
  <si>
    <t>(+2977)</t>
  </si>
  <si>
    <t>(-522, -255)</t>
  </si>
  <si>
    <t>(+59,9)</t>
  </si>
  <si>
    <t>(-59,9)</t>
  </si>
  <si>
    <t>(+45)</t>
  </si>
  <si>
    <t>(+16500)</t>
  </si>
  <si>
    <t>(-2200)</t>
  </si>
  <si>
    <t>(+15,271)</t>
  </si>
  <si>
    <t>(-15,271)</t>
  </si>
  <si>
    <t>(-140,0)</t>
  </si>
  <si>
    <t>(-327,4)</t>
  </si>
  <si>
    <t>(-55,2)</t>
  </si>
  <si>
    <t>(+55,2)</t>
  </si>
  <si>
    <t>(-60,0)</t>
  </si>
  <si>
    <t>(+60,0)</t>
  </si>
  <si>
    <t>(+327,4)</t>
  </si>
  <si>
    <t>(-180)</t>
  </si>
  <si>
    <t>(+180)</t>
  </si>
  <si>
    <t>(-6)</t>
  </si>
  <si>
    <t>(+6)</t>
  </si>
  <si>
    <t>Целевые субсидии муниципальным учреждениям на оплату проезда к месту отдыха и обратно</t>
  </si>
  <si>
    <t>Целевые субсидии муниципальным учреждениям на оплату северных надбавок к заработной плате вновь прибывшим работникам</t>
  </si>
  <si>
    <t>Целевые субсидии муниципальным учреждениям на обследование здания</t>
  </si>
  <si>
    <t>ПРОЧИЕ НЕНАЛОГОВЫЕ ДОХОДЫ</t>
  </si>
  <si>
    <t>Прочие неналоговые доходы</t>
  </si>
  <si>
    <t>1 17 05040 04 0000 180</t>
  </si>
  <si>
    <t>Прочие неналоговые доходы бюджетов городских округов</t>
  </si>
  <si>
    <t>Участие лиц с ограниченными возможностями здоровья в творческих мероприятиях за пределами Магаданской области</t>
  </si>
  <si>
    <t>Размещение рекламно-информационных материалов и баннеров</t>
  </si>
  <si>
    <t>Создание условий для образования детей - инвалидов</t>
  </si>
  <si>
    <t xml:space="preserve">05 </t>
  </si>
  <si>
    <t>Другие вопросы национальной экономики</t>
  </si>
  <si>
    <t>Организационные и пропагандистские мероприятия по профилактике экстремизма и терроризма</t>
  </si>
  <si>
    <t xml:space="preserve">Мероприятия по формированию толерантности и патриотизма среди населения </t>
  </si>
  <si>
    <t xml:space="preserve">Мероприятия по антитеррористической защищенности муниципальных учреждений </t>
  </si>
  <si>
    <t>Осуществление государственных полномочий по составлению (изменению) списков кандидатов в присяжные заседатели</t>
  </si>
  <si>
    <t xml:space="preserve">Целевые субсидии на мероприятия по антитеррористической защищенности муниципальных учреждений 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</si>
  <si>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 на 2017-2019годы</t>
  </si>
  <si>
    <t>Муниципальная программа "Энергосбережение и повышение энергетической эффективности в Омсукчанском городском округе" на 2018-2020 годы"</t>
  </si>
  <si>
    <t>66 0 00 00000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</si>
  <si>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</si>
  <si>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</si>
  <si>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</si>
  <si>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</si>
  <si>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подпрограмма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</si>
  <si>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</si>
  <si>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>Целевые субсидии бюджетным учреждениям на выполнение мероприятий по физической культуре и спорту</t>
  </si>
  <si>
    <t>910</t>
  </si>
  <si>
    <t>Муниципальная программа "Развитие малого и среднего предпринимательства в Омсукчанском городском округе на 2018-2020 годы"</t>
  </si>
  <si>
    <t>Проведение комплексных кадастровых работ на территории Магаданской области</t>
  </si>
  <si>
    <t>Целевые субсидии муниципальным учреждениям на оплату контейнера</t>
  </si>
  <si>
    <t>2 02 25497 04 0000 151</t>
  </si>
  <si>
    <t>Муниципальная программа "Развитие муниципальной службы в Омсукчанском городском округе на 2018-2020годы"</t>
  </si>
  <si>
    <t>Муниципальная программа "Развитие муниципальной службы в Омсукчанском городском округе на 2018-2020 годы"</t>
  </si>
  <si>
    <t>Муниципальная программа "Энергосбережение и повышение энергетической эффективности в Омсукчанском городском округе" на 2018-2020 годы</t>
  </si>
  <si>
    <t>Муниципальная программа "Формирование современной городской среды муниципального образования "Омсукчанский городской округ" на 2018-2022 годы"</t>
  </si>
  <si>
    <t>Муниципальная программа "Формирование современной городской среды муниципального образования "Омсукчанский городской округ" на 2018 -2022 годы"</t>
  </si>
  <si>
    <t>Модернизация квартальной котельной в пос.Омсукчан за счет средств внебюджетного фонда социально-экономического развития Магаданской области</t>
  </si>
  <si>
    <t>Субсидии бюджетам городских округов на реализацию мероприятий по обеспечению жильем молодых семей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</si>
  <si>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</si>
  <si>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</si>
  <si>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</si>
  <si>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</si>
  <si>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Cубсидии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"Повышение качества и доступности дошкольного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</si>
  <si>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Выплата стипендии обучающимся казенных учреждений</t>
  </si>
  <si>
    <t xml:space="preserve">Обеспечение деятельности казенных  учреждений </t>
  </si>
  <si>
    <t>Обучение специалистов для организации обучения детей с ограниченными возможностями здоровья, в том числе детей инвалидов</t>
  </si>
  <si>
    <t xml:space="preserve">Обеспечение деятельности казенных учреждений </t>
  </si>
  <si>
    <t>Субсидии муниципальным учреждениям спорта на выполнение муниципального задания ( МБУ ФОК "Жемчужина" п. Омсукчан)</t>
  </si>
  <si>
    <t>Субсидии муниципальным учреждениям спорта на выполнение муниципального задания ( МБУ "ОСОК")</t>
  </si>
  <si>
    <t>Субсидии муниципальным учреждениям спорта на выполнение муниципального задания ( МБУ "Спортивная школа п.Омсукчан")</t>
  </si>
  <si>
    <t>Субсидии бюджетам городских округов, предоставляемых в рамках реализации подпрограммы   "Формирование и подготовка резерва управленческих кадров Магаданской области " на 2017-2021 годы"   государственной  программы   Магаданской области "Развитие системы государственного и муниципального управления  и профилактика коррупции в Магаданской области " на 2017-2021 годы" на 2019 год</t>
  </si>
  <si>
    <t xml:space="preserve"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</t>
  </si>
  <si>
    <t>Субсидии бюджетам городских округов на реализацию мероприятий подпрограммы "Развитие библиотечного дела Магаданской области" на 2014-2020 годы" государственной программы Магаданской области "Развитие  культуры в Магаданской области" на 2014-2020 годы"</t>
  </si>
  <si>
    <t xml:space="preserve">Субсидии бюджетам городских округов, предоставляемых в рамках реализации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на 2017-2021 годы» 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</si>
  <si>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</t>
  </si>
  <si>
    <t xml:space="preserve">Субсидии бюджетам городских округов на питание (завтрак или полдник) детей из многодетных семей, обучающихся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области" Развитие образования в Магаданской области" на 2014-2020 годы" </t>
  </si>
  <si>
    <t xml:space="preserve">Субвенции бюджетам городских округов на осуществление  государственных полномочий 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подпрограммы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в Магаданской области" на 2014-2020 годы" </t>
  </si>
  <si>
    <t>2 02 49999 00 0000 150</t>
  </si>
  <si>
    <t>2 02 40000 00 0000 150</t>
  </si>
  <si>
    <t>2 02 35930 04 0000 150</t>
  </si>
  <si>
    <t>2 02 35930 00 0000 150</t>
  </si>
  <si>
    <t>2 02 30024 04 0000 150</t>
  </si>
  <si>
    <t>2 02 30024 00 0000 150</t>
  </si>
  <si>
    <t>2 02 30000 00 0000 150</t>
  </si>
  <si>
    <t>2 02 29999 04 0000 150</t>
  </si>
  <si>
    <t>2 02 25555 04 0000 150</t>
  </si>
  <si>
    <t>2 02 20000 00 0000 150</t>
  </si>
  <si>
    <t>2 02 15001 04 0000 150</t>
  </si>
  <si>
    <t>2 02 10000 00 0000 150</t>
  </si>
  <si>
    <t>2 02 49999 04 0000 150</t>
  </si>
  <si>
    <t>Субсидии муниципальным учреждениям спорта на выполнение муниципального задания ( МБУ "ОСОК п.Омсукчан")</t>
  </si>
  <si>
    <t>Субсидии муниципальным учреждениям спорта на выполнение муниципального задания ( МБУ "ФОК "Жемчужина" п. Омсукчан")</t>
  </si>
  <si>
    <t>Проведение казенными учреждениями  мероприятий в области культуры и искусства</t>
  </si>
  <si>
    <t>67 0 00 00000</t>
  </si>
  <si>
    <t>69 0 00 00000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</si>
  <si>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2019-2021 годы"</t>
  </si>
  <si>
    <t>340</t>
  </si>
  <si>
    <t>Стипендии</t>
  </si>
  <si>
    <t>Комплектование библиотечных фондов казенными учреждениями</t>
  </si>
  <si>
    <t>Мероприятия по профилактике правонарушений</t>
  </si>
  <si>
    <t>Формирование и увеличение уставного фонда муниципальных унитарных предприятий</t>
  </si>
  <si>
    <t>Реализация мероприятий по обеспечению жильем молодых семей</t>
  </si>
  <si>
    <t>2 02 25511 04 0000 150</t>
  </si>
  <si>
    <t xml:space="preserve">Субсидии бюджетам городских округов на проведение комплексных кадастровых работ
</t>
  </si>
  <si>
    <t>Субсидии бюджетам городских округов, предоставляемых в рамках реализации подпрограммы «Дополнительное профессиональное образование лиц, замещающих муниципальные должности в Магаданской области» на 2017-2021 годы»   государственной  программы 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2019 год</t>
  </si>
  <si>
    <t>Мероприятия по модернизации и реконструкции объектов инженерной и коммунальной инфраструктуры</t>
  </si>
  <si>
    <t>Целевые субсидии на организацию питания детей с ограниченными возможностями здоровья, обучающихся в общеобразовательных организациях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</si>
  <si>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"Управление развитием отрасли физической культуры и спорта" на 2015-2021 годы" государственной программы Магаданской области "Развитие физической культуры и спорта в Магаданской области" на 2014-2021 годы"</t>
  </si>
  <si>
    <t>Целевые субсидии на выплату стипендии</t>
  </si>
  <si>
    <t>Прочие безвозмездные поступления в бюджеты городских округов на реализацию мероприятия  "Модернизация и реконструкция объектов инженерной и  коммунальной инфраструктур в населенных пунктах городских округов, расположенных на территории Магаданской области" программы развития Особой экономической зоны в Магаданской области на 2019 год</t>
  </si>
  <si>
    <t>Прочие безвозмездные поступления в бюджеты городских округов на реализацию мероприятия "Реконструкция инженерных сетей в пос. Дукат и технологическое присоединение к сетям строящейся угольной котельной" программы развития Особой экономической зоны в Магаданской области на 2019 год</t>
  </si>
  <si>
    <t xml:space="preserve">Реконструкция инженерных сетей в пос.Дукат и технологическое присоединение к сетям строящейся угольной котельной </t>
  </si>
  <si>
    <t>2 07 04050 04 0000 150</t>
  </si>
  <si>
    <t>65 0 F2 55550</t>
  </si>
  <si>
    <t>Исполнение судебных актов Российской Федерации и мировых соглашений по возмещению причиненного вреда</t>
  </si>
  <si>
    <t>400</t>
  </si>
  <si>
    <t>Капитальные вложения в объекты государственной (муниципальной) собственности</t>
  </si>
  <si>
    <t xml:space="preserve">Компенсация расходов на оплату стоимости проезда и провоза багажа к месту использования отпуска и обратно </t>
  </si>
  <si>
    <t>Расходы на обеспечение деятельности  прочих работников органов местного самоуправления</t>
  </si>
  <si>
    <t>54 0 01 01510</t>
  </si>
  <si>
    <t>54 0 02 01520</t>
  </si>
  <si>
    <t>Основное мероприятие "Организация дополнительного профессионального образования муниципальных служащих и лиц, замещающих муниципальные должности"</t>
  </si>
  <si>
    <t xml:space="preserve">54 0 03 S3270 </t>
  </si>
  <si>
    <t>54 0 03 73270</t>
  </si>
  <si>
    <t>Основное мероприятие "Организационные и пропагандистские мероприятия по профилактике экстремизма и терроризма"</t>
  </si>
  <si>
    <t>64 0 01 01640</t>
  </si>
  <si>
    <t>64 0 03 01660</t>
  </si>
  <si>
    <t>54 0 01 00000</t>
  </si>
  <si>
    <t>54 0 02 00000</t>
  </si>
  <si>
    <t>54 0 03 00000</t>
  </si>
  <si>
    <t>64 0 01 00000</t>
  </si>
  <si>
    <t>64 0 03 00000</t>
  </si>
  <si>
    <t>Основное мероприятие "Мероприятия по профилактике злоупотребления наркотическими средствами"</t>
  </si>
  <si>
    <t>67 0 01 01560</t>
  </si>
  <si>
    <t>Основное мероприятие "Мероприятия по профилактике правонарушений"</t>
  </si>
  <si>
    <t>69 0 01 01170</t>
  </si>
  <si>
    <t>01 0 00 00000</t>
  </si>
  <si>
    <t>01 0 02 00000</t>
  </si>
  <si>
    <t>01 0 02 01030</t>
  </si>
  <si>
    <t>01 0 02 01050</t>
  </si>
  <si>
    <t>01 0 02 01790</t>
  </si>
  <si>
    <t>01 0 03 00000</t>
  </si>
  <si>
    <t>69 0 01 00000</t>
  </si>
  <si>
    <t>02 0 02 00000</t>
  </si>
  <si>
    <t>02 0 00 00000</t>
  </si>
  <si>
    <t>02 0 03 00000</t>
  </si>
  <si>
    <t>02 0 03 01200</t>
  </si>
  <si>
    <t>02 0 03 01790</t>
  </si>
  <si>
    <t>Иные непрограммные мероприятия в рамках непрограммной деятельности</t>
  </si>
  <si>
    <t>02 0 02 01320</t>
  </si>
  <si>
    <t>02 0 04 00000</t>
  </si>
  <si>
    <t>02 0 04 01220</t>
  </si>
  <si>
    <t>02 0 04 01790</t>
  </si>
  <si>
    <t>02 0 02 01080</t>
  </si>
  <si>
    <t>02 0 02 01250</t>
  </si>
  <si>
    <t>61 0 01 00000</t>
  </si>
  <si>
    <t>Организация и проведение ярмарок</t>
  </si>
  <si>
    <t>Поддержка социальных магазинов</t>
  </si>
  <si>
    <t>61 0 02 00000</t>
  </si>
  <si>
    <t>61 0 01 73900</t>
  </si>
  <si>
    <t>02 0 02 01120</t>
  </si>
  <si>
    <t>55 0 01 00000</t>
  </si>
  <si>
    <t>Социльные выплаты для приобретения (строительства) жилья</t>
  </si>
  <si>
    <t>Основное мероприятие "Предоставление социальных выплат для приобретения (строительства) жилья"</t>
  </si>
  <si>
    <t>Осуществление государственных полномочий органами местного самоуправления</t>
  </si>
  <si>
    <t>51 8 01 00000</t>
  </si>
  <si>
    <t>51 8 01 S3240</t>
  </si>
  <si>
    <t>51 8 01 73240</t>
  </si>
  <si>
    <t>Укрепление гражданского единства, гармонизация межнациональных отношений, профилактика экстремизма</t>
  </si>
  <si>
    <t>51 7 01 00000</t>
  </si>
  <si>
    <t>51 7 02 00000</t>
  </si>
  <si>
    <t>51 7 03 00000</t>
  </si>
  <si>
    <t>58 3 01 40000</t>
  </si>
  <si>
    <t>Основное мероприятие "Обеспечение деятельности подведомственных образовательных учреждений"</t>
  </si>
  <si>
    <t>58 3 01 00000</t>
  </si>
  <si>
    <t>58 3 02 01710</t>
  </si>
  <si>
    <t>58 3 02 00000</t>
  </si>
  <si>
    <t>58 3 03 00000</t>
  </si>
  <si>
    <t>58 3 03 01720</t>
  </si>
  <si>
    <t>64 0 02 00000</t>
  </si>
  <si>
    <t>64 0 02 01650</t>
  </si>
  <si>
    <t>Основное мероприятие "Проведение мероприятий по антитеррористической защищенности муниципальных учреждений"</t>
  </si>
  <si>
    <t>Основное мероприятие "Осуществление государственных полномочий"</t>
  </si>
  <si>
    <t>58 3 04 00000</t>
  </si>
  <si>
    <t>51 1 01 00000</t>
  </si>
  <si>
    <t>51 1 01 01730</t>
  </si>
  <si>
    <t>51 1 02 00000</t>
  </si>
  <si>
    <t>58 1 01 40000</t>
  </si>
  <si>
    <t>Основное мероприятие "Обеспечение деятельности подведомственных  учреждений культуры"</t>
  </si>
  <si>
    <t>58 1 01 00000</t>
  </si>
  <si>
    <t>58 1 02 00000</t>
  </si>
  <si>
    <t>58 1 02 01720</t>
  </si>
  <si>
    <t>58 2 01 00000</t>
  </si>
  <si>
    <t>58 2 01 40000</t>
  </si>
  <si>
    <t>58 2 02 00000</t>
  </si>
  <si>
    <t>58 2 02 01740</t>
  </si>
  <si>
    <t>58 2 03 00000</t>
  </si>
  <si>
    <t>58 2 04 00000</t>
  </si>
  <si>
    <t>51 6 01 00000</t>
  </si>
  <si>
    <t xml:space="preserve">Расходы на обеспечение деятельности муниципальных служащих </t>
  </si>
  <si>
    <t>61 0 01 S3900</t>
  </si>
  <si>
    <t>61 0 02 01800</t>
  </si>
  <si>
    <t>Основное мероприятие "Проведение мероприятий в области культуры и искусства"</t>
  </si>
  <si>
    <t>Основное мероприятие "Осуществление государственных полномочий муниципальными учреждениями"</t>
  </si>
  <si>
    <t>51 1 02 01830</t>
  </si>
  <si>
    <t xml:space="preserve">Основное мероприятие "Комплектование библиотечных фондов" </t>
  </si>
  <si>
    <t>Расходы на обеспечение деятельности  централизованной бухгалтерии</t>
  </si>
  <si>
    <t>51 2 01 00000</t>
  </si>
  <si>
    <t>Основное мероприятие "Обеспечение жильем молодых семей"</t>
  </si>
  <si>
    <t>51 2 01 L4970</t>
  </si>
  <si>
    <t>51 3 01 00000</t>
  </si>
  <si>
    <t>51 3 01 01850</t>
  </si>
  <si>
    <t>Основное мероприятие "Поддержка граждан старшего поколения"</t>
  </si>
  <si>
    <t>51 4 01 00000</t>
  </si>
  <si>
    <t>51 4 01 01860</t>
  </si>
  <si>
    <t>51 4 02 00000</t>
  </si>
  <si>
    <t>51 4 02 01870</t>
  </si>
  <si>
    <t>51 5 01 01880</t>
  </si>
  <si>
    <t>51 5 01 00000</t>
  </si>
  <si>
    <t>02 0 05 00000</t>
  </si>
  <si>
    <t>02 0 05 01370</t>
  </si>
  <si>
    <t>02 0 05 01790</t>
  </si>
  <si>
    <t>Обеспечение деятельности органов местного самоуправления</t>
  </si>
  <si>
    <t>Местная администрация</t>
  </si>
  <si>
    <t>01 0 03 51200</t>
  </si>
  <si>
    <t>01 0 03 59300</t>
  </si>
  <si>
    <t>01 0 03 74030</t>
  </si>
  <si>
    <t>Содержание муниципального архива в рамках непрограммной деятельности</t>
  </si>
  <si>
    <t>Содержание Единой дежурной диспетчерской службы  в рамках непрограммной деятельности</t>
  </si>
  <si>
    <t>01 0 03 74040</t>
  </si>
  <si>
    <t>01 0 03 74090</t>
  </si>
  <si>
    <t xml:space="preserve">Прочие непрограммные мероприятия </t>
  </si>
  <si>
    <t>Расходы на обеспечение деятельности  Единой дежурной диспетчерской службы</t>
  </si>
  <si>
    <t>Расходы на обеспечение деятельности муниципального архива</t>
  </si>
  <si>
    <t>Содержание  централизованной бухгалтерии в рамках непрограммной деятельности</t>
  </si>
  <si>
    <t>Основное мероприятие "Проведение комплексных кадастровых работ"</t>
  </si>
  <si>
    <t>Прочие мероприятия по управлению имуществом казны муниципального образования</t>
  </si>
  <si>
    <t>Расходы по содержанию пустующих помещений жилищного фонда, производственных помещений</t>
  </si>
  <si>
    <t>52 1 01 00000</t>
  </si>
  <si>
    <t>Основное мероприятие "Развитие учреждений дошкольного образования"</t>
  </si>
  <si>
    <t>52 2 01 00000</t>
  </si>
  <si>
    <t>52 2 01 20030</t>
  </si>
  <si>
    <t>52 2 01 20040</t>
  </si>
  <si>
    <t>52 2 01 20050</t>
  </si>
  <si>
    <t>52 2 02 00000</t>
  </si>
  <si>
    <t>52 2 02 20070</t>
  </si>
  <si>
    <t>52 2 02 20140</t>
  </si>
  <si>
    <t>52 2 02 20150</t>
  </si>
  <si>
    <t>Основное мероприятие "Присмотр и уход за детьми -инвалидами, детьми-сиротами и детьми, оставшимися без попечения родителей, а также за детьми с туберкулезной интоксикацией"</t>
  </si>
  <si>
    <t>52 2 03 00000</t>
  </si>
  <si>
    <t>52 2 03 S3С20</t>
  </si>
  <si>
    <t>52 2 03 73С20</t>
  </si>
  <si>
    <t>52 1 02 74060</t>
  </si>
  <si>
    <t>52 1 02 00000</t>
  </si>
  <si>
    <t>52 1 02 74120</t>
  </si>
  <si>
    <t>52 1 02 74070</t>
  </si>
  <si>
    <t>52 1 02 75010</t>
  </si>
  <si>
    <t>59 0 01 00000</t>
  </si>
  <si>
    <t>59 0 01 20110</t>
  </si>
  <si>
    <t>64 0 02 20160</t>
  </si>
  <si>
    <t>Основное мероприятие "Обеспечение деятельности подведомственных учреждений"</t>
  </si>
  <si>
    <t>Основное мероприятие "Развитие учреждений основного образования"</t>
  </si>
  <si>
    <t>52 3 01 00000</t>
  </si>
  <si>
    <t>Основное мероприятие "Совершенствование питания учащихся"</t>
  </si>
  <si>
    <t>52 3 02 00000</t>
  </si>
  <si>
    <t>Основное мероприятие "Питание детей из многодетных семей"</t>
  </si>
  <si>
    <t>52 3 01 20010</t>
  </si>
  <si>
    <t>52 3 01 20030</t>
  </si>
  <si>
    <t>52 3 01 20040</t>
  </si>
  <si>
    <t>52 3 01 20060</t>
  </si>
  <si>
    <t>52 3 02 S3440</t>
  </si>
  <si>
    <t>52 3 02 73440</t>
  </si>
  <si>
    <t>52 3 03 00000</t>
  </si>
  <si>
    <t>52 3 03 S3950</t>
  </si>
  <si>
    <t>52 3 03 73950</t>
  </si>
  <si>
    <t>52 3 04 00000</t>
  </si>
  <si>
    <t>52 3 05 00000</t>
  </si>
  <si>
    <t>52 3 04 20070</t>
  </si>
  <si>
    <t>52 3 04 20140</t>
  </si>
  <si>
    <t>52 3 05 20170</t>
  </si>
  <si>
    <t>Основное мероприятие "Питание детей с ограниченными возможностями здоровья"</t>
  </si>
  <si>
    <t>52 1 02 74050</t>
  </si>
  <si>
    <t>52 1 02 74130</t>
  </si>
  <si>
    <t>52 1 01 13000</t>
  </si>
  <si>
    <t>Основное мероприятие "Развитие учреждений дополнительного образования"</t>
  </si>
  <si>
    <t>52 4 02 00000</t>
  </si>
  <si>
    <t>52 4 02 20140</t>
  </si>
  <si>
    <t xml:space="preserve">03 </t>
  </si>
  <si>
    <t>Основное мероприятие "Оздоровление детей и подростков"</t>
  </si>
  <si>
    <t>52 5 01 00000</t>
  </si>
  <si>
    <t>52 5 01 S3210</t>
  </si>
  <si>
    <t>52 5 01 73210</t>
  </si>
  <si>
    <t>02 0 02 01190</t>
  </si>
  <si>
    <t>57 1 01 00000</t>
  </si>
  <si>
    <t>52 1 01 11010</t>
  </si>
  <si>
    <t>Субсидии муниципальным учреждениям дошкольного образования на выполнение муниципального задания (МБДОУ "Детский сад п.Омсукчан")</t>
  </si>
  <si>
    <t>52 1 01 11020</t>
  </si>
  <si>
    <t>52 1 01 12010</t>
  </si>
  <si>
    <t>52 1 01 12020</t>
  </si>
  <si>
    <t>52 1 01 12030</t>
  </si>
  <si>
    <t>Субсидии муниципальным учреждениям общего образования на выполнение муниципального задания (МБОУ "СОШ п.Омсукчан"</t>
  </si>
  <si>
    <t>Субсидии муниципальным учреждениям общего образования на выполнение муниципального задания (МБОУ "СОШ п.Дукат")</t>
  </si>
  <si>
    <t>Субсидии муниципальным учреждениям общего образования на выполнение муниципального задания (МБОУ "ООШ п.Омсукчан")</t>
  </si>
  <si>
    <t>57 1 01 14010</t>
  </si>
  <si>
    <t>57 1 01 14020</t>
  </si>
  <si>
    <t>57 1 01 14030</t>
  </si>
  <si>
    <t>Основное мероприятие "Развитие учреждений спорта"</t>
  </si>
  <si>
    <t>57 1 02 00000</t>
  </si>
  <si>
    <t>Основное мероприятие "Обеспечение гарантий работникам муниципальных учреждений"</t>
  </si>
  <si>
    <t>Основное мероприятие "Обеспечение гарантий работникам муниципальных  учреждений"</t>
  </si>
  <si>
    <t>57 1 03 00000</t>
  </si>
  <si>
    <t>57 1 02 20030</t>
  </si>
  <si>
    <t>57 1 02 20040</t>
  </si>
  <si>
    <t>57 1 02 20060</t>
  </si>
  <si>
    <t>57 1 03 20070</t>
  </si>
  <si>
    <t>57 1 03 20140</t>
  </si>
  <si>
    <t>57 1 04 00000</t>
  </si>
  <si>
    <t>57 1 04 75010</t>
  </si>
  <si>
    <t>Основное мероприятие "Проведение физкультурно-спортивных мероприятий"</t>
  </si>
  <si>
    <t>57 3 01 00000</t>
  </si>
  <si>
    <t>Проведение  физкультурно-спортивных мероприятий</t>
  </si>
  <si>
    <t>02 0 01 00000</t>
  </si>
  <si>
    <t xml:space="preserve">Содержание казенных учреждений </t>
  </si>
  <si>
    <t>02 0 01 40000</t>
  </si>
  <si>
    <t>02 0 01 01790</t>
  </si>
  <si>
    <t>02 0 02 01100</t>
  </si>
  <si>
    <t>50 0 01 00000</t>
  </si>
  <si>
    <t>50 0 02 00000</t>
  </si>
  <si>
    <t>02 0 02 01240</t>
  </si>
  <si>
    <t>02 0 02 01330</t>
  </si>
  <si>
    <t>02 0 02 01340</t>
  </si>
  <si>
    <t>Основное мероприятие "Ремонт и подготовка жилищного фонда"</t>
  </si>
  <si>
    <t>Ремонт и подготовка жилищного фонда</t>
  </si>
  <si>
    <t>62 0 01 00000</t>
  </si>
  <si>
    <t>62 0 01 01440</t>
  </si>
  <si>
    <t>Основное мероприятие "Подготовка тепловых сетей"</t>
  </si>
  <si>
    <t>62 0 02 00000</t>
  </si>
  <si>
    <t>Основное мероприятие "Подготовка и ремонт котельных"</t>
  </si>
  <si>
    <t>62 0 03 00000</t>
  </si>
  <si>
    <t>62 0 02 01450</t>
  </si>
  <si>
    <t>62 0 03 01460</t>
  </si>
  <si>
    <t>Основное мероприятие "Подготовка и ремонт канализационных сетей"</t>
  </si>
  <si>
    <t>62 0 04 00000</t>
  </si>
  <si>
    <t>62 0 04 01470</t>
  </si>
  <si>
    <t>62 0 07 01500</t>
  </si>
  <si>
    <t>Основное мероприятие "Подготовка и ремонт очистных сооружений"</t>
  </si>
  <si>
    <t>62 0 07 00000</t>
  </si>
  <si>
    <t>02 0 02 01270</t>
  </si>
  <si>
    <t>02 0 06 00000</t>
  </si>
  <si>
    <t>02 0 06 01670</t>
  </si>
  <si>
    <t>02 0 06 01680</t>
  </si>
  <si>
    <t>02 0 06 01700</t>
  </si>
  <si>
    <t>60 1 01 00000</t>
  </si>
  <si>
    <t>60 1 01 01280</t>
  </si>
  <si>
    <t>Основное мероприятие "Создание комфортных условий для проживания населения"</t>
  </si>
  <si>
    <t>60 1 01 01390</t>
  </si>
  <si>
    <t>60 1 01 01400</t>
  </si>
  <si>
    <t>60 2 01 00000</t>
  </si>
  <si>
    <t>60 2 01 01400</t>
  </si>
  <si>
    <t>60 2 01 01410</t>
  </si>
  <si>
    <t>60 2 01 01420</t>
  </si>
  <si>
    <t>60 2 01 01430</t>
  </si>
  <si>
    <t>60 2 02 00000</t>
  </si>
  <si>
    <t>60 2 02 74170</t>
  </si>
  <si>
    <t>02 0 02 01260</t>
  </si>
  <si>
    <t>02 0 02 01140</t>
  </si>
  <si>
    <t>Представительный орган муниципального образования</t>
  </si>
  <si>
    <t>01 0 01 00000</t>
  </si>
  <si>
    <t>01 0 01 01010</t>
  </si>
  <si>
    <t>01 0 01 01790</t>
  </si>
  <si>
    <t>Расходы на обеспечение деятельности муниципальных служащих</t>
  </si>
  <si>
    <t>01 0 01 01030</t>
  </si>
  <si>
    <t>Основное мероприятие "Санитарное содержание территории"</t>
  </si>
  <si>
    <t>54 0 02 73260</t>
  </si>
  <si>
    <t>54 0 02 S3260</t>
  </si>
  <si>
    <t>Муниципальная программа "Развитие муниципальной службы Омсукчанского городского округа на 2018-2020 годы"</t>
  </si>
  <si>
    <t>Приобретение технических средств реабилитации</t>
  </si>
  <si>
    <t>Основное мероприятие "Поддержка этнических языков"</t>
  </si>
  <si>
    <t>Мероприятия по поддержке семьи, материнства и детства</t>
  </si>
  <si>
    <t>Основное мероприятие "Поддержка семьи, материнства и детства"</t>
  </si>
  <si>
    <t>Основное мероприятие "Повышение рождаемости в Омсукчанском городском округе"</t>
  </si>
  <si>
    <t>Мероприятия по поддержка граждан старшего поколения</t>
  </si>
  <si>
    <t>Основное мероприятие "Мероприятия по безопасности дорожного движения"</t>
  </si>
  <si>
    <t>50 0 01 01300</t>
  </si>
  <si>
    <t>Мероприятия в области дорожного движения</t>
  </si>
  <si>
    <t>50 0 02 01530</t>
  </si>
  <si>
    <t>Приобретение и использование справочно-правовых систем, автоматизация кадровых процедур</t>
  </si>
  <si>
    <t>Основное мероприятие "Правовое и информационное обеспечение деятельности органов местного самоуправления Омсукчанского городского округа"</t>
  </si>
  <si>
    <t>Основное мероприятие "Формирование и подготовка участников резерва управленческих кадров Магаданской области из числа муниципальных служащих"</t>
  </si>
  <si>
    <t xml:space="preserve">Мероприятия по антитеррористической защищенности муниципальных казенных учреждений </t>
  </si>
  <si>
    <r>
      <t xml:space="preserve">Приобретение и возложение цветов в День </t>
    </r>
    <r>
      <rPr>
        <sz val="12"/>
        <color theme="1"/>
        <rFont val="Times New Roman"/>
        <family val="1"/>
        <charset val="204"/>
      </rPr>
      <t>Победы в Великой Отечественной войне, в День солидарности в борьбе с терроризмом.</t>
    </r>
  </si>
  <si>
    <t>Основное мероприятие "Организация ярмарочной торговли на территории округа"</t>
  </si>
  <si>
    <t>Основное мероприятие "Создание и поддержка  социальных магазинов (отделов) на территории округа"</t>
  </si>
  <si>
    <t>Целевые субсидии на проведение мероприятий по энергосбережению и повышению энергетической эффективности</t>
  </si>
  <si>
    <t>Основное мероприятие  "Мероприятия по энергосбережению и повышению энергоэффективности в муниципальных учреждениях"</t>
  </si>
  <si>
    <t>Основное мероприятие  "Развитие библиотечного дела"</t>
  </si>
  <si>
    <t>58 1 03 00000</t>
  </si>
  <si>
    <t>58 1 03 01790</t>
  </si>
  <si>
    <t>58 1 04 00000</t>
  </si>
  <si>
    <t>58 1 04 75010</t>
  </si>
  <si>
    <t>Основное мероприятие "Культурно-массовые мероприятия в   учреждениях дополнительного образования детей"</t>
  </si>
  <si>
    <t>02 0 02 01060</t>
  </si>
  <si>
    <t>02 0 02 01760</t>
  </si>
  <si>
    <t>Непрограммные мероприятия за счет средств внебюджетного фонда социально-экономического развития Магаданской области</t>
  </si>
  <si>
    <t>Основное мероприятие "Подготовка и ремонт водозаборов"</t>
  </si>
  <si>
    <t>62 0 05 00000</t>
  </si>
  <si>
    <t>Основное мероприятие "Подготовка и ремонт канализационных насосных станций"</t>
  </si>
  <si>
    <t>62 0 06 00000</t>
  </si>
  <si>
    <t>62 0 05 01480</t>
  </si>
  <si>
    <t>62 0 06 01490</t>
  </si>
  <si>
    <t>Муниципальная программа "Комплексное развитие  систем коммунальной инфраструктуры Омсукчанского городского округа на 2019-2020 годы"</t>
  </si>
  <si>
    <t>Муниципальная программа "Профилактика экстеремизма и терроризма на территории Омсукчанского городского округа на 2017-2020 годы"</t>
  </si>
  <si>
    <t>Муниципальная программа "Развитие транспортной инфраструктуры  Омсукчанского городского округа" на 2018-2020 годы"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</si>
  <si>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 на 2017-2020 годы</t>
  </si>
  <si>
    <t>66 0 01 00000</t>
  </si>
  <si>
    <t>66 0 01 L5110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</si>
  <si>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2019-2020 годы"</t>
  </si>
  <si>
    <t>Муниципальная программа "Профилактика экстремизма и терроризма на территории Омсукчанского городского округа на 2017-2020 годы"</t>
  </si>
  <si>
    <t>Муниципальная программа "Профилактика правонарушений и обеспечение общественной безопасности на территории Омсукчанского городского округа" на 2019-2020 годы"</t>
  </si>
  <si>
    <t xml:space="preserve">Мероприятия по антитеррористической защищенности муниципальных казенных  учреждений </t>
  </si>
  <si>
    <t>Основное мероприятие "Мероприятия по формированию толерантности и патриотизма"</t>
  </si>
  <si>
    <t>Основное мероприятие "Поощрение лучших учеников учреждений дополнительного образования детей"</t>
  </si>
  <si>
    <t>Основное мероприятие "Мероприятия по энерогосбережению и повышению энергоэффективности в муниципальных учреждениях"</t>
  </si>
  <si>
    <t>Основное мероприятие "Мероприятия по энергосбережению и повышению энергоэффективности в муниципальных учреждениях"</t>
  </si>
  <si>
    <t>59 0 01 01900</t>
  </si>
  <si>
    <t xml:space="preserve">Ведомственная  структура расходов бюджета Омсукчанского городского округа на 2020 год </t>
  </si>
  <si>
    <t>План на 2020 год</t>
  </si>
  <si>
    <t>План на 2021 год</t>
  </si>
  <si>
    <t>План на 2022 год</t>
  </si>
  <si>
    <t>01 0 03 74020</t>
  </si>
  <si>
    <t>Основное мероприятие "Содействие профессиональной ориентации, трудоустройству и временной занятости молодежи"</t>
  </si>
  <si>
    <t>Проведение творческих профессиональных конкурсов</t>
  </si>
  <si>
    <t>Основное мероприятие "Гражданское становление, патриотическое воспитание, пропаганда здорового образа жизни среди молодежи,  поддержка талантливой молодежи"</t>
  </si>
  <si>
    <t>Мероприятия в области молодежной политики</t>
  </si>
  <si>
    <t>51 1 03 00000</t>
  </si>
  <si>
    <t>Единовременные денежные выплаты молодым специалистам учреждений культуры, спорта, здравоохранения, образования</t>
  </si>
  <si>
    <t xml:space="preserve">Организация трудоустройства несовершеннолетних граждан </t>
  </si>
  <si>
    <t>Поддержка семьи новорожденного ребенка</t>
  </si>
  <si>
    <t>Основное мероприятие "Поддержка молодых специалистов  учреждений социальногй сферы"</t>
  </si>
  <si>
    <t>Основное мероприятие "Поддержка ветеранов труда Омсукчанского района"</t>
  </si>
  <si>
    <t>Ежемесячная выплата неработающим пенсионерам старше 65 лет, имеющим звание «Ветеран труда Омсукчанского района»</t>
  </si>
  <si>
    <t>Предоставление материальной помощи отдельным категориям граждан, оказавшимся в трудной жизненной ситуации</t>
  </si>
  <si>
    <t>Основное мероприятие  "Поддержка отдельных категорий граждан Омсукчанского городского округа"</t>
  </si>
  <si>
    <t>Основное мероприятие "Улучшение материально-технической базы родовых общин"</t>
  </si>
  <si>
    <t>Улучшение материально-технической базы родовых общин</t>
  </si>
  <si>
    <t>Основное мероприятие "Улучшение условий проживания семей коренных малочисленных народов Севера"</t>
  </si>
  <si>
    <t>51 7 01 S3310</t>
  </si>
  <si>
    <t>51 7 01 73310</t>
  </si>
  <si>
    <t>51 7 02 S3290</t>
  </si>
  <si>
    <t>51 7 02 73290</t>
  </si>
  <si>
    <t>51 7 03 S3470</t>
  </si>
  <si>
    <t>51 7 03 73470</t>
  </si>
  <si>
    <t>Укрепление материально-технической базы кружков по изучению и укреплению этнических языков</t>
  </si>
  <si>
    <t>Основное мероприятие "Укрепление гражданского единства, гармонизация межнациональных отношений, профилактика экстремизма"</t>
  </si>
  <si>
    <t>Мероприятия, направленные на гармонизацию межнациональных отнолшений</t>
  </si>
  <si>
    <t>51 1 01 01820</t>
  </si>
  <si>
    <t>51 1 03 01840</t>
  </si>
  <si>
    <t>51 6 01 01890</t>
  </si>
  <si>
    <t>Строительство (реконструкция) объектов недвижимого имущества государственными (муниципальными) бюджетными и автономными учреждениями</t>
  </si>
  <si>
    <t>Основное мероприятие "Мероприятия по формированию доступной среды"</t>
  </si>
  <si>
    <t>63 0 01 00000</t>
  </si>
  <si>
    <t>63 0 01 01570</t>
  </si>
  <si>
    <t>63 0 01 01590</t>
  </si>
  <si>
    <t>63 0 01 01600</t>
  </si>
  <si>
    <t>63 0 01 01610</t>
  </si>
  <si>
    <t>63 0 01 01630</t>
  </si>
  <si>
    <t>63 0 01 01580</t>
  </si>
  <si>
    <t>52 4 01 00000</t>
  </si>
  <si>
    <t>52 4 01 20130</t>
  </si>
  <si>
    <t>Мероприятия по организации отдыха и оздоровления детей в лагерях дневного пребывания</t>
  </si>
  <si>
    <t>57 3 01 01910</t>
  </si>
  <si>
    <t>Основное мероприятие "Содержание и ремонт автомобильных дорог общего пользования"</t>
  </si>
  <si>
    <t>Субсидии муниципальным учреждениям дошкольного образования на выполнение муниципального задания (МБДОУ "Детский сад п.Дукат")</t>
  </si>
  <si>
    <t>Муниципальная программа "Развитие малого и среднего предпринимательства в Омсукчанском городском округе" на 2018-2020 г.г."</t>
  </si>
  <si>
    <t>53 0 01 00000</t>
  </si>
  <si>
    <t>53 0 01 S3360</t>
  </si>
  <si>
    <t>53 0 01 73360</t>
  </si>
  <si>
    <t>Основное мероприятие "Финансовая поддержка субъектов малого и среднего предпринимательства"</t>
  </si>
  <si>
    <t>Финансовая поддержка субъектов малого и среднего предпринимательства</t>
  </si>
  <si>
    <t>Основное мероприятие "Обустройство дворовой и общественной территории"</t>
  </si>
  <si>
    <t>410</t>
  </si>
  <si>
    <t xml:space="preserve">Модернизация котельной в пос.Дукат дооборудованием вспомогательного объекта </t>
  </si>
  <si>
    <t>02 0 06 01780</t>
  </si>
  <si>
    <t>Осуществление государственных полномочий для организации мероприятий при осуществлении деятельности по обращению с животными без владельцев</t>
  </si>
  <si>
    <t>60 2 02 74190</t>
  </si>
  <si>
    <t>02 0 02 01750</t>
  </si>
  <si>
    <t>58 2 03 01790</t>
  </si>
  <si>
    <t>58 2 04 S3160</t>
  </si>
  <si>
    <t>58 2 04 73160</t>
  </si>
  <si>
    <t>58 2 05 00000</t>
  </si>
  <si>
    <t>58 2 05 74110</t>
  </si>
  <si>
    <t>58 2 05 75010</t>
  </si>
  <si>
    <t xml:space="preserve">01 0 03 51200 </t>
  </si>
  <si>
    <t>Создание условий для образования детей инвалидов</t>
  </si>
  <si>
    <t>63 0 01 01620</t>
  </si>
  <si>
    <t>02 0 02 01110</t>
  </si>
  <si>
    <t>67 0 01 00000</t>
  </si>
  <si>
    <t>58 3 04 01790</t>
  </si>
  <si>
    <t>58 3 05 00000</t>
  </si>
  <si>
    <t>58 3 05 74060</t>
  </si>
  <si>
    <t>58 3 05 74070</t>
  </si>
  <si>
    <t>58 3 05 75010</t>
  </si>
  <si>
    <t>Основное мероприятие "Развитие учреждений общего образования"</t>
  </si>
  <si>
    <t xml:space="preserve">Управление культуры, соиальной и молодежной политики администрации Омсукчанского городского округа </t>
  </si>
  <si>
    <t>Уплата налогов, сборов  и иных платежей</t>
  </si>
  <si>
    <t>Физическая культура</t>
  </si>
  <si>
    <t>Мероприятия по энергосбережению и повышению  энергетической эффективности в казенных муниципальных учреждениях</t>
  </si>
  <si>
    <t>Мероприятия по энергосбережению и повышению энергетической эффективности в казенных муниципальных учреждениях</t>
  </si>
  <si>
    <t>Целевые субсидии на проведение мероприятий по энергосбережению и повышение энергетической эффективности</t>
  </si>
  <si>
    <t xml:space="preserve">План на 2020 год </t>
  </si>
  <si>
    <t>Приложение № 5.1.</t>
  </si>
  <si>
    <t xml:space="preserve">План на 2021 год </t>
  </si>
  <si>
    <t xml:space="preserve">План на 2022 год </t>
  </si>
  <si>
    <t>Приложение № 8</t>
  </si>
  <si>
    <t>Расходы на обеспечение деятельности централизованной бухгалтерии</t>
  </si>
  <si>
    <t>Социальная политики</t>
  </si>
  <si>
    <t>Приложение № 8.1.</t>
  </si>
  <si>
    <t>бюджета Омсукчанского городского округа  на 2020 год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</si>
  <si>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</si>
  <si>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</si>
  <si>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бюджета Омсукчанского городского округа  на 2021-2022 годы</t>
  </si>
  <si>
    <t>Приложение № 9.1.</t>
  </si>
  <si>
    <t>Наружное освещение, иллюминация</t>
  </si>
  <si>
    <t>65 0 F2 00000</t>
  </si>
  <si>
    <t xml:space="preserve">Содержание, благоустройство внутридворовых территорий и дорог </t>
  </si>
  <si>
    <t>60 2 01 01770</t>
  </si>
  <si>
    <t>Субсидии некоммерческим организациям (за исключение государственных (муниципальных) учреждений, государственных корпораций (компаний), публично-правовых компаний)</t>
  </si>
  <si>
    <t>Рд</t>
  </si>
  <si>
    <t>Вр</t>
  </si>
  <si>
    <t>Цс</t>
  </si>
  <si>
    <t>Мероприятия по развитию библиотечного дела</t>
  </si>
  <si>
    <t>Подготовка участников резерва управленческих кадров из числа муниципальных служащих</t>
  </si>
  <si>
    <t>Предоставление социальных выплат на приобретение жилых помещений гражданам из числа коренных малочисленных народов Севера для улучшения условий проживания</t>
  </si>
  <si>
    <t xml:space="preserve">Организация дополнительного профессионального образования для лиц, замещающих муниципальные должности </t>
  </si>
  <si>
    <t>Мероприятия, направленные на гармонизацию межнациональных отношений</t>
  </si>
  <si>
    <t>1 16 01000 00 0000 140</t>
  </si>
  <si>
    <t>1 16 01063 01 0000 140</t>
  </si>
  <si>
    <t>1 16 01053 01 0000 140</t>
  </si>
  <si>
    <t>1 17 00000 00 0000 000</t>
  </si>
  <si>
    <t>1 17 05000 00 0000 180</t>
  </si>
  <si>
    <t>1 16 01203 01 0000 140</t>
  </si>
  <si>
    <t xml:space="preserve">Субвенции бюджетам городских округов на осуществление государственных полномочий по организации мероприятий при осуществлении деятельности по обращению с животными </t>
  </si>
  <si>
    <t>Управление жилищно-коммунальногохозяйства и градостроительства администрации Омсукчанского городского округа</t>
  </si>
  <si>
    <t>51 7 04 00000</t>
  </si>
  <si>
    <t>Основное мероприятие "Развитие материальной базы для поддержки этнической культуры"</t>
  </si>
  <si>
    <t>Реставрация редких национальных экспонатов-костюмов ,украшений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</si>
  <si>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</si>
  <si>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</si>
  <si>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</si>
  <si>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</si>
  <si>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</si>
  <si>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</si>
  <si>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</si>
  <si>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</si>
  <si>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1 16 01060 01 0000 140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</si>
  <si>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</si>
  <si>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</si>
  <si>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1 05 01010 01 0000 110</t>
  </si>
  <si>
    <t>Налог, взимаемый в связи с применением патентной системы налогообложения</t>
  </si>
  <si>
    <t>1 12 01 040 01 00000 120</t>
  </si>
  <si>
    <t>Плата за размещение отходов производства и потребления</t>
  </si>
  <si>
    <t>2 02 25497 00 0000 151</t>
  </si>
  <si>
    <t>Субсидии бюджетам на реализацию мероприятий по обеспечению жильем молодых семей</t>
  </si>
  <si>
    <t>2 02 25511 00 0000 150</t>
  </si>
  <si>
    <t xml:space="preserve">Субсидии бюджетам на проведение комплексных кадастровых работ
</t>
  </si>
  <si>
    <t>2 02 25555 00 0000 150</t>
  </si>
  <si>
    <t>Субсидии бюджетам на поддержку  программ формирования современной городской среды</t>
  </si>
  <si>
    <t>Субсидии бюджетам  городских округов на поддержку  программ формирования современной городской среды</t>
  </si>
  <si>
    <t xml:space="preserve">Прочие субсидии </t>
  </si>
  <si>
    <t>2 02 29999 00 0000 150</t>
  </si>
  <si>
    <t>Прочие межбюджетные трансферты, передаваемые бюджетам городских округов</t>
  </si>
  <si>
    <t>1 05 04000 02 0000 110</t>
  </si>
  <si>
    <t>Земельный налог с организаций</t>
  </si>
  <si>
    <t>1 06 06030 00 0000 110</t>
  </si>
  <si>
    <t>Земельный налог с физических лиц</t>
  </si>
  <si>
    <t>1 06 06040 00 0000 110</t>
  </si>
  <si>
    <t>Дотации бюджетам  на выравнивание бюджетной обеспеченности</t>
  </si>
  <si>
    <t>2 02 15002 00 0000 150</t>
  </si>
  <si>
    <t>Дотации бюджетам  на поддержку мер по обеспечению сбалансированности бюджетов</t>
  </si>
  <si>
    <t>2 02 15001 00 0000 150</t>
  </si>
  <si>
    <t>Субсидии бюджетам  на реализацию мероприятий по обеспечению жильем молодых семей</t>
  </si>
  <si>
    <t>на плановый период 2021-2022 годов</t>
  </si>
  <si>
    <t>Распределение бюджетных ассигнований</t>
  </si>
  <si>
    <t xml:space="preserve"> по разделам и подразделам классификации </t>
  </si>
  <si>
    <t xml:space="preserve"> расходов бюджетов Российской Федерации на  2020 год</t>
  </si>
  <si>
    <t xml:space="preserve"> по разделам и подразделам классификации</t>
  </si>
  <si>
    <t xml:space="preserve"> расходов бюджетов Российской Федерации на  плановый период 2021-2022 годов</t>
  </si>
  <si>
    <t>Распределение бюджетных массигнований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 на 2020 год</t>
  </si>
  <si>
    <t>Распределение бюджетных ассигнований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 на плановый период 2021-2022 годов</t>
  </si>
  <si>
    <t>Ведомственная  структура расходов бюджета Омсукчанского городского округа на плановый период 2021-2022 годов</t>
  </si>
  <si>
    <t xml:space="preserve"> Распределение бюджетных ассигнований, направляемых на реализацию муниципальных программ  Омсукчанского городского округа на 2020 год</t>
  </si>
  <si>
    <t xml:space="preserve"> Распределение бюджетных ассигнований, направляемых на реализацию муниципальных программ   Омсукчанского городского округа  на  плановый период 2021-2022 годов</t>
  </si>
  <si>
    <t>Распределения ассигнований, направляемых на исполнение публичных нормативных обязательств на 2020 год</t>
  </si>
  <si>
    <t>Распределения ассигнований, направляемых на исполнение публичных нормативных обязательств на плановый период 2021-2022 годов</t>
  </si>
  <si>
    <t>Муниципальная программа "Комплексное развитие  систем коммунальной инфраструктуры Омсукчанского городского округа на 2019-2023 годы"</t>
  </si>
  <si>
    <t>Резервные средства</t>
  </si>
  <si>
    <t>02 0 02 99999</t>
  </si>
  <si>
    <t>870</t>
  </si>
  <si>
    <t>51 7 04 01920</t>
  </si>
  <si>
    <t>Дотации бюджетам городских округов на выравнивание бюджетной обеспеченности из бюджета субъекта Российской Федерации</t>
  </si>
  <si>
    <t>70 0 00 00000</t>
  </si>
  <si>
    <t>Муниципальная программа "Чистая вода Омсукчанского городского округа" на 2020-2024 годы"</t>
  </si>
  <si>
    <t>Основное мероприятие "Проведение ремонта водозабора в п.Дукат"</t>
  </si>
  <si>
    <t>70 0 02 00000</t>
  </si>
  <si>
    <t>70 0 02 01270</t>
  </si>
  <si>
    <t>Мероприятия в области коммунального хазяйства</t>
  </si>
  <si>
    <t>02 0 02 01070</t>
  </si>
  <si>
    <t>Проведение выборов</t>
  </si>
  <si>
    <t>Мероприятия по реставрации редких национальных экспонатов-костюмов,украшений</t>
  </si>
  <si>
    <t>Субвенции бюджетам городских округов на осуществление государственных полномочий по организации мероприятий при осуществлении деятельности по обращению с животными  без владельцев</t>
  </si>
  <si>
    <t>Муниципальная программа "Профилактика экстремизма и терроризма на территории Омсукчанского городского округа на 2017-2021 годы"</t>
  </si>
  <si>
    <t>2 02 25519 04 0000 150</t>
  </si>
  <si>
    <t>Субсидия бюджетам городских округов на поддержку отрасли культуры</t>
  </si>
  <si>
    <t>2 02 25519 00 0000 150</t>
  </si>
  <si>
    <t>2 02 25497 04 0000 150</t>
  </si>
  <si>
    <t>2 02 25497 00 0000 150</t>
  </si>
  <si>
    <t>Субсидия бюджетам  на поддержку отрасли культуры</t>
  </si>
  <si>
    <t>Субсидии бюджетам городских округов на частичное возмещение расходов по присмотру и уходу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в рамках государственной программы  Магаданской области "Социально-экономическое и культурное развитие коренных малочисленных народов Севера, проживающих на территории Магаданской области"</t>
  </si>
  <si>
    <t xml:space="preserve">Субсидии бюджетам городских округов на укрепление материально-технической базы муниципальных предприятий, муниципальных сельскохозяйственных предприятий, крестьянско-фермерских хозяйств, территориально соседских общин, родовых общин коренных малочисленных народов Севера, занятых традиционным природопользованием в рамках государственной программы Магаданской области «Социально-экономическое и культурное развитие коренных малочисленных народов Севера, проживающих на территории Магаданской области»  </t>
  </si>
  <si>
    <t>2 02 25169 04 0000 150</t>
  </si>
  <si>
    <t>2 02 25169 00 0000 150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</si>
  <si>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</si>
  <si>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 на обновление материально-технической базы для формирования у обучающихся современных технологических и гуманитарных навыков</t>
  </si>
  <si>
    <t>2 02 25467 00 0000 150</t>
  </si>
  <si>
    <t>2 02 25467 04 0000 150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</si>
  <si>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</si>
  <si>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</si>
  <si>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Субвенции бюджетам городских округов   на  обеспечение осуществления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Магаданской области"  государственной программы Магаданской области "Развитие образования в Магаданской области"  </t>
  </si>
  <si>
    <t>Субвенции бюджетам городских округов на проведение Всероссийской переписи населения 2020 года</t>
  </si>
  <si>
    <t>2 02 35469 00 0000 150</t>
  </si>
  <si>
    <t>2 02 35469 04 0000 150</t>
  </si>
  <si>
    <t>Субвенции бюджетам на проведение Всероссийской переписи населения 2020 года</t>
  </si>
  <si>
    <t xml:space="preserve">Субвенции бюджетам городских округов на  осуществление государственных полномочий по обеспечению отдельных категорий граждан жилыми помещениями в рамках подпрограммы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Магаданской области" государственной программы Магаданской области "Развитие образования в Магаданской области"  </t>
  </si>
  <si>
    <t xml:space="preserve">Субсидии бюджетам городских округов на расселение неблагоприятных для проживания населенных пунктов Магаданской области, на территории которых отсутствуют общеобразовательные учреждения государственной программы Магаданской области «Обеспечение качественными жилищно-коммунальными услугами и комфортными условиями проживания населения Магаданской области» </t>
  </si>
  <si>
    <t>2 02 35120 00 0000 150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</si>
  <si>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</si>
  <si>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</si>
  <si>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52 2 04 00000</t>
  </si>
  <si>
    <t xml:space="preserve">Частичное возмещение расходов по присмотру и уходу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</t>
  </si>
  <si>
    <t>Основное мероприятие "Присмотр и уход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Севера"</t>
  </si>
  <si>
    <t>52 2 04 73420</t>
  </si>
  <si>
    <t>52 2 04 S3420</t>
  </si>
  <si>
    <t>Основное мероприятие "Развитие и укрепление материально-технической базы домов культуры"</t>
  </si>
  <si>
    <t>58 1 05 00000</t>
  </si>
  <si>
    <t>Развитие и укрепление материально-технической базы домов культуры в населенных пунктах с числом жителей до 50 тысяч человек</t>
  </si>
  <si>
    <t>58 1 05 L4670</t>
  </si>
  <si>
    <t>01 0 03 74180</t>
  </si>
  <si>
    <t>Осуществление государственных полномочий Российской Федерации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</si>
  <si>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01 0 03 74100</t>
  </si>
  <si>
    <t>Осуществление государтсвенных полномочий по обеспечению отдельных категорий граждан жилыми помещениями</t>
  </si>
  <si>
    <t>52 3 E1 00000</t>
  </si>
  <si>
    <t>52 3 E1 51690</t>
  </si>
  <si>
    <t>Основное мероприятие "Формирование  у обучающихся современных технологических и гуманитарных навыков"</t>
  </si>
  <si>
    <t>01 0 03 54690</t>
  </si>
  <si>
    <t>Осуществление государственных полномочий Российской Федерации по подготовке и проведению Всероссийской переписи населения</t>
  </si>
  <si>
    <t>55 0 01 61070</t>
  </si>
  <si>
    <t>Расходы на расселение неблагоприятных для проживания населенных пунктов Магаанской области, на территории которых отсутствуют общеобразовательные учреждения</t>
  </si>
  <si>
    <t>Муниципальная программа "Профилактика правонарушений и обеспечение общественной безопасности на территории Омсукчанского городского округа" на 2021-2030 годы"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</si>
  <si>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2021-2030 годы"</t>
  </si>
  <si>
    <t>Муниципальная программа "Профилактика экстремизма и терроризма на территории Омсукчанского городского округа на 2021-2030 годы"</t>
  </si>
  <si>
    <t>Муниципальная программа "Развитие муниципальной службы в Омсукчанском городском округе на 2021-2030 годы"</t>
  </si>
  <si>
    <t>Муниципальная программа "Проведение социальной политики в Омсукчанском городском округе" на 2021-2030 г.г.</t>
  </si>
  <si>
    <t>Муниципальная программа "Формирование доступной среды в Омсукчанском городском округе" на 2021-2030 годы"</t>
  </si>
  <si>
    <t>Муниципальная программа "Профилактика экстеремизма и терроризма на территории Омсукчанского городского округа на 2021-2030 годы"</t>
  </si>
  <si>
    <t>Муниципальная программа "Развитие культуры в Омсукчанском городском округе на 2021-2030 г.г."</t>
  </si>
  <si>
    <t>Подпрограмма "Развитие народного творчества и проведение культурного досуга населения в Омсукчанском городском округе на 2021-2030 г.г."</t>
  </si>
  <si>
    <t>Подпрограмма "Развитие библиотечного дела в Омсукчанском городском округе на 2021-2030 г.г."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</si>
  <si>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 на 2021-2025 годы</t>
  </si>
  <si>
    <t>Муниципальная программа "Развитие системы образования в Омсукчанском городском округе  на 2021-2030 г.г."</t>
  </si>
  <si>
    <t>Муниципальная программа "Развитие системы образования в Омсукчанском городском округе на 2021-2030 г.г."</t>
  </si>
  <si>
    <t>Подпрограмма "Развитие массовой физической культуры и спорта в Омсукчанском городском округе на 2021-2030 г.г."</t>
  </si>
  <si>
    <t>Муниципальная программа "Развитие физической культуры и спорта в Омсукчанском городском округе на 2021-2030 г.г."</t>
  </si>
  <si>
    <t>Подпрограмма "Физкультурно-спортивные мероприятия окружного и областного уровней на 2021-2030 годы"</t>
  </si>
  <si>
    <t>Муниципальная программа "Развитие транспортной инфраструктуры  Омсукчанского городского округа" на 2021-2030 годы"</t>
  </si>
  <si>
    <t>Муниципальная программа "Благоустройство территории Омсукчанского городского округа на 2021-2030 годы"</t>
  </si>
  <si>
    <t>Подпрограмма "Санитарное содержание территорий поселений Омсукчанского городского округа на 2021-2030 годы"</t>
  </si>
  <si>
    <t>Муниципальная программа "Развитие муниципальной службы Омсукчанского городского округа на 2021-2030 годы"</t>
  </si>
  <si>
    <t>Муниципальная программа "Развитие торговли на территории Омсукчанского городского округа" на 2021-2030 годы"</t>
  </si>
  <si>
    <t>Муниципальная программа "Развитие малого и среднего предпринимательства в Омсукчанском городском округе" на 2021-2030 г.г."</t>
  </si>
  <si>
    <t>58 1 A1 00000</t>
  </si>
  <si>
    <t>58 1 A1 55190</t>
  </si>
  <si>
    <t>58 1 А1 00000</t>
  </si>
  <si>
    <t>Основное мероприятие "Государственная поддержка отрасли культуры"</t>
  </si>
  <si>
    <t>Подпрограмма "Развитие дополнительного образования детей в области культуры в Омсукчанском городском округе"</t>
  </si>
  <si>
    <t>Подпрограмма "Развитие народного творчества и проведение культурного досуга населения в Омсукчанском городском округе"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</si>
  <si>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 в 2021-2030 годах"</t>
  </si>
  <si>
    <t>Подпрограмма "Развитие массовой физической культуры и спорта в Омсукчанском городском округе"</t>
  </si>
  <si>
    <t>Подпрограмма "Физкультурно-спортивные мероприятия окружного и областного уровней"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</si>
  <si>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</t>
  </si>
  <si>
    <t>Подпрограмма "Санитарное содержание территорий поселений Омсукчанского городского округа"</t>
  </si>
  <si>
    <t>Подпрограмма "Развитие библиотечного дела в Омсукчанском городском округе"</t>
  </si>
  <si>
    <t>Обновление материально- технической базы для формирования  у обучающихся современных технологических и гуманитарных навыков</t>
  </si>
  <si>
    <t xml:space="preserve">Возмещение расходов по присмотру и уходу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</t>
  </si>
  <si>
    <t>Организации отдыха и оздоровление детей в лагерях дневного пребывания</t>
  </si>
  <si>
    <t>Осуществление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</si>
  <si>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Осуществление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</si>
  <si>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>Субсидии муниципальным учреждениям общего образования на выполнение муниципального задания (МБОУ "СОШ п.Омсукчан")</t>
  </si>
  <si>
    <t>Субсидии муниципальным учреждениям общего образования на выполнение муниципального задания ("МБОУ "СОШ п.Дукат")</t>
  </si>
  <si>
    <t>Субсидии муниципальным учреждениям общего образования на выполнение муниципального задания ("МБОУ "ООШ п.Омсукчан")</t>
  </si>
  <si>
    <t>Субсидии муниципальным учреждениям спорта на выполнение муниципального задания ("МБУ "ОСОК п.Омсукчан")</t>
  </si>
  <si>
    <t>Субсидии муниципальным учреждениям спорта на выполнение муниципального задания ("МБУ ФОК "Жемчужина" п.Омсукчан")</t>
  </si>
  <si>
    <t>Субсидии муниципальным учреждениям спорта на выполнение муниципального задания ("МБУ "Спортивная школа п.Омсукчан")</t>
  </si>
  <si>
    <t>Целевые субсидии на присмотр и уход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</si>
  <si>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 xml:space="preserve">Целевые субсидии на присмотр и уход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</t>
  </si>
  <si>
    <t>Государственная поддержка отрасли культуры</t>
  </si>
  <si>
    <t>от 16.12.2019 года № 39</t>
  </si>
  <si>
    <t>Приложение № 3</t>
  </si>
  <si>
    <t>Расходы на расселение неблагоприятных для проживания населенных пунктов Магаданской области, на территории которых отсутствуют общеобразовательные учреждения</t>
  </si>
  <si>
    <t>55 0 01 S1070</t>
  </si>
  <si>
    <t>Субсидии бюджетам городских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</si>
  <si>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2 02 25511 04 0000 150
</t>
  </si>
  <si>
    <t xml:space="preserve">Субсидии бюджетам городских округов на проведение комплексных кадастровых работ в отношении земельных участков, находящихся в государственной и (или) муниципальной собственности, в рамках реализации подпрограммы "Совершенствование системы управления в сфере имущественно-земельных отношений Магаданской области"
на 2019-2024 годы" государственной программы Магаданской
области "Управление государственным имуществом Магаданской
области" на 2019-2024 годы" на плановый период 2021 и 2022 годов
</t>
  </si>
  <si>
    <t>Субсидии бюджетам городских округов субсидий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"Государственная поддержка развития культуры Магаданской области" государственной программы Магаданской области "Развитие культуры и туризма Магаданской области" на 2020 год</t>
  </si>
  <si>
    <t>Субсидии бюджетам городских округов на государственную поддержку отрасли культуры в рамках подпрограммы "Государственная поддержка развития культуры Магаданской области" государственной программы Магаданской области "Развитие культуры и туризма Магаданской области" на плановый период 2021 и 2022 годов</t>
  </si>
  <si>
    <t xml:space="preserve">2 02 25081 00 0000 150
</t>
  </si>
  <si>
    <t xml:space="preserve">2 02 25081 04 0000 150
</t>
  </si>
  <si>
    <t xml:space="preserve">Субсидии бюджетам городских округов на государственную поддержку спортивных организаций, осуществляющих подготовку спортивного резерва для сборных команд Российской Федерации
</t>
  </si>
  <si>
    <t xml:space="preserve">Субсидии бюджетам на государственную поддержку спортивных организаций, осуществляющих подготовку спортивного резерва для сборных команд Российской Федерации
</t>
  </si>
  <si>
    <t>57 1 P5 50810</t>
  </si>
  <si>
    <t>57 1 P5 00000</t>
  </si>
  <si>
    <t>Социальные выплаты для приобретения (строительства) жилья</t>
  </si>
  <si>
    <t>Исполнене судебных актов</t>
  </si>
  <si>
    <t>Основное мероприятие " Поддержка спортивных организаций, осуществляющих подготовку спортивного резерва сборных команд Российской Федерации"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</si>
  <si>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</si>
  <si>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</si>
  <si>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330</t>
  </si>
  <si>
    <t>Публичные нормативные выплаты гражданам несоциального характера</t>
  </si>
  <si>
    <t>Прочие безвозмездные поступления в бюджеты городских округов на реализацию мероприятия  "Модернизация и реконструкция объектов инженерной и  коммунальной инфраструктур в населенных пунктах городских округов, расположенных на территории Магаданской области" программы развития Особой экономической зоны в Магаданской области на 2020 год</t>
  </si>
  <si>
    <t xml:space="preserve"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2014-2024 годы" государственной программы Магаданской области "Развитие образования в Магаданской области" на 2014-2024 годы" </t>
  </si>
  <si>
    <t xml:space="preserve">Субсидии бюджетам городских округов на питание (завтрак или полдник) детей из многодетных семей, обучающихся в общеобразовательных организациях в рамках подпрограммы "Развитие общего образования в Магаданской области" на 2014-2024 годы" государственной программы Магаданской области" Развитие образования в Магаданской области" на 2014-2024 годы" 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</si>
  <si>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2014-2024 годы"</t>
  </si>
  <si>
    <t>Cубсидии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"Повышение качества и доступности дошкольного образования в Магаданской области" на 2014-2024 годы" государственной программы Магаданской области "Развитие образования в Магаданской области" на 2014-2024 годы"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</si>
  <si>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     2014-2024 годы" государственной программы Магаданской области "Развитие образования в Магаданской области" на 2014-2024 годы"</t>
  </si>
  <si>
    <t xml:space="preserve">Субвенции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2014-2024 годы" государственной программы Магаданской области "Развитие образования в Магаданской области" на 2014-2024 годы" 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</si>
  <si>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2014-2024 годы" государственной программы Магаданской области "Развитие образования в Магаданской области" на 2014-2024 годы" 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</si>
  <si>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2014-2024 годы" государственной программы Магаданской области "Развитие образования в Магаданской области" на 2014-2024 годы" </t>
  </si>
  <si>
    <t xml:space="preserve"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на 2014-2024 годы" государственной программы Магаданской области "Развитие образования в Магаданской области" на 2014-2024 годы" 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</si>
  <si>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"Управление развитием отрасли физической культуры и спорта" на 2015-2024 годы" государственной программы Магаданской области "Развитие физической культуры и спорта в Магаданской области" на 2014-2024 годы"</t>
  </si>
  <si>
    <t>Субвенции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подпрограмма "Управление развитием отрасли образования в Магаданской области" на 2014-2024 годы" государственной программы Магаданской области "Развитие образования в Магаданской области" на 2014-2024 годы"</t>
  </si>
  <si>
    <t>Субвенции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</si>
  <si>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>Субвенции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"Управление развитием отрасли физической культуры и спорта" на 2015-2021 годы" государственной программы Магаданской области "Развитие физической культуры и спорта в Магаданской области" на 2014-2021 годы"</t>
  </si>
  <si>
    <t xml:space="preserve">Субсидии бюджетам городских округов на питание детей-инвалидов, обучающихся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</si>
  <si>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02 0 06 01930</t>
  </si>
  <si>
    <t>Модернизация и укрепление материально-технической базы в области физической культуры и спорта</t>
  </si>
  <si>
    <t>Основное мероприятие " Модернизация и укрепление материально-технической базы в области физической культуры и спорта"</t>
  </si>
  <si>
    <t>Целевые субсидии муниципальным учреждениям на модернизацию и укрепление материально-технической базы в области физической культуры и спорта</t>
  </si>
  <si>
    <t xml:space="preserve">57 1 06 00000 </t>
  </si>
  <si>
    <t>57 1 06 S2150</t>
  </si>
  <si>
    <t>57 1 06 Z2150</t>
  </si>
  <si>
    <t>Прочие мероприятия в области национальной экономики</t>
  </si>
  <si>
    <t>02 0 02 01210</t>
  </si>
  <si>
    <t>Приложение № 2</t>
  </si>
  <si>
    <t>Целевые субсидии муниципальным учреждениям на мероприятия по модернизации и укреплению материально-технической базы в области физической культуры и спорта</t>
  </si>
  <si>
    <t>Основное мероприятие "Модернизация и укрепление материально-технической базы в области физической культуры и спорта"</t>
  </si>
  <si>
    <t>Питание детей-инвалидов, обучающихся в общеобразовательных организациях</t>
  </si>
  <si>
    <t>52 3 05 S3443</t>
  </si>
  <si>
    <t>52 3 05 73433</t>
  </si>
  <si>
    <t>52 1 02 74010</t>
  </si>
  <si>
    <t>58 3 05 74010</t>
  </si>
  <si>
    <t>57 1 04 74010</t>
  </si>
  <si>
    <t xml:space="preserve">Субсидии бюджетам городских округов на реализацию мероприятий модернизации и укрепления материально-технической базы в области физической культуры и спорта в рамках подпрограммы "Обеспечение процесса физической подготовки и спорта"  государственной программы Магаданской области "Развитие физической культуры и спорта в Магаданской области"
</t>
  </si>
  <si>
    <t>58 1 04 74010</t>
  </si>
  <si>
    <t>58 2 05 74010</t>
  </si>
  <si>
    <t xml:space="preserve">Поступления доходов  </t>
  </si>
  <si>
    <t>бюджета Омсукчанского городского огруга на 2020 год</t>
  </si>
  <si>
    <t>от 27.04.2020г. № 11</t>
  </si>
  <si>
    <t xml:space="preserve">                                                                                                                             от 27.04.2020г. № 11</t>
  </si>
  <si>
    <t xml:space="preserve">                                                                                                                            к решению СПОГО</t>
  </si>
  <si>
    <t xml:space="preserve">                                                                                                                       Приложение № 1</t>
  </si>
  <si>
    <t xml:space="preserve">Поступления доходов </t>
  </si>
  <si>
    <t>бюджета Омсукчанского городского огруга</t>
  </si>
  <si>
    <t xml:space="preserve">                      от 27.04.2020г. № 11  </t>
  </si>
  <si>
    <t xml:space="preserve">                    к решению СПОГО</t>
  </si>
  <si>
    <t xml:space="preserve">                  Приложение № 1.1</t>
  </si>
  <si>
    <t xml:space="preserve">       от 27.04.2020г. № 11 </t>
  </si>
  <si>
    <t xml:space="preserve">     к решению СПОГО</t>
  </si>
  <si>
    <t xml:space="preserve">               от 27.04.2020г. № 11 </t>
  </si>
  <si>
    <t xml:space="preserve">            к решению СПОГО</t>
  </si>
  <si>
    <t xml:space="preserve">           Приложение № 2.1.</t>
  </si>
  <si>
    <t xml:space="preserve">         от 27.04.2020г. № 11 </t>
  </si>
  <si>
    <t xml:space="preserve">      к решению СПОГО</t>
  </si>
  <si>
    <t xml:space="preserve">      Приложение № 3.1.</t>
  </si>
  <si>
    <t xml:space="preserve">                        от 27.04.2020г. № 11 </t>
  </si>
  <si>
    <t xml:space="preserve">                      к решению СПОГО</t>
  </si>
  <si>
    <t xml:space="preserve">                Приложение № 4</t>
  </si>
  <si>
    <t xml:space="preserve">           от 27.04.2020г. № 11 </t>
  </si>
  <si>
    <t xml:space="preserve">       к решению СПОГО</t>
  </si>
  <si>
    <t xml:space="preserve">       Приложение № 4.1.</t>
  </si>
  <si>
    <t xml:space="preserve">             от 27.04.2020г. № 11</t>
  </si>
  <si>
    <t xml:space="preserve">                                                                                  от 27.04.2020г. № 11</t>
  </si>
  <si>
    <t xml:space="preserve">                                                                                 к решению СПОГО</t>
  </si>
  <si>
    <t xml:space="preserve">                                                                            Приложение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</si>
</sst>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name val="Arial Cyr"/>
      <charset val="204"/>
    </font>
    <font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2" fillId="0" borderId="0"/>
    <xf numFmtId="164" fontId="18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423">
    <xf numFmtId="0" fontId="0" fillId="0" borderId="0" xfId="0"/>
    <xf numFmtId="0" fontId="0" fillId="0" borderId="0" xfId="0" applyFill="1"/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4" fillId="0" borderId="0" xfId="0" applyFont="1"/>
    <xf numFmtId="0" fontId="5" fillId="0" borderId="0" xfId="1" applyFont="1" applyFill="1" applyAlignment="1">
      <alignment horizont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3" fontId="4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/>
    </xf>
    <xf numFmtId="165" fontId="5" fillId="0" borderId="2" xfId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5" fillId="0" borderId="2" xfId="1" applyFont="1" applyFill="1" applyBorder="1" applyAlignment="1">
      <alignment vertical="center" wrapText="1"/>
    </xf>
    <xf numFmtId="49" fontId="5" fillId="0" borderId="2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/>
    </xf>
    <xf numFmtId="165" fontId="4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4" fillId="0" borderId="0" xfId="1" applyFont="1" applyFill="1" applyAlignment="1">
      <alignment vertical="center" wrapText="1"/>
    </xf>
    <xf numFmtId="0" fontId="4" fillId="0" borderId="2" xfId="1" applyFont="1" applyFill="1" applyBorder="1" applyAlignment="1">
      <alignment horizontal="justify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4" fillId="0" borderId="11" xfId="1" applyFont="1" applyFill="1" applyBorder="1" applyAlignment="1">
      <alignment horizontal="justify" vertical="center" wrapText="1"/>
    </xf>
    <xf numFmtId="0" fontId="5" fillId="0" borderId="2" xfId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/>
    </xf>
    <xf numFmtId="1" fontId="5" fillId="0" borderId="2" xfId="1" applyNumberFormat="1" applyFont="1" applyFill="1" applyBorder="1" applyAlignment="1">
      <alignment vertical="center" wrapText="1"/>
    </xf>
    <xf numFmtId="165" fontId="15" fillId="0" borderId="2" xfId="1" applyNumberFormat="1" applyFont="1" applyFill="1" applyBorder="1" applyAlignment="1">
      <alignment horizontal="center"/>
    </xf>
    <xf numFmtId="0" fontId="12" fillId="0" borderId="0" xfId="1" applyFill="1"/>
    <xf numFmtId="0" fontId="11" fillId="0" borderId="0" xfId="1" applyFont="1" applyFill="1"/>
    <xf numFmtId="4" fontId="16" fillId="0" borderId="0" xfId="1" applyNumberFormat="1" applyFont="1" applyFill="1" applyAlignment="1">
      <alignment horizontal="center"/>
    </xf>
    <xf numFmtId="0" fontId="11" fillId="0" borderId="0" xfId="1" applyFont="1" applyFill="1" applyAlignment="1"/>
    <xf numFmtId="1" fontId="11" fillId="0" borderId="0" xfId="1" applyNumberFormat="1" applyFont="1" applyFill="1"/>
    <xf numFmtId="2" fontId="11" fillId="0" borderId="0" xfId="1" applyNumberFormat="1" applyFont="1" applyFill="1"/>
    <xf numFmtId="0" fontId="12" fillId="0" borderId="0" xfId="0" applyFont="1" applyFill="1"/>
    <xf numFmtId="0" fontId="4" fillId="0" borderId="0" xfId="1" applyFont="1" applyFill="1"/>
    <xf numFmtId="0" fontId="5" fillId="0" borderId="2" xfId="0" applyFont="1" applyFill="1" applyBorder="1" applyAlignment="1">
      <alignment horizontal="left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" fontId="5" fillId="0" borderId="2" xfId="0" applyNumberFormat="1" applyFont="1" applyFill="1" applyBorder="1" applyAlignment="1">
      <alignment vertical="center" wrapText="1"/>
    </xf>
    <xf numFmtId="0" fontId="4" fillId="0" borderId="0" xfId="0" applyFont="1" applyFill="1"/>
    <xf numFmtId="0" fontId="11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7" fillId="0" borderId="2" xfId="0" applyFont="1" applyFill="1" applyBorder="1"/>
    <xf numFmtId="0" fontId="5" fillId="0" borderId="2" xfId="0" applyFont="1" applyFill="1" applyBorder="1"/>
    <xf numFmtId="0" fontId="4" fillId="0" borderId="2" xfId="0" applyFont="1" applyFill="1" applyBorder="1"/>
    <xf numFmtId="2" fontId="4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15" fillId="0" borderId="2" xfId="0" applyFont="1" applyFill="1" applyBorder="1"/>
    <xf numFmtId="0" fontId="5" fillId="0" borderId="2" xfId="0" applyFont="1" applyBorder="1"/>
    <xf numFmtId="0" fontId="20" fillId="0" borderId="2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22" fillId="0" borderId="1" xfId="0" applyFont="1" applyBorder="1" applyAlignment="1">
      <alignment horizontal="right"/>
    </xf>
    <xf numFmtId="0" fontId="23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vertical="center"/>
    </xf>
    <xf numFmtId="165" fontId="5" fillId="4" borderId="2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left" vertical="center"/>
    </xf>
    <xf numFmtId="0" fontId="4" fillId="4" borderId="2" xfId="1" applyFont="1" applyFill="1" applyBorder="1" applyAlignment="1">
      <alignment vertical="center" wrapText="1"/>
    </xf>
    <xf numFmtId="0" fontId="5" fillId="4" borderId="2" xfId="1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Alignment="1">
      <alignment horizontal="center"/>
    </xf>
    <xf numFmtId="0" fontId="16" fillId="0" borderId="0" xfId="1" applyFont="1" applyFill="1" applyAlignment="1">
      <alignment horizontal="center"/>
    </xf>
    <xf numFmtId="165" fontId="11" fillId="0" borderId="0" xfId="1" applyNumberFormat="1" applyFont="1" applyFill="1"/>
    <xf numFmtId="2" fontId="17" fillId="0" borderId="0" xfId="1" applyNumberFormat="1" applyFont="1" applyFill="1"/>
    <xf numFmtId="2" fontId="0" fillId="0" borderId="0" xfId="0" applyNumberFormat="1" applyFill="1"/>
    <xf numFmtId="49" fontId="4" fillId="0" borderId="15" xfId="1" applyNumberFormat="1" applyFont="1" applyFill="1" applyBorder="1" applyAlignment="1">
      <alignment horizontal="center" vertical="center"/>
    </xf>
    <xf numFmtId="0" fontId="0" fillId="0" borderId="0" xfId="0" applyBorder="1"/>
    <xf numFmtId="49" fontId="4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/>
    <xf numFmtId="49" fontId="25" fillId="0" borderId="2" xfId="1" applyNumberFormat="1" applyFont="1" applyFill="1" applyBorder="1" applyAlignment="1">
      <alignment horizontal="center" vertical="center"/>
    </xf>
    <xf numFmtId="49" fontId="24" fillId="0" borderId="15" xfId="1" applyNumberFormat="1" applyFont="1" applyFill="1" applyBorder="1" applyAlignment="1">
      <alignment horizontal="center" vertical="center"/>
    </xf>
    <xf numFmtId="0" fontId="0" fillId="0" borderId="0" xfId="0" applyFont="1" applyFill="1"/>
    <xf numFmtId="49" fontId="4" fillId="0" borderId="15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12" fillId="0" borderId="0" xfId="0" applyFont="1" applyFill="1" applyBorder="1"/>
    <xf numFmtId="165" fontId="0" fillId="0" borderId="0" xfId="0" applyNumberFormat="1" applyFill="1"/>
    <xf numFmtId="0" fontId="24" fillId="0" borderId="0" xfId="0" applyFont="1" applyFill="1" applyBorder="1" applyAlignment="1">
      <alignment horizontal="right" vertical="center" wrapText="1"/>
    </xf>
    <xf numFmtId="4" fontId="0" fillId="0" borderId="0" xfId="0" applyNumberFormat="1" applyFill="1" applyBorder="1"/>
    <xf numFmtId="2" fontId="0" fillId="0" borderId="0" xfId="0" applyNumberFormat="1" applyFill="1" applyBorder="1"/>
    <xf numFmtId="49" fontId="4" fillId="0" borderId="15" xfId="1" applyNumberFormat="1" applyFont="1" applyFill="1" applyBorder="1" applyAlignment="1">
      <alignment horizontal="left" vertical="center"/>
    </xf>
    <xf numFmtId="165" fontId="5" fillId="0" borderId="2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5" borderId="0" xfId="0" applyFill="1" applyBorder="1"/>
    <xf numFmtId="0" fontId="12" fillId="5" borderId="0" xfId="0" applyFont="1" applyFill="1" applyBorder="1"/>
    <xf numFmtId="0" fontId="28" fillId="5" borderId="0" xfId="0" applyFont="1" applyFill="1" applyBorder="1" applyAlignment="1">
      <alignment horizontal="center" vertical="center"/>
    </xf>
    <xf numFmtId="49" fontId="14" fillId="0" borderId="2" xfId="0" applyNumberFormat="1" applyFont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NumberFormat="1" applyFill="1"/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/>
    <xf numFmtId="0" fontId="6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left" vertical="top"/>
    </xf>
    <xf numFmtId="0" fontId="5" fillId="0" borderId="2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horizontal="justify" vertical="top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vertical="top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left" vertical="top" wrapText="1"/>
    </xf>
    <xf numFmtId="0" fontId="5" fillId="0" borderId="3" xfId="0" applyNumberFormat="1" applyFont="1" applyFill="1" applyBorder="1" applyAlignment="1">
      <alignment vertical="center" wrapText="1"/>
    </xf>
    <xf numFmtId="0" fontId="0" fillId="0" borderId="0" xfId="0" applyNumberFormat="1" applyFont="1" applyFill="1"/>
    <xf numFmtId="0" fontId="4" fillId="0" borderId="0" xfId="0" applyNumberFormat="1" applyFont="1" applyFill="1" applyAlignment="1">
      <alignment horizontal="left" vertical="top" wrapText="1"/>
    </xf>
    <xf numFmtId="0" fontId="4" fillId="0" borderId="2" xfId="0" applyNumberFormat="1" applyFont="1" applyFill="1" applyBorder="1" applyAlignment="1">
      <alignment horizontal="left" vertical="top" wrapText="1"/>
    </xf>
    <xf numFmtId="0" fontId="26" fillId="0" borderId="0" xfId="0" applyNumberFormat="1" applyFont="1" applyFill="1"/>
    <xf numFmtId="0" fontId="10" fillId="0" borderId="3" xfId="0" applyNumberFormat="1" applyFont="1" applyFill="1" applyBorder="1" applyAlignment="1">
      <alignment horizontal="left" vertical="top" wrapText="1"/>
    </xf>
    <xf numFmtId="0" fontId="4" fillId="0" borderId="12" xfId="0" applyNumberFormat="1" applyFont="1" applyFill="1" applyBorder="1" applyAlignment="1">
      <alignment horizontal="left" vertical="top" wrapText="1"/>
    </xf>
    <xf numFmtId="0" fontId="16" fillId="0" borderId="0" xfId="0" applyNumberFormat="1" applyFont="1" applyFill="1" applyAlignment="1">
      <alignment horizontal="left"/>
    </xf>
    <xf numFmtId="165" fontId="4" fillId="6" borderId="2" xfId="1" applyNumberFormat="1" applyFont="1" applyFill="1" applyBorder="1" applyAlignment="1">
      <alignment horizontal="center" vertical="center"/>
    </xf>
    <xf numFmtId="49" fontId="4" fillId="0" borderId="9" xfId="1" applyNumberFormat="1" applyFont="1" applyFill="1" applyBorder="1" applyAlignment="1">
      <alignment horizontal="center" vertical="center"/>
    </xf>
    <xf numFmtId="165" fontId="4" fillId="6" borderId="2" xfId="1" applyNumberFormat="1" applyFont="1" applyFill="1" applyBorder="1" applyAlignment="1">
      <alignment horizontal="center" vertical="center" wrapText="1"/>
    </xf>
    <xf numFmtId="165" fontId="4" fillId="6" borderId="8" xfId="1" applyNumberFormat="1" applyFont="1" applyFill="1" applyBorder="1" applyAlignment="1" applyProtection="1">
      <alignment horizontal="center" vertical="center" shrinkToFit="1"/>
      <protection locked="0"/>
    </xf>
    <xf numFmtId="165" fontId="4" fillId="6" borderId="2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165" fontId="4" fillId="7" borderId="2" xfId="1" applyNumberFormat="1" applyFont="1" applyFill="1" applyBorder="1" applyAlignment="1">
      <alignment horizontal="center" vertical="center" wrapText="1"/>
    </xf>
    <xf numFmtId="165" fontId="4" fillId="8" borderId="2" xfId="1" applyNumberFormat="1" applyFont="1" applyFill="1" applyBorder="1" applyAlignment="1">
      <alignment horizontal="center" vertical="center"/>
    </xf>
    <xf numFmtId="0" fontId="4" fillId="7" borderId="2" xfId="1" applyFont="1" applyFill="1" applyBorder="1" applyAlignment="1">
      <alignment vertical="center" wrapText="1"/>
    </xf>
    <xf numFmtId="49" fontId="4" fillId="0" borderId="9" xfId="1" applyNumberFormat="1" applyFont="1" applyFill="1" applyBorder="1" applyAlignment="1">
      <alignment horizontal="left" vertical="center"/>
    </xf>
    <xf numFmtId="165" fontId="4" fillId="7" borderId="2" xfId="1" applyNumberFormat="1" applyFont="1" applyFill="1" applyBorder="1" applyAlignment="1">
      <alignment horizontal="center" vertical="center"/>
    </xf>
    <xf numFmtId="165" fontId="4" fillId="7" borderId="2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right" vertical="top" wrapText="1"/>
    </xf>
    <xf numFmtId="49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49" fontId="29" fillId="0" borderId="0" xfId="1" applyNumberFormat="1" applyFont="1" applyFill="1" applyBorder="1" applyAlignment="1">
      <alignment horizontal="center" vertical="center"/>
    </xf>
    <xf numFmtId="49" fontId="29" fillId="0" borderId="15" xfId="1" applyNumberFormat="1" applyFont="1" applyFill="1" applyBorder="1" applyAlignment="1">
      <alignment horizontal="center" vertical="center"/>
    </xf>
    <xf numFmtId="0" fontId="30" fillId="9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1" fillId="0" borderId="0" xfId="0" applyFont="1" applyFill="1"/>
    <xf numFmtId="0" fontId="4" fillId="0" borderId="2" xfId="0" applyFont="1" applyFill="1" applyBorder="1" applyAlignment="1">
      <alignment horizontal="left" vertical="top" wrapText="1"/>
    </xf>
    <xf numFmtId="165" fontId="31" fillId="0" borderId="0" xfId="0" applyNumberFormat="1" applyFont="1" applyFill="1"/>
    <xf numFmtId="0" fontId="24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49" fontId="22" fillId="0" borderId="2" xfId="1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left" vertical="top" wrapText="1"/>
    </xf>
    <xf numFmtId="165" fontId="15" fillId="0" borderId="2" xfId="0" applyNumberFormat="1" applyFont="1" applyFill="1" applyBorder="1" applyAlignment="1">
      <alignment horizontal="center" vertical="center"/>
    </xf>
    <xf numFmtId="165" fontId="16" fillId="0" borderId="2" xfId="0" applyNumberFormat="1" applyFont="1" applyFill="1" applyBorder="1" applyAlignment="1">
      <alignment horizontal="center" vertical="center"/>
    </xf>
    <xf numFmtId="165" fontId="16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32" fillId="0" borderId="0" xfId="0" applyFont="1" applyAlignment="1">
      <alignment horizontal="center"/>
    </xf>
    <xf numFmtId="0" fontId="32" fillId="0" borderId="0" xfId="0" applyFont="1" applyFill="1" applyAlignment="1">
      <alignment horizontal="center"/>
    </xf>
    <xf numFmtId="165" fontId="4" fillId="0" borderId="15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vertical="top" wrapText="1"/>
    </xf>
    <xf numFmtId="0" fontId="35" fillId="0" borderId="0" xfId="0" applyFont="1"/>
    <xf numFmtId="0" fontId="16" fillId="0" borderId="0" xfId="0" applyNumberFormat="1" applyFont="1" applyFill="1" applyAlignment="1">
      <alignment horizontal="right"/>
    </xf>
    <xf numFmtId="0" fontId="4" fillId="0" borderId="3" xfId="1" applyNumberFormat="1" applyFont="1" applyFill="1" applyBorder="1" applyAlignment="1">
      <alignment horizontal="left" vertical="top" wrapText="1"/>
    </xf>
    <xf numFmtId="49" fontId="5" fillId="0" borderId="2" xfId="1" applyNumberFormat="1" applyFont="1" applyFill="1" applyBorder="1" applyAlignment="1">
      <alignment horizontal="left" vertical="center" wrapText="1"/>
    </xf>
    <xf numFmtId="165" fontId="15" fillId="0" borderId="11" xfId="0" applyNumberFormat="1" applyFont="1" applyFill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left" vertical="top" wrapText="1"/>
    </xf>
    <xf numFmtId="0" fontId="12" fillId="0" borderId="0" xfId="1" applyNumberFormat="1" applyFill="1"/>
    <xf numFmtId="49" fontId="4" fillId="0" borderId="2" xfId="1" applyNumberFormat="1" applyFont="1" applyFill="1" applyBorder="1" applyAlignment="1">
      <alignment horizontal="left" vertical="center" wrapText="1"/>
    </xf>
    <xf numFmtId="0" fontId="35" fillId="0" borderId="0" xfId="0" applyNumberFormat="1" applyFont="1" applyFill="1"/>
    <xf numFmtId="165" fontId="35" fillId="0" borderId="0" xfId="0" applyNumberFormat="1" applyFont="1" applyFill="1"/>
    <xf numFmtId="0" fontId="36" fillId="0" borderId="0" xfId="0" applyNumberFormat="1" applyFont="1" applyFill="1"/>
    <xf numFmtId="0" fontId="0" fillId="2" borderId="0" xfId="0" applyFill="1"/>
    <xf numFmtId="0" fontId="5" fillId="0" borderId="2" xfId="0" applyFont="1" applyFill="1" applyBorder="1" applyAlignment="1">
      <alignment horizontal="center" vertical="center" wrapText="1"/>
    </xf>
    <xf numFmtId="165" fontId="0" fillId="0" borderId="0" xfId="0" applyNumberFormat="1" applyFont="1" applyFill="1"/>
    <xf numFmtId="0" fontId="13" fillId="0" borderId="2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65" fontId="15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16" fillId="0" borderId="0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0" fillId="0" borderId="0" xfId="0" applyFont="1" applyFill="1"/>
    <xf numFmtId="0" fontId="35" fillId="0" borderId="0" xfId="0" applyFont="1" applyFill="1"/>
    <xf numFmtId="0" fontId="0" fillId="0" borderId="0" xfId="0" applyNumberFormat="1" applyFill="1" applyAlignment="1">
      <alignment horizontal="center" vertical="center"/>
    </xf>
    <xf numFmtId="165" fontId="0" fillId="2" borderId="0" xfId="0" applyNumberFormat="1" applyFill="1"/>
    <xf numFmtId="0" fontId="12" fillId="2" borderId="0" xfId="1" applyFill="1"/>
    <xf numFmtId="0" fontId="11" fillId="2" borderId="0" xfId="1" applyFont="1" applyFill="1"/>
    <xf numFmtId="4" fontId="16" fillId="2" borderId="0" xfId="1" applyNumberFormat="1" applyFont="1" applyFill="1" applyAlignment="1">
      <alignment horizontal="center"/>
    </xf>
    <xf numFmtId="2" fontId="0" fillId="2" borderId="0" xfId="0" applyNumberFormat="1" applyFill="1"/>
    <xf numFmtId="165" fontId="11" fillId="2" borderId="0" xfId="1" applyNumberFormat="1" applyFont="1" applyFill="1"/>
    <xf numFmtId="4" fontId="11" fillId="2" borderId="0" xfId="1" applyNumberFormat="1" applyFont="1" applyFill="1"/>
    <xf numFmtId="2" fontId="11" fillId="2" borderId="0" xfId="1" applyNumberFormat="1" applyFont="1" applyFill="1"/>
    <xf numFmtId="2" fontId="17" fillId="2" borderId="0" xfId="1" applyNumberFormat="1" applyFont="1" applyFill="1"/>
    <xf numFmtId="165" fontId="14" fillId="0" borderId="2" xfId="1" applyNumberFormat="1" applyFont="1" applyFill="1" applyBorder="1" applyAlignment="1">
      <alignment horizontal="center" vertical="center" wrapText="1"/>
    </xf>
    <xf numFmtId="165" fontId="12" fillId="2" borderId="0" xfId="1" applyNumberFormat="1" applyFill="1"/>
    <xf numFmtId="0" fontId="39" fillId="0" borderId="2" xfId="0" applyFont="1" applyFill="1" applyBorder="1" applyAlignment="1">
      <alignment horizontal="left" vertical="center" wrapText="1"/>
    </xf>
    <xf numFmtId="0" fontId="39" fillId="0" borderId="3" xfId="0" applyFont="1" applyFill="1" applyBorder="1" applyAlignment="1">
      <alignment horizontal="left" vertical="center" wrapText="1"/>
    </xf>
    <xf numFmtId="0" fontId="37" fillId="0" borderId="2" xfId="0" applyFont="1" applyFill="1" applyBorder="1" applyAlignment="1">
      <alignment horizontal="left" vertical="top" wrapText="1"/>
    </xf>
    <xf numFmtId="0" fontId="37" fillId="0" borderId="3" xfId="0" applyFont="1" applyFill="1" applyBorder="1" applyAlignment="1">
      <alignment horizontal="justify" vertical="center" wrapText="1"/>
    </xf>
    <xf numFmtId="0" fontId="5" fillId="0" borderId="2" xfId="1" applyFont="1" applyFill="1" applyBorder="1" applyAlignment="1">
      <alignment vertical="top" wrapText="1"/>
    </xf>
    <xf numFmtId="0" fontId="37" fillId="0" borderId="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9" xfId="1" applyFont="1" applyFill="1" applyBorder="1" applyAlignment="1">
      <alignment vertical="center" wrapText="1"/>
    </xf>
    <xf numFmtId="0" fontId="5" fillId="0" borderId="13" xfId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top" wrapText="1"/>
    </xf>
    <xf numFmtId="0" fontId="37" fillId="0" borderId="2" xfId="0" applyFont="1" applyFill="1" applyBorder="1" applyAlignment="1">
      <alignment horizontal="left" vertical="center" wrapText="1"/>
    </xf>
    <xf numFmtId="0" fontId="5" fillId="0" borderId="13" xfId="1" applyFont="1" applyFill="1" applyBorder="1" applyAlignment="1">
      <alignment horizontal="left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0" fontId="19" fillId="0" borderId="2" xfId="0" applyFont="1" applyFill="1" applyBorder="1"/>
    <xf numFmtId="0" fontId="14" fillId="0" borderId="3" xfId="0" applyFont="1" applyFill="1" applyBorder="1" applyAlignment="1">
      <alignment horizontal="left" vertical="center" wrapText="1"/>
    </xf>
    <xf numFmtId="2" fontId="0" fillId="0" borderId="0" xfId="0" applyNumberFormat="1"/>
    <xf numFmtId="0" fontId="4" fillId="3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left" vertical="center" wrapText="1"/>
    </xf>
    <xf numFmtId="165" fontId="4" fillId="4" borderId="2" xfId="1" applyNumberFormat="1" applyFont="1" applyFill="1" applyBorder="1" applyAlignment="1">
      <alignment horizontal="center" vertical="center"/>
    </xf>
    <xf numFmtId="166" fontId="14" fillId="0" borderId="2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4" fontId="0" fillId="0" borderId="0" xfId="0" applyNumberFormat="1" applyFill="1"/>
    <xf numFmtId="165" fontId="16" fillId="10" borderId="0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vertical="center" wrapText="1"/>
    </xf>
    <xf numFmtId="4" fontId="0" fillId="0" borderId="0" xfId="0" applyNumberFormat="1"/>
    <xf numFmtId="4" fontId="19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3" xfId="0" applyNumberFormat="1" applyFont="1" applyFill="1" applyBorder="1" applyAlignment="1">
      <alignment vertical="center" wrapText="1"/>
    </xf>
    <xf numFmtId="0" fontId="19" fillId="0" borderId="0" xfId="0" applyFont="1" applyFill="1" applyAlignment="1">
      <alignment horizontal="center" wrapText="1"/>
    </xf>
    <xf numFmtId="0" fontId="21" fillId="0" borderId="2" xfId="0" applyFont="1" applyFill="1" applyBorder="1"/>
    <xf numFmtId="0" fontId="5" fillId="0" borderId="8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37" fillId="0" borderId="3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5" fillId="0" borderId="0" xfId="3" applyFont="1" applyFill="1" applyAlignment="1">
      <alignment horizontal="left" vertical="center" wrapText="1"/>
    </xf>
    <xf numFmtId="0" fontId="4" fillId="0" borderId="2" xfId="3" applyFont="1" applyFill="1" applyBorder="1" applyAlignment="1">
      <alignment horizontal="left" vertical="center" wrapText="1"/>
    </xf>
    <xf numFmtId="0" fontId="5" fillId="0" borderId="2" xfId="3" applyFont="1" applyFill="1" applyBorder="1" applyAlignment="1">
      <alignment horizontal="left" vertical="center" wrapText="1"/>
    </xf>
    <xf numFmtId="0" fontId="4" fillId="0" borderId="0" xfId="3" applyFont="1" applyFill="1" applyAlignment="1">
      <alignment horizontal="left" vertical="center" wrapText="1"/>
    </xf>
    <xf numFmtId="0" fontId="38" fillId="0" borderId="3" xfId="0" applyFont="1" applyFill="1" applyBorder="1" applyAlignment="1">
      <alignment horizontal="right" wrapText="1"/>
    </xf>
    <xf numFmtId="0" fontId="5" fillId="0" borderId="0" xfId="1" applyFont="1" applyFill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5" fillId="0" borderId="8" xfId="1" applyFont="1" applyFill="1" applyBorder="1" applyAlignment="1">
      <alignment vertical="center" wrapText="1"/>
    </xf>
    <xf numFmtId="0" fontId="4" fillId="0" borderId="11" xfId="1" applyFont="1" applyFill="1" applyBorder="1" applyAlignment="1">
      <alignment vertical="center" wrapText="1"/>
    </xf>
    <xf numFmtId="165" fontId="4" fillId="0" borderId="8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13" xfId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justify" vertical="center" wrapText="1"/>
    </xf>
    <xf numFmtId="0" fontId="0" fillId="7" borderId="0" xfId="0" applyFill="1"/>
    <xf numFmtId="2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39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vertical="center" wrapText="1"/>
    </xf>
    <xf numFmtId="0" fontId="39" fillId="0" borderId="2" xfId="0" applyFont="1" applyBorder="1" applyAlignment="1">
      <alignment vertical="center"/>
    </xf>
    <xf numFmtId="165" fontId="15" fillId="0" borderId="8" xfId="0" applyNumberFormat="1" applyFont="1" applyFill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Fill="1"/>
    <xf numFmtId="2" fontId="35" fillId="0" borderId="0" xfId="0" applyNumberFormat="1" applyFont="1" applyFill="1"/>
    <xf numFmtId="2" fontId="0" fillId="0" borderId="0" xfId="0" applyNumberFormat="1" applyFill="1" applyAlignment="1">
      <alignment vertical="center"/>
    </xf>
    <xf numFmtId="2" fontId="26" fillId="0" borderId="0" xfId="0" applyNumberFormat="1" applyFont="1" applyFill="1"/>
    <xf numFmtId="2" fontId="3" fillId="0" borderId="0" xfId="0" applyNumberFormat="1" applyFont="1" applyFill="1" applyAlignment="1">
      <alignment vertical="center"/>
    </xf>
    <xf numFmtId="2" fontId="12" fillId="0" borderId="0" xfId="1" applyNumberFormat="1" applyFill="1"/>
    <xf numFmtId="2" fontId="16" fillId="0" borderId="0" xfId="0" applyNumberFormat="1" applyFont="1" applyFill="1" applyBorder="1" applyAlignment="1">
      <alignment horizontal="center" vertical="center"/>
    </xf>
    <xf numFmtId="2" fontId="42" fillId="0" borderId="0" xfId="0" applyNumberFormat="1" applyFont="1" applyFill="1" applyBorder="1" applyAlignment="1">
      <alignment wrapText="1"/>
    </xf>
    <xf numFmtId="2" fontId="16" fillId="1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/>
    <xf numFmtId="0" fontId="39" fillId="0" borderId="2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165" fontId="16" fillId="0" borderId="8" xfId="0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 wrapText="1"/>
    </xf>
    <xf numFmtId="165" fontId="5" fillId="0" borderId="2" xfId="1" applyNumberFormat="1" applyFont="1" applyFill="1" applyBorder="1" applyAlignment="1">
      <alignment horizontal="center"/>
    </xf>
    <xf numFmtId="165" fontId="16" fillId="0" borderId="2" xfId="1" applyNumberFormat="1" applyFont="1" applyFill="1" applyBorder="1" applyAlignment="1">
      <alignment horizontal="center" vertical="center"/>
    </xf>
    <xf numFmtId="165" fontId="16" fillId="0" borderId="8" xfId="0" applyNumberFormat="1" applyFont="1" applyFill="1" applyBorder="1" applyAlignment="1">
      <alignment horizontal="center" vertical="center" wrapText="1"/>
    </xf>
    <xf numFmtId="165" fontId="16" fillId="0" borderId="2" xfId="0" applyNumberFormat="1" applyFont="1" applyFill="1" applyBorder="1" applyAlignment="1">
      <alignment horizontal="center" vertical="center" wrapText="1"/>
    </xf>
    <xf numFmtId="165" fontId="34" fillId="0" borderId="2" xfId="0" applyNumberFormat="1" applyFont="1" applyFill="1" applyBorder="1" applyAlignment="1">
      <alignment horizontal="center" vertical="center" wrapText="1"/>
    </xf>
    <xf numFmtId="165" fontId="34" fillId="0" borderId="2" xfId="0" applyNumberFormat="1" applyFont="1" applyFill="1" applyBorder="1" applyAlignment="1">
      <alignment horizontal="center" vertical="center"/>
    </xf>
    <xf numFmtId="165" fontId="43" fillId="0" borderId="2" xfId="0" applyNumberFormat="1" applyFont="1" applyFill="1" applyBorder="1" applyAlignment="1">
      <alignment horizontal="center" vertical="center" wrapText="1"/>
    </xf>
    <xf numFmtId="165" fontId="15" fillId="0" borderId="2" xfId="0" applyNumberFormat="1" applyFont="1" applyFill="1" applyBorder="1" applyAlignment="1">
      <alignment horizontal="center" vertical="center" wrapText="1"/>
    </xf>
    <xf numFmtId="165" fontId="16" fillId="0" borderId="9" xfId="0" applyNumberFormat="1" applyFont="1" applyFill="1" applyBorder="1" applyAlignment="1">
      <alignment horizontal="center" vertical="center"/>
    </xf>
    <xf numFmtId="165" fontId="40" fillId="0" borderId="2" xfId="0" applyNumberFormat="1" applyFont="1" applyFill="1" applyBorder="1" applyAlignment="1">
      <alignment horizontal="center"/>
    </xf>
    <xf numFmtId="165" fontId="32" fillId="0" borderId="0" xfId="0" applyNumberFormat="1" applyFont="1" applyFill="1" applyAlignment="1">
      <alignment horizontal="center"/>
    </xf>
    <xf numFmtId="165" fontId="4" fillId="0" borderId="8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165" fontId="5" fillId="0" borderId="2" xfId="1" applyNumberFormat="1" applyFont="1" applyFill="1" applyBorder="1" applyAlignment="1" applyProtection="1">
      <alignment horizontal="center" vertical="center" shrinkToFit="1"/>
      <protection locked="0"/>
    </xf>
    <xf numFmtId="165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165" fontId="4" fillId="0" borderId="8" xfId="0" applyNumberFormat="1" applyFont="1" applyFill="1" applyBorder="1" applyAlignment="1" applyProtection="1">
      <alignment horizontal="center" vertical="center" shrinkToFit="1"/>
      <protection locked="0"/>
    </xf>
    <xf numFmtId="165" fontId="5" fillId="0" borderId="2" xfId="2" applyNumberFormat="1" applyFont="1" applyFill="1" applyBorder="1" applyAlignment="1">
      <alignment horizontal="center" vertical="center"/>
    </xf>
    <xf numFmtId="165" fontId="19" fillId="0" borderId="2" xfId="0" applyNumberFormat="1" applyFont="1" applyFill="1" applyBorder="1" applyAlignment="1">
      <alignment horizontal="center" vertical="center" wrapText="1"/>
    </xf>
    <xf numFmtId="165" fontId="33" fillId="0" borderId="2" xfId="0" applyNumberFormat="1" applyFont="1" applyBorder="1" applyAlignment="1">
      <alignment horizontal="center" vertical="center"/>
    </xf>
    <xf numFmtId="165" fontId="33" fillId="0" borderId="2" xfId="0" applyNumberFormat="1" applyFont="1" applyFill="1" applyBorder="1" applyAlignment="1">
      <alignment horizontal="center" vertical="center"/>
    </xf>
    <xf numFmtId="165" fontId="19" fillId="0" borderId="2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/>
    <xf numFmtId="165" fontId="15" fillId="0" borderId="9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 applyAlignment="1">
      <alignment vertical="center"/>
    </xf>
    <xf numFmtId="4" fontId="11" fillId="0" borderId="0" xfId="1" applyNumberFormat="1" applyFont="1" applyFill="1"/>
    <xf numFmtId="165" fontId="12" fillId="0" borderId="0" xfId="1" applyNumberFormat="1" applyFill="1"/>
    <xf numFmtId="0" fontId="16" fillId="0" borderId="0" xfId="1" applyFont="1" applyFill="1" applyAlignment="1">
      <alignment horizontal="right"/>
    </xf>
    <xf numFmtId="165" fontId="22" fillId="10" borderId="0" xfId="0" applyNumberFormat="1" applyFont="1" applyFill="1" applyBorder="1" applyAlignment="1">
      <alignment horizontal="center" vertical="center"/>
    </xf>
    <xf numFmtId="0" fontId="12" fillId="0" borderId="0" xfId="1" applyNumberFormat="1" applyFill="1" applyAlignment="1">
      <alignment vertical="center"/>
    </xf>
    <xf numFmtId="0" fontId="0" fillId="0" borderId="0" xfId="0"/>
    <xf numFmtId="0" fontId="0" fillId="0" borderId="0" xfId="0" applyFill="1"/>
    <xf numFmtId="0" fontId="4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/>
    </xf>
    <xf numFmtId="165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vertical="center" wrapText="1"/>
    </xf>
    <xf numFmtId="49" fontId="5" fillId="0" borderId="2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1" fillId="0" borderId="0" xfId="0" applyFont="1" applyFill="1"/>
    <xf numFmtId="0" fontId="4" fillId="0" borderId="8" xfId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4" fillId="2" borderId="11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left" vertical="top" wrapText="1"/>
    </xf>
    <xf numFmtId="165" fontId="16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left" vertical="center" wrapText="1"/>
    </xf>
    <xf numFmtId="165" fontId="15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>
      <alignment horizontal="left" vertical="top" wrapText="1"/>
    </xf>
    <xf numFmtId="165" fontId="15" fillId="2" borderId="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165" fontId="19" fillId="0" borderId="0" xfId="0" applyNumberFormat="1" applyFont="1" applyFill="1" applyBorder="1" applyAlignment="1">
      <alignment horizontal="center" vertical="center"/>
    </xf>
    <xf numFmtId="0" fontId="0" fillId="0" borderId="10" xfId="0" applyBorder="1"/>
    <xf numFmtId="0" fontId="4" fillId="0" borderId="0" xfId="0" applyNumberFormat="1" applyFont="1" applyFill="1" applyAlignment="1">
      <alignment horizontal="center"/>
    </xf>
    <xf numFmtId="0" fontId="4" fillId="0" borderId="8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/>
    </xf>
    <xf numFmtId="0" fontId="4" fillId="0" borderId="11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left"/>
    </xf>
    <xf numFmtId="165" fontId="4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4" fillId="0" borderId="0" xfId="1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Гиперссылка" xfId="3" builtinId="8"/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1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6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5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4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9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1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6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5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4" Type="http://schemas.openxmlformats.org/officeDocument/2006/relationships/hyperlink" Target="consultantplus://offline/ref=90DD075742B43C415054D7C57EEE35341F87E5BC1D9D1BDE3A747C0D881C15D50B24F795703CF7A64B588B73F9A8AC3C8A6AC02CDB9A5E68c4m2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54"/>
  <sheetViews>
    <sheetView view="pageBreakPreview" topLeftCell="A136" zoomScale="75" zoomScaleNormal="95" zoomScaleSheetLayoutView="75" workbookViewId="0">
      <selection activeCell="J144" sqref="J144"/>
    </sheetView>
  </sheetViews>
  <sheetFormatPr defaultColWidth="9.140625" defaultRowHeight="15" x14ac:dyDescent="0.25"/>
  <cols>
    <col min="1" max="1" width="25.140625" style="129" customWidth="1"/>
    <col min="2" max="2" width="77.5703125" style="129" customWidth="1"/>
    <col min="3" max="3" width="16.28515625" style="129" customWidth="1"/>
    <col min="4" max="4" width="18.85546875" style="129" hidden="1" customWidth="1"/>
    <col min="5" max="5" width="12.5703125" style="129" hidden="1" customWidth="1"/>
    <col min="6" max="6" width="11.85546875" style="129" hidden="1" customWidth="1"/>
    <col min="7" max="7" width="12.5703125" style="129" hidden="1" customWidth="1"/>
    <col min="8" max="8" width="11.85546875" style="129" customWidth="1"/>
    <col min="9" max="9" width="15" style="129" customWidth="1"/>
    <col min="10" max="10" width="15.85546875" style="129" customWidth="1"/>
    <col min="11" max="11" width="9.140625" style="129"/>
    <col min="12" max="12" width="17" style="129" customWidth="1"/>
    <col min="13" max="16384" width="9.140625" style="129"/>
  </cols>
  <sheetData>
    <row r="1" spans="1:10" ht="15.75" x14ac:dyDescent="0.25">
      <c r="B1" s="401" t="s">
        <v>1534</v>
      </c>
      <c r="C1" s="401"/>
    </row>
    <row r="2" spans="1:10" ht="15.75" x14ac:dyDescent="0.25">
      <c r="B2" s="401" t="s">
        <v>1533</v>
      </c>
      <c r="C2" s="401"/>
    </row>
    <row r="3" spans="1:10" ht="15.75" x14ac:dyDescent="0.25">
      <c r="B3" s="401" t="s">
        <v>1532</v>
      </c>
      <c r="C3" s="401"/>
    </row>
    <row r="4" spans="1:10" ht="15.75" x14ac:dyDescent="0.25">
      <c r="A4" s="404" t="s">
        <v>1529</v>
      </c>
      <c r="B4" s="404"/>
      <c r="C4" s="404"/>
    </row>
    <row r="5" spans="1:10" ht="15.75" x14ac:dyDescent="0.25">
      <c r="A5" s="404" t="s">
        <v>1530</v>
      </c>
      <c r="B5" s="404"/>
      <c r="C5" s="404"/>
    </row>
    <row r="6" spans="1:10" ht="15.75" x14ac:dyDescent="0.25">
      <c r="A6" s="404"/>
      <c r="B6" s="404"/>
      <c r="C6" s="404"/>
    </row>
    <row r="7" spans="1:10" ht="15.75" x14ac:dyDescent="0.25">
      <c r="A7" s="132"/>
      <c r="B7" s="132"/>
      <c r="C7" s="260" t="s">
        <v>713</v>
      </c>
    </row>
    <row r="8" spans="1:10" ht="31.5" x14ac:dyDescent="0.25">
      <c r="A8" s="133" t="s">
        <v>2</v>
      </c>
      <c r="B8" s="134" t="s">
        <v>3</v>
      </c>
      <c r="C8" s="219" t="s">
        <v>1192</v>
      </c>
      <c r="D8" s="116">
        <f>C10+C16+C21+C31+C39</f>
        <v>249175.8</v>
      </c>
    </row>
    <row r="9" spans="1:10" ht="18.75" x14ac:dyDescent="0.25">
      <c r="A9" s="135" t="s">
        <v>5</v>
      </c>
      <c r="B9" s="136" t="s">
        <v>6</v>
      </c>
      <c r="C9" s="190">
        <f>C10+C16+C21+C31+C39+C42+C48+C55+C58+C63+C71</f>
        <v>295019.59999999998</v>
      </c>
      <c r="E9" s="116"/>
      <c r="G9" s="116"/>
      <c r="J9" s="116"/>
    </row>
    <row r="10" spans="1:10" ht="18.75" x14ac:dyDescent="0.25">
      <c r="A10" s="137" t="s">
        <v>7</v>
      </c>
      <c r="B10" s="136" t="s">
        <v>8</v>
      </c>
      <c r="C10" s="190">
        <f>C11</f>
        <v>218445.8</v>
      </c>
      <c r="D10" s="116"/>
      <c r="F10" s="116"/>
      <c r="G10" s="116"/>
      <c r="H10" s="116"/>
      <c r="I10" s="116"/>
      <c r="J10" s="116"/>
    </row>
    <row r="11" spans="1:10" ht="18.75" x14ac:dyDescent="0.25">
      <c r="A11" s="138" t="s">
        <v>9</v>
      </c>
      <c r="B11" s="139" t="s">
        <v>10</v>
      </c>
      <c r="C11" s="190">
        <f>SUM(C12:C15)</f>
        <v>218445.8</v>
      </c>
      <c r="D11" s="116"/>
      <c r="F11" s="116"/>
      <c r="G11" s="116"/>
      <c r="H11" s="116"/>
      <c r="I11" s="116"/>
      <c r="J11" s="116"/>
    </row>
    <row r="12" spans="1:10" ht="63" x14ac:dyDescent="0.25">
      <c r="A12" s="219" t="s">
        <v>11</v>
      </c>
      <c r="B12" s="140" t="s">
        <v>12</v>
      </c>
      <c r="C12" s="191">
        <v>217809</v>
      </c>
      <c r="D12" s="226"/>
    </row>
    <row r="13" spans="1:10" ht="94.5" x14ac:dyDescent="0.25">
      <c r="A13" s="219" t="s">
        <v>13</v>
      </c>
      <c r="B13" s="141" t="s">
        <v>14</v>
      </c>
      <c r="C13" s="191">
        <v>18.3</v>
      </c>
    </row>
    <row r="14" spans="1:10" ht="36.75" customHeight="1" x14ac:dyDescent="0.25">
      <c r="A14" s="219" t="s">
        <v>15</v>
      </c>
      <c r="B14" s="141" t="s">
        <v>16</v>
      </c>
      <c r="C14" s="191">
        <v>595.9</v>
      </c>
    </row>
    <row r="15" spans="1:10" ht="78.75" x14ac:dyDescent="0.25">
      <c r="A15" s="219" t="s">
        <v>17</v>
      </c>
      <c r="B15" s="141" t="s">
        <v>18</v>
      </c>
      <c r="C15" s="191">
        <v>22.6</v>
      </c>
    </row>
    <row r="16" spans="1:10" ht="31.5" x14ac:dyDescent="0.25">
      <c r="A16" s="142" t="s">
        <v>19</v>
      </c>
      <c r="B16" s="143" t="s">
        <v>20</v>
      </c>
      <c r="C16" s="190">
        <f t="shared" ref="C16" si="0">C17</f>
        <v>3446</v>
      </c>
    </row>
    <row r="17" spans="1:6" ht="31.5" x14ac:dyDescent="0.25">
      <c r="A17" s="188" t="s">
        <v>21</v>
      </c>
      <c r="B17" s="189" t="s">
        <v>22</v>
      </c>
      <c r="C17" s="190">
        <f t="shared" ref="C17" si="1">SUM(C18:C20)</f>
        <v>3446</v>
      </c>
    </row>
    <row r="18" spans="1:6" ht="63" x14ac:dyDescent="0.25">
      <c r="A18" s="144" t="s">
        <v>23</v>
      </c>
      <c r="B18" s="141" t="s">
        <v>24</v>
      </c>
      <c r="C18" s="191">
        <v>1579</v>
      </c>
    </row>
    <row r="19" spans="1:6" ht="78.75" x14ac:dyDescent="0.25">
      <c r="A19" s="383" t="s">
        <v>25</v>
      </c>
      <c r="B19" s="141" t="s">
        <v>26</v>
      </c>
      <c r="C19" s="191">
        <v>9</v>
      </c>
    </row>
    <row r="20" spans="1:6" ht="63" x14ac:dyDescent="0.25">
      <c r="A20" s="383" t="s">
        <v>27</v>
      </c>
      <c r="B20" s="141" t="s">
        <v>28</v>
      </c>
      <c r="C20" s="334">
        <v>1858</v>
      </c>
    </row>
    <row r="21" spans="1:6" ht="18.75" x14ac:dyDescent="0.25">
      <c r="A21" s="138" t="s">
        <v>29</v>
      </c>
      <c r="B21" s="139" t="s">
        <v>30</v>
      </c>
      <c r="C21" s="190">
        <f>SUM(C22+C27+C29)</f>
        <v>24666</v>
      </c>
      <c r="F21" s="215"/>
    </row>
    <row r="22" spans="1:6" ht="31.5" x14ac:dyDescent="0.25">
      <c r="A22" s="135" t="s">
        <v>31</v>
      </c>
      <c r="B22" s="139" t="s">
        <v>32</v>
      </c>
      <c r="C22" s="190">
        <f>C23+C25</f>
        <v>14478</v>
      </c>
    </row>
    <row r="23" spans="1:6" ht="31.5" x14ac:dyDescent="0.25">
      <c r="A23" s="135" t="s">
        <v>1323</v>
      </c>
      <c r="B23" s="238" t="s">
        <v>34</v>
      </c>
      <c r="C23" s="190">
        <f>C24</f>
        <v>7239</v>
      </c>
    </row>
    <row r="24" spans="1:6" ht="31.5" x14ac:dyDescent="0.25">
      <c r="A24" s="133" t="s">
        <v>33</v>
      </c>
      <c r="B24" s="99" t="s">
        <v>34</v>
      </c>
      <c r="C24" s="191">
        <f>14478/2</f>
        <v>7239</v>
      </c>
    </row>
    <row r="25" spans="1:6" ht="36.75" customHeight="1" x14ac:dyDescent="0.25">
      <c r="A25" s="135" t="s">
        <v>1322</v>
      </c>
      <c r="B25" s="278" t="s">
        <v>1321</v>
      </c>
      <c r="C25" s="190">
        <f>C26</f>
        <v>7239</v>
      </c>
    </row>
    <row r="26" spans="1:6" ht="63" x14ac:dyDescent="0.25">
      <c r="A26" s="133" t="s">
        <v>35</v>
      </c>
      <c r="B26" s="145" t="s">
        <v>36</v>
      </c>
      <c r="C26" s="191">
        <v>7239</v>
      </c>
    </row>
    <row r="27" spans="1:6" ht="18.75" x14ac:dyDescent="0.25">
      <c r="A27" s="135" t="s">
        <v>37</v>
      </c>
      <c r="B27" s="148" t="s">
        <v>38</v>
      </c>
      <c r="C27" s="190">
        <f t="shared" ref="C27" si="2">SUM(C28:C28)</f>
        <v>9841</v>
      </c>
    </row>
    <row r="28" spans="1:6" ht="18.75" x14ac:dyDescent="0.25">
      <c r="A28" s="219" t="s">
        <v>39</v>
      </c>
      <c r="B28" s="140" t="s">
        <v>38</v>
      </c>
      <c r="C28" s="191">
        <v>9841</v>
      </c>
    </row>
    <row r="29" spans="1:6" ht="31.5" x14ac:dyDescent="0.25">
      <c r="A29" s="135" t="s">
        <v>1337</v>
      </c>
      <c r="B29" s="146" t="s">
        <v>1324</v>
      </c>
      <c r="C29" s="190">
        <f>C30</f>
        <v>347</v>
      </c>
    </row>
    <row r="30" spans="1:6" ht="31.5" x14ac:dyDescent="0.25">
      <c r="A30" s="133" t="s">
        <v>40</v>
      </c>
      <c r="B30" s="269" t="s">
        <v>41</v>
      </c>
      <c r="C30" s="191">
        <v>347</v>
      </c>
    </row>
    <row r="31" spans="1:6" ht="18.75" x14ac:dyDescent="0.25">
      <c r="A31" s="138" t="s">
        <v>42</v>
      </c>
      <c r="B31" s="139" t="s">
        <v>43</v>
      </c>
      <c r="C31" s="190">
        <f t="shared" ref="C31" si="3">C32+C34</f>
        <v>1144</v>
      </c>
    </row>
    <row r="32" spans="1:6" ht="18.75" x14ac:dyDescent="0.25">
      <c r="A32" s="138" t="s">
        <v>44</v>
      </c>
      <c r="B32" s="139" t="s">
        <v>45</v>
      </c>
      <c r="C32" s="190">
        <f t="shared" ref="C32" si="4">C33</f>
        <v>811</v>
      </c>
    </row>
    <row r="33" spans="1:6" ht="38.25" customHeight="1" x14ac:dyDescent="0.25">
      <c r="A33" s="219" t="s">
        <v>46</v>
      </c>
      <c r="B33" s="145" t="s">
        <v>47</v>
      </c>
      <c r="C33" s="191">
        <v>811</v>
      </c>
    </row>
    <row r="34" spans="1:6" ht="18.75" x14ac:dyDescent="0.25">
      <c r="A34" s="138" t="s">
        <v>48</v>
      </c>
      <c r="B34" s="139" t="s">
        <v>49</v>
      </c>
      <c r="C34" s="190">
        <f>C35+C37</f>
        <v>333</v>
      </c>
    </row>
    <row r="35" spans="1:6" ht="18.75" x14ac:dyDescent="0.25">
      <c r="A35" s="138" t="s">
        <v>1339</v>
      </c>
      <c r="B35" s="139" t="s">
        <v>1338</v>
      </c>
      <c r="C35" s="190">
        <f>C36</f>
        <v>178</v>
      </c>
    </row>
    <row r="36" spans="1:6" ht="31.5" x14ac:dyDescent="0.25">
      <c r="A36" s="219" t="s">
        <v>50</v>
      </c>
      <c r="B36" s="145" t="s">
        <v>51</v>
      </c>
      <c r="C36" s="191">
        <v>178</v>
      </c>
    </row>
    <row r="37" spans="1:6" ht="18.75" x14ac:dyDescent="0.25">
      <c r="A37" s="138" t="s">
        <v>1341</v>
      </c>
      <c r="B37" s="139" t="s">
        <v>1340</v>
      </c>
      <c r="C37" s="190">
        <f>C38</f>
        <v>155</v>
      </c>
    </row>
    <row r="38" spans="1:6" ht="31.5" x14ac:dyDescent="0.25">
      <c r="A38" s="219" t="s">
        <v>52</v>
      </c>
      <c r="B38" s="145" t="s">
        <v>53</v>
      </c>
      <c r="C38" s="191">
        <v>155</v>
      </c>
    </row>
    <row r="39" spans="1:6" ht="18.75" x14ac:dyDescent="0.25">
      <c r="A39" s="138" t="s">
        <v>54</v>
      </c>
      <c r="B39" s="139" t="s">
        <v>55</v>
      </c>
      <c r="C39" s="190">
        <f t="shared" ref="C39:C40" si="5">C40</f>
        <v>1474</v>
      </c>
    </row>
    <row r="40" spans="1:6" ht="31.5" x14ac:dyDescent="0.25">
      <c r="A40" s="138" t="s">
        <v>56</v>
      </c>
      <c r="B40" s="139" t="s">
        <v>57</v>
      </c>
      <c r="C40" s="190">
        <f t="shared" si="5"/>
        <v>1474</v>
      </c>
    </row>
    <row r="41" spans="1:6" ht="47.25" x14ac:dyDescent="0.25">
      <c r="A41" s="219" t="s">
        <v>58</v>
      </c>
      <c r="B41" s="140" t="s">
        <v>59</v>
      </c>
      <c r="C41" s="191">
        <v>1474</v>
      </c>
    </row>
    <row r="42" spans="1:6" ht="31.5" x14ac:dyDescent="0.25">
      <c r="A42" s="138" t="s">
        <v>60</v>
      </c>
      <c r="B42" s="147" t="s">
        <v>61</v>
      </c>
      <c r="C42" s="190">
        <f t="shared" ref="C42" si="6">C43</f>
        <v>43000</v>
      </c>
      <c r="D42" s="116">
        <f>C42+C48+C55+C58+C63</f>
        <v>45843.8</v>
      </c>
      <c r="F42" s="116"/>
    </row>
    <row r="43" spans="1:6" ht="78.75" x14ac:dyDescent="0.25">
      <c r="A43" s="138" t="s">
        <v>62</v>
      </c>
      <c r="B43" s="147" t="s">
        <v>63</v>
      </c>
      <c r="C43" s="190">
        <f t="shared" ref="C43" si="7">C44+C46</f>
        <v>43000</v>
      </c>
    </row>
    <row r="44" spans="1:6" ht="63" x14ac:dyDescent="0.25">
      <c r="A44" s="138" t="s">
        <v>64</v>
      </c>
      <c r="B44" s="139" t="s">
        <v>65</v>
      </c>
      <c r="C44" s="190">
        <f t="shared" ref="C44" si="8">C45</f>
        <v>38000</v>
      </c>
    </row>
    <row r="45" spans="1:6" ht="63" x14ac:dyDescent="0.25">
      <c r="A45" s="219" t="s">
        <v>66</v>
      </c>
      <c r="B45" s="145" t="s">
        <v>67</v>
      </c>
      <c r="C45" s="191">
        <v>38000</v>
      </c>
    </row>
    <row r="46" spans="1:6" ht="31.5" x14ac:dyDescent="0.25">
      <c r="A46" s="138" t="s">
        <v>68</v>
      </c>
      <c r="B46" s="139" t="s">
        <v>69</v>
      </c>
      <c r="C46" s="190">
        <f t="shared" ref="C46" si="9">C47</f>
        <v>5000</v>
      </c>
    </row>
    <row r="47" spans="1:6" ht="31.5" x14ac:dyDescent="0.25">
      <c r="A47" s="219" t="s">
        <v>70</v>
      </c>
      <c r="B47" s="145" t="s">
        <v>71</v>
      </c>
      <c r="C47" s="191">
        <v>5000</v>
      </c>
    </row>
    <row r="48" spans="1:6" ht="18.75" x14ac:dyDescent="0.25">
      <c r="A48" s="138" t="s">
        <v>72</v>
      </c>
      <c r="B48" s="147" t="s">
        <v>73</v>
      </c>
      <c r="C48" s="190">
        <f t="shared" ref="C48" si="10">SUM(C49)</f>
        <v>1735.8</v>
      </c>
    </row>
    <row r="49" spans="1:4" ht="18.75" x14ac:dyDescent="0.25">
      <c r="A49" s="138" t="s">
        <v>74</v>
      </c>
      <c r="B49" s="147" t="s">
        <v>75</v>
      </c>
      <c r="C49" s="190">
        <f>C50+C51+C52</f>
        <v>1735.8</v>
      </c>
    </row>
    <row r="50" spans="1:4" ht="31.5" x14ac:dyDescent="0.25">
      <c r="A50" s="138" t="s">
        <v>76</v>
      </c>
      <c r="B50" s="147" t="s">
        <v>77</v>
      </c>
      <c r="C50" s="190">
        <v>517.9</v>
      </c>
      <c r="D50" s="217"/>
    </row>
    <row r="51" spans="1:4" ht="18.75" x14ac:dyDescent="0.25">
      <c r="A51" s="138" t="s">
        <v>78</v>
      </c>
      <c r="B51" s="147" t="s">
        <v>79</v>
      </c>
      <c r="C51" s="190">
        <v>1.1000000000000001</v>
      </c>
      <c r="D51" s="217"/>
    </row>
    <row r="52" spans="1:4" ht="31.5" x14ac:dyDescent="0.25">
      <c r="A52" s="138" t="s">
        <v>1325</v>
      </c>
      <c r="B52" s="268" t="s">
        <v>1326</v>
      </c>
      <c r="C52" s="190">
        <f>C53+C54</f>
        <v>1216.8</v>
      </c>
      <c r="D52" s="217"/>
    </row>
    <row r="53" spans="1:4" ht="18.75" x14ac:dyDescent="0.25">
      <c r="A53" s="219" t="s">
        <v>824</v>
      </c>
      <c r="B53" s="140" t="s">
        <v>825</v>
      </c>
      <c r="C53" s="191">
        <v>1060.8</v>
      </c>
      <c r="D53" s="218"/>
    </row>
    <row r="54" spans="1:4" ht="18.75" x14ac:dyDescent="0.25">
      <c r="A54" s="219" t="s">
        <v>826</v>
      </c>
      <c r="B54" s="140" t="s">
        <v>827</v>
      </c>
      <c r="C54" s="191">
        <v>156</v>
      </c>
      <c r="D54" s="217"/>
    </row>
    <row r="55" spans="1:4" ht="31.5" x14ac:dyDescent="0.25">
      <c r="A55" s="138" t="s">
        <v>80</v>
      </c>
      <c r="B55" s="147" t="s">
        <v>81</v>
      </c>
      <c r="C55" s="190">
        <f>C57</f>
        <v>842</v>
      </c>
      <c r="D55" s="217"/>
    </row>
    <row r="56" spans="1:4" ht="18.75" x14ac:dyDescent="0.25">
      <c r="A56" s="138" t="s">
        <v>82</v>
      </c>
      <c r="B56" s="147" t="s">
        <v>83</v>
      </c>
      <c r="C56" s="190">
        <f>C57</f>
        <v>842</v>
      </c>
    </row>
    <row r="57" spans="1:4" ht="31.5" x14ac:dyDescent="0.25">
      <c r="A57" s="219" t="s">
        <v>84</v>
      </c>
      <c r="B57" s="140" t="s">
        <v>85</v>
      </c>
      <c r="C57" s="191">
        <v>842</v>
      </c>
      <c r="D57" s="220"/>
    </row>
    <row r="58" spans="1:4" ht="31.5" x14ac:dyDescent="0.25">
      <c r="A58" s="138" t="s">
        <v>86</v>
      </c>
      <c r="B58" s="147" t="s">
        <v>87</v>
      </c>
      <c r="C58" s="190">
        <f t="shared" ref="C58" si="11">SUM(C59+C61)</f>
        <v>236</v>
      </c>
    </row>
    <row r="59" spans="1:4" ht="78.75" x14ac:dyDescent="0.25">
      <c r="A59" s="138" t="s">
        <v>88</v>
      </c>
      <c r="B59" s="147" t="s">
        <v>89</v>
      </c>
      <c r="C59" s="190">
        <f t="shared" ref="C59" si="12">C60</f>
        <v>235</v>
      </c>
    </row>
    <row r="60" spans="1:4" ht="78.75" x14ac:dyDescent="0.25">
      <c r="A60" s="219" t="s">
        <v>90</v>
      </c>
      <c r="B60" s="140" t="s">
        <v>714</v>
      </c>
      <c r="C60" s="191">
        <v>235</v>
      </c>
    </row>
    <row r="61" spans="1:4" ht="31.5" x14ac:dyDescent="0.25">
      <c r="A61" s="138" t="s">
        <v>91</v>
      </c>
      <c r="B61" s="147" t="s">
        <v>92</v>
      </c>
      <c r="C61" s="190">
        <f t="shared" ref="C61" si="13">SUM(C62)</f>
        <v>1</v>
      </c>
    </row>
    <row r="62" spans="1:4" ht="47.25" x14ac:dyDescent="0.25">
      <c r="A62" s="219" t="s">
        <v>93</v>
      </c>
      <c r="B62" s="140" t="s">
        <v>94</v>
      </c>
      <c r="C62" s="191">
        <v>1</v>
      </c>
    </row>
    <row r="63" spans="1:4" ht="18.75" x14ac:dyDescent="0.25">
      <c r="A63" s="138" t="s">
        <v>95</v>
      </c>
      <c r="B63" s="147" t="s">
        <v>96</v>
      </c>
      <c r="C63" s="190">
        <f>C64</f>
        <v>30</v>
      </c>
    </row>
    <row r="64" spans="1:4" ht="31.5" x14ac:dyDescent="0.25">
      <c r="A64" s="138" t="s">
        <v>1301</v>
      </c>
      <c r="B64" s="147" t="s">
        <v>97</v>
      </c>
      <c r="C64" s="190">
        <f>C65+C67+C69</f>
        <v>30</v>
      </c>
    </row>
    <row r="65" spans="1:10" ht="47.25" x14ac:dyDescent="0.25">
      <c r="A65" s="138" t="s">
        <v>1318</v>
      </c>
      <c r="B65" s="279" t="s">
        <v>1317</v>
      </c>
      <c r="C65" s="190">
        <f>C66</f>
        <v>10</v>
      </c>
    </row>
    <row r="66" spans="1:10" ht="63" x14ac:dyDescent="0.25">
      <c r="A66" s="219" t="s">
        <v>1303</v>
      </c>
      <c r="B66" s="280" t="s">
        <v>1312</v>
      </c>
      <c r="C66" s="191">
        <v>10</v>
      </c>
    </row>
    <row r="67" spans="1:10" ht="78.75" x14ac:dyDescent="0.25">
      <c r="A67" s="138" t="s">
        <v>1320</v>
      </c>
      <c r="B67" s="279" t="s">
        <v>1319</v>
      </c>
      <c r="C67" s="190">
        <f>C68</f>
        <v>10</v>
      </c>
    </row>
    <row r="68" spans="1:10" ht="94.5" x14ac:dyDescent="0.25">
      <c r="A68" s="219" t="s">
        <v>1302</v>
      </c>
      <c r="B68" s="280" t="s">
        <v>1313</v>
      </c>
      <c r="C68" s="191">
        <v>10</v>
      </c>
    </row>
    <row r="69" spans="1:10" ht="63" x14ac:dyDescent="0.25">
      <c r="A69" s="138" t="s">
        <v>1316</v>
      </c>
      <c r="B69" s="281" t="s">
        <v>1315</v>
      </c>
      <c r="C69" s="190">
        <f>C70</f>
        <v>10</v>
      </c>
    </row>
    <row r="70" spans="1:10" ht="78.75" x14ac:dyDescent="0.25">
      <c r="A70" s="219" t="s">
        <v>1306</v>
      </c>
      <c r="B70" s="282" t="s">
        <v>1314</v>
      </c>
      <c r="C70" s="191">
        <v>10</v>
      </c>
    </row>
    <row r="71" spans="1:10" ht="18.75" hidden="1" x14ac:dyDescent="0.25">
      <c r="A71" s="3" t="s">
        <v>1304</v>
      </c>
      <c r="B71" s="187" t="s">
        <v>788</v>
      </c>
      <c r="C71" s="190">
        <f>C72</f>
        <v>0</v>
      </c>
    </row>
    <row r="72" spans="1:10" ht="18.75" hidden="1" x14ac:dyDescent="0.25">
      <c r="A72" s="3" t="s">
        <v>1305</v>
      </c>
      <c r="B72" s="187" t="s">
        <v>789</v>
      </c>
      <c r="C72" s="190">
        <f t="shared" ref="C72" si="14">SUM(C73)</f>
        <v>0</v>
      </c>
    </row>
    <row r="73" spans="1:10" ht="18.75" hidden="1" x14ac:dyDescent="0.25">
      <c r="A73" s="2" t="s">
        <v>790</v>
      </c>
      <c r="B73" s="186" t="s">
        <v>791</v>
      </c>
      <c r="C73" s="191">
        <v>0</v>
      </c>
    </row>
    <row r="74" spans="1:10" ht="18.75" x14ac:dyDescent="0.25">
      <c r="A74" s="138" t="s">
        <v>98</v>
      </c>
      <c r="B74" s="139" t="s">
        <v>99</v>
      </c>
      <c r="C74" s="190">
        <f>SUM(C75+C146)</f>
        <v>449562.29999999993</v>
      </c>
      <c r="D74" s="319">
        <f>C74-C76</f>
        <v>291437.29999999993</v>
      </c>
      <c r="E74" s="116"/>
      <c r="F74" s="116"/>
      <c r="H74" s="208"/>
      <c r="I74" s="116"/>
      <c r="J74" s="116"/>
    </row>
    <row r="75" spans="1:10" ht="31.5" x14ac:dyDescent="0.25">
      <c r="A75" s="138" t="s">
        <v>100</v>
      </c>
      <c r="B75" s="139" t="s">
        <v>101</v>
      </c>
      <c r="C75" s="190">
        <f>SUM(C76+C82+C113+C140)</f>
        <v>427362.29999999993</v>
      </c>
      <c r="D75" s="211"/>
      <c r="H75" s="208"/>
      <c r="I75" s="116"/>
    </row>
    <row r="76" spans="1:10" ht="18.75" x14ac:dyDescent="0.25">
      <c r="A76" s="138" t="s">
        <v>854</v>
      </c>
      <c r="B76" s="148" t="s">
        <v>102</v>
      </c>
      <c r="C76" s="190">
        <f>C77</f>
        <v>158125</v>
      </c>
    </row>
    <row r="77" spans="1:10" ht="18.75" x14ac:dyDescent="0.25">
      <c r="A77" s="138" t="s">
        <v>1345</v>
      </c>
      <c r="B77" s="148" t="s">
        <v>1342</v>
      </c>
      <c r="C77" s="190">
        <f>C78</f>
        <v>158125</v>
      </c>
    </row>
    <row r="78" spans="1:10" ht="31.5" x14ac:dyDescent="0.25">
      <c r="A78" s="138" t="s">
        <v>853</v>
      </c>
      <c r="B78" s="139" t="s">
        <v>1365</v>
      </c>
      <c r="C78" s="190">
        <f>C79</f>
        <v>158125</v>
      </c>
      <c r="F78" s="116"/>
    </row>
    <row r="79" spans="1:10" ht="94.5" x14ac:dyDescent="0.25">
      <c r="A79" s="133" t="s">
        <v>853</v>
      </c>
      <c r="B79" s="145" t="s">
        <v>103</v>
      </c>
      <c r="C79" s="191">
        <v>158125</v>
      </c>
      <c r="D79" s="116">
        <f>C79-134322</f>
        <v>23803</v>
      </c>
    </row>
    <row r="80" spans="1:10" ht="31.5" hidden="1" x14ac:dyDescent="0.25">
      <c r="A80" s="135" t="s">
        <v>1343</v>
      </c>
      <c r="B80" s="139" t="s">
        <v>1344</v>
      </c>
      <c r="C80" s="190">
        <f>C81</f>
        <v>0</v>
      </c>
    </row>
    <row r="81" spans="1:9" ht="31.5" hidden="1" x14ac:dyDescent="0.25">
      <c r="A81" s="133" t="s">
        <v>1284</v>
      </c>
      <c r="B81" s="145" t="s">
        <v>1285</v>
      </c>
      <c r="C81" s="191">
        <v>0</v>
      </c>
    </row>
    <row r="82" spans="1:9" ht="34.5" customHeight="1" x14ac:dyDescent="0.25">
      <c r="A82" s="138" t="s">
        <v>852</v>
      </c>
      <c r="B82" s="139" t="s">
        <v>105</v>
      </c>
      <c r="C82" s="190">
        <f>C89+C95+C98+C91+C85+C87+C93+C83</f>
        <v>14571.9</v>
      </c>
      <c r="D82" s="223">
        <f>C82+C113+C140</f>
        <v>269237.3</v>
      </c>
      <c r="E82" s="116"/>
      <c r="F82" s="116"/>
      <c r="G82" s="116"/>
      <c r="H82" s="208"/>
      <c r="I82" s="116"/>
    </row>
    <row r="83" spans="1:9" ht="34.5" customHeight="1" x14ac:dyDescent="0.25">
      <c r="A83" s="347" t="s">
        <v>1480</v>
      </c>
      <c r="B83" s="350" t="s">
        <v>1483</v>
      </c>
      <c r="C83" s="305">
        <f>C84</f>
        <v>400</v>
      </c>
      <c r="D83" s="223"/>
      <c r="E83" s="116"/>
      <c r="F83" s="116"/>
      <c r="G83" s="116"/>
      <c r="H83" s="208"/>
      <c r="I83" s="116"/>
    </row>
    <row r="84" spans="1:9" s="149" customFormat="1" ht="51.75" customHeight="1" x14ac:dyDescent="0.25">
      <c r="A84" s="219" t="s">
        <v>1481</v>
      </c>
      <c r="B84" s="353" t="s">
        <v>1482</v>
      </c>
      <c r="C84" s="191">
        <v>400</v>
      </c>
      <c r="D84" s="310"/>
      <c r="E84" s="211"/>
      <c r="F84" s="211"/>
      <c r="G84" s="211"/>
      <c r="H84" s="351"/>
      <c r="I84" s="211"/>
    </row>
    <row r="85" spans="1:9" ht="49.7" customHeight="1" x14ac:dyDescent="0.25">
      <c r="A85" s="348" t="s">
        <v>1386</v>
      </c>
      <c r="B85" s="278" t="s">
        <v>1388</v>
      </c>
      <c r="C85" s="352">
        <f>C86</f>
        <v>1117.0999999999999</v>
      </c>
      <c r="D85" s="223"/>
      <c r="E85" s="116"/>
      <c r="F85" s="116"/>
      <c r="G85" s="116"/>
      <c r="H85" s="208"/>
      <c r="I85" s="116"/>
    </row>
    <row r="86" spans="1:9" ht="83.25" customHeight="1" x14ac:dyDescent="0.25">
      <c r="A86" s="219" t="s">
        <v>1385</v>
      </c>
      <c r="B86" s="99" t="s">
        <v>1475</v>
      </c>
      <c r="C86" s="191">
        <v>1117.0999999999999</v>
      </c>
      <c r="D86" s="223">
        <f>'Пр.4 ведом.20'!G702</f>
        <v>1164.8589999999999</v>
      </c>
      <c r="E86" s="116"/>
      <c r="F86" s="116"/>
      <c r="G86" s="116"/>
      <c r="H86" s="208"/>
      <c r="I86" s="116"/>
    </row>
    <row r="87" spans="1:9" ht="51.75" customHeight="1" x14ac:dyDescent="0.25">
      <c r="A87" s="138" t="s">
        <v>1389</v>
      </c>
      <c r="B87" s="238" t="s">
        <v>1392</v>
      </c>
      <c r="C87" s="190">
        <f>C88</f>
        <v>1253.5</v>
      </c>
      <c r="D87" s="223"/>
      <c r="E87" s="116"/>
      <c r="F87" s="116"/>
      <c r="G87" s="116"/>
      <c r="H87" s="208"/>
      <c r="I87" s="116"/>
    </row>
    <row r="88" spans="1:9" ht="105.75" customHeight="1" x14ac:dyDescent="0.25">
      <c r="A88" s="219" t="s">
        <v>1390</v>
      </c>
      <c r="B88" s="99" t="s">
        <v>1478</v>
      </c>
      <c r="C88" s="191">
        <v>1253.5</v>
      </c>
      <c r="D88" s="223">
        <f>'Пр.4 ведом.20'!G366</f>
        <v>1330.923</v>
      </c>
      <c r="E88" s="116"/>
      <c r="F88" s="116"/>
      <c r="G88" s="116"/>
      <c r="H88" s="208"/>
      <c r="I88" s="116"/>
    </row>
    <row r="89" spans="1:9" ht="36" customHeight="1" x14ac:dyDescent="0.25">
      <c r="A89" s="347" t="s">
        <v>1381</v>
      </c>
      <c r="B89" s="139" t="s">
        <v>1328</v>
      </c>
      <c r="C89" s="190">
        <f t="shared" ref="C89" si="15">SUM(C90)</f>
        <v>140.30000000000001</v>
      </c>
      <c r="D89" s="223"/>
      <c r="G89" s="149"/>
    </row>
    <row r="90" spans="1:9" s="149" customFormat="1" ht="31.5" x14ac:dyDescent="0.25">
      <c r="A90" s="383" t="s">
        <v>1380</v>
      </c>
      <c r="B90" s="145" t="s">
        <v>823</v>
      </c>
      <c r="C90" s="191">
        <v>140.30000000000001</v>
      </c>
      <c r="D90" s="309">
        <f>'Пр.4 ведом.20'!G450-28.9</f>
        <v>140.30000000000001</v>
      </c>
    </row>
    <row r="91" spans="1:9" s="149" customFormat="1" ht="26.45" hidden="1" customHeight="1" x14ac:dyDescent="0.25">
      <c r="A91" s="347" t="s">
        <v>1329</v>
      </c>
      <c r="B91" s="148" t="s">
        <v>1330</v>
      </c>
      <c r="C91" s="190">
        <f>C92</f>
        <v>0</v>
      </c>
      <c r="D91" s="310"/>
    </row>
    <row r="92" spans="1:9" s="149" customFormat="1" ht="39.75" hidden="1" customHeight="1" x14ac:dyDescent="0.25">
      <c r="A92" s="383" t="s">
        <v>868</v>
      </c>
      <c r="B92" s="303" t="s">
        <v>869</v>
      </c>
      <c r="C92" s="191">
        <v>0</v>
      </c>
      <c r="D92" s="309"/>
    </row>
    <row r="93" spans="1:9" s="149" customFormat="1" ht="24.75" hidden="1" customHeight="1" x14ac:dyDescent="0.25">
      <c r="A93" s="320" t="s">
        <v>1379</v>
      </c>
      <c r="B93" s="321" t="s">
        <v>1382</v>
      </c>
      <c r="C93" s="190">
        <f>C94</f>
        <v>0</v>
      </c>
      <c r="D93" s="309"/>
    </row>
    <row r="94" spans="1:9" s="149" customFormat="1" ht="21.75" hidden="1" customHeight="1" x14ac:dyDescent="0.25">
      <c r="A94" s="322" t="s">
        <v>1377</v>
      </c>
      <c r="B94" s="323" t="s">
        <v>1378</v>
      </c>
      <c r="C94" s="191">
        <v>0</v>
      </c>
      <c r="D94" s="309"/>
    </row>
    <row r="95" spans="1:9" ht="31.5" hidden="1" x14ac:dyDescent="0.25">
      <c r="A95" s="347" t="s">
        <v>1331</v>
      </c>
      <c r="B95" s="139" t="s">
        <v>1332</v>
      </c>
      <c r="C95" s="190">
        <f t="shared" ref="C95" si="16">SUM(C96)</f>
        <v>0</v>
      </c>
      <c r="D95" s="223"/>
      <c r="G95" s="149"/>
    </row>
    <row r="96" spans="1:9" s="149" customFormat="1" ht="35.450000000000003" hidden="1" customHeight="1" x14ac:dyDescent="0.25">
      <c r="A96" s="383" t="s">
        <v>851</v>
      </c>
      <c r="B96" s="270" t="s">
        <v>1333</v>
      </c>
      <c r="C96" s="191">
        <v>0</v>
      </c>
      <c r="D96" s="309"/>
    </row>
    <row r="97" spans="1:12" s="206" customFormat="1" ht="18.75" x14ac:dyDescent="0.3">
      <c r="A97" s="347" t="s">
        <v>1335</v>
      </c>
      <c r="B97" s="139" t="s">
        <v>1334</v>
      </c>
      <c r="C97" s="335">
        <f>C98</f>
        <v>11661</v>
      </c>
      <c r="D97" s="311"/>
      <c r="G97" s="208"/>
      <c r="I97" s="207"/>
    </row>
    <row r="98" spans="1:12" s="206" customFormat="1" ht="18.75" x14ac:dyDescent="0.25">
      <c r="A98" s="219" t="s">
        <v>850</v>
      </c>
      <c r="B98" s="145" t="s">
        <v>106</v>
      </c>
      <c r="C98" s="327">
        <f>SUM(C99+C100+C103+C104+C107+C109+C110+C111+C101+C102+C108+C112)</f>
        <v>11661</v>
      </c>
      <c r="D98" s="311"/>
      <c r="G98" s="208"/>
      <c r="I98" s="207"/>
    </row>
    <row r="99" spans="1:12" ht="126.75" hidden="1" customHeight="1" x14ac:dyDescent="0.25">
      <c r="A99" s="405"/>
      <c r="B99" s="145" t="s">
        <v>837</v>
      </c>
      <c r="C99" s="191">
        <v>0</v>
      </c>
      <c r="D99" s="223"/>
    </row>
    <row r="100" spans="1:12" ht="63" x14ac:dyDescent="0.25">
      <c r="A100" s="406"/>
      <c r="B100" s="140" t="s">
        <v>838</v>
      </c>
      <c r="C100" s="191">
        <v>65.2</v>
      </c>
      <c r="D100" s="223">
        <f>'Пр.4 ведом.20'!G393</f>
        <v>65.2</v>
      </c>
    </row>
    <row r="101" spans="1:12" ht="115.5" customHeight="1" x14ac:dyDescent="0.25">
      <c r="A101" s="406"/>
      <c r="B101" s="151" t="s">
        <v>1383</v>
      </c>
      <c r="C101" s="324">
        <v>1666.6</v>
      </c>
      <c r="D101" s="223">
        <f>'Пр.4 ведом.20'!G606</f>
        <v>1666.6</v>
      </c>
    </row>
    <row r="102" spans="1:12" ht="124.5" customHeight="1" x14ac:dyDescent="0.25">
      <c r="A102" s="406"/>
      <c r="B102" s="302" t="s">
        <v>1384</v>
      </c>
      <c r="C102" s="324">
        <f>500-300</f>
        <v>200</v>
      </c>
      <c r="D102" s="223">
        <f>'Пр.4 ведом.20'!G259</f>
        <v>200</v>
      </c>
      <c r="H102" s="220"/>
    </row>
    <row r="103" spans="1:12" ht="80.45" customHeight="1" x14ac:dyDescent="0.25">
      <c r="A103" s="406"/>
      <c r="B103" s="150" t="s">
        <v>1496</v>
      </c>
      <c r="C103" s="328">
        <v>2220.9</v>
      </c>
      <c r="D103" s="312">
        <f>'Пр.4 ведом.20'!G754</f>
        <v>2220.9</v>
      </c>
      <c r="I103" s="116"/>
    </row>
    <row r="104" spans="1:12" ht="63" x14ac:dyDescent="0.25">
      <c r="A104" s="406"/>
      <c r="B104" s="151" t="s">
        <v>839</v>
      </c>
      <c r="C104" s="329">
        <f t="shared" ref="C104" si="17">SUM(C105:C106)</f>
        <v>25</v>
      </c>
      <c r="D104" s="223">
        <f>'Пр.4 ведом.20'!G1122</f>
        <v>25</v>
      </c>
      <c r="G104" s="152"/>
    </row>
    <row r="105" spans="1:12" s="152" customFormat="1" ht="94.7" customHeight="1" x14ac:dyDescent="0.25">
      <c r="A105" s="406"/>
      <c r="B105" s="283" t="s">
        <v>836</v>
      </c>
      <c r="C105" s="330">
        <v>0</v>
      </c>
      <c r="D105" s="313"/>
      <c r="L105" s="129"/>
    </row>
    <row r="106" spans="1:12" s="152" customFormat="1" ht="110.25" x14ac:dyDescent="0.25">
      <c r="A106" s="406"/>
      <c r="B106" s="168" t="s">
        <v>870</v>
      </c>
      <c r="C106" s="331">
        <v>25</v>
      </c>
      <c r="D106" s="314"/>
      <c r="L106" s="129"/>
    </row>
    <row r="107" spans="1:12" ht="78.75" x14ac:dyDescent="0.25">
      <c r="A107" s="406"/>
      <c r="B107" s="140" t="s">
        <v>1494</v>
      </c>
      <c r="C107" s="191">
        <f>1740-74.8</f>
        <v>1665.2</v>
      </c>
      <c r="D107" s="312">
        <f>'Пр.4 ведом.20'!G675</f>
        <v>1665.2</v>
      </c>
      <c r="H107" s="220"/>
    </row>
    <row r="108" spans="1:12" ht="78.75" x14ac:dyDescent="0.25">
      <c r="A108" s="406"/>
      <c r="B108" s="140" t="s">
        <v>1507</v>
      </c>
      <c r="C108" s="191">
        <v>74.8</v>
      </c>
      <c r="D108" s="312"/>
      <c r="H108" s="220"/>
    </row>
    <row r="109" spans="1:12" ht="78.75" x14ac:dyDescent="0.25">
      <c r="A109" s="406"/>
      <c r="B109" s="140" t="s">
        <v>840</v>
      </c>
      <c r="C109" s="191">
        <v>255</v>
      </c>
      <c r="D109" s="223">
        <f>'Пр.4 ведом.20'!G168</f>
        <v>255</v>
      </c>
    </row>
    <row r="110" spans="1:12" ht="94.5" x14ac:dyDescent="0.25">
      <c r="A110" s="406"/>
      <c r="B110" s="140" t="s">
        <v>1495</v>
      </c>
      <c r="C110" s="191">
        <f>488.7+8</f>
        <v>496.7</v>
      </c>
      <c r="D110" s="312">
        <f>'Пр.4 ведом.20'!G682</f>
        <v>496.7</v>
      </c>
    </row>
    <row r="111" spans="1:12" s="204" customFormat="1" ht="163.5" customHeight="1" x14ac:dyDescent="0.2">
      <c r="A111" s="406"/>
      <c r="B111" s="200" t="s">
        <v>1497</v>
      </c>
      <c r="C111" s="327">
        <v>166.7</v>
      </c>
      <c r="D111" s="315">
        <f>'Пр.4 ведом.20'!G605</f>
        <v>166.7</v>
      </c>
    </row>
    <row r="112" spans="1:12" s="204" customFormat="1" ht="99.75" customHeight="1" x14ac:dyDescent="0.2">
      <c r="A112" s="407"/>
      <c r="B112" s="200" t="s">
        <v>1526</v>
      </c>
      <c r="C112" s="327">
        <f>4824.9</f>
        <v>4824.8999999999996</v>
      </c>
      <c r="D112" s="315"/>
      <c r="H112" s="360"/>
    </row>
    <row r="113" spans="1:9" ht="18.75" x14ac:dyDescent="0.25">
      <c r="A113" s="138" t="s">
        <v>849</v>
      </c>
      <c r="B113" s="147" t="s">
        <v>109</v>
      </c>
      <c r="C113" s="190">
        <f>C138+C114+C136+C134</f>
        <v>251636.89999999997</v>
      </c>
      <c r="D113" s="223"/>
      <c r="F113" s="116"/>
    </row>
    <row r="114" spans="1:9" ht="31.5" x14ac:dyDescent="0.25">
      <c r="A114" s="138" t="s">
        <v>848</v>
      </c>
      <c r="B114" s="147" t="s">
        <v>110</v>
      </c>
      <c r="C114" s="190">
        <f>C115</f>
        <v>250933.49999999997</v>
      </c>
      <c r="D114" s="223"/>
    </row>
    <row r="115" spans="1:9" ht="31.5" x14ac:dyDescent="0.25">
      <c r="A115" s="219" t="s">
        <v>847</v>
      </c>
      <c r="B115" s="140" t="s">
        <v>111</v>
      </c>
      <c r="C115" s="191">
        <f>SUM(C116+C117+C118+C119+C120+C121+C122+C125+C126+C127+C128+C130+C129+C131+C132+C133)</f>
        <v>250933.49999999997</v>
      </c>
      <c r="D115" s="223"/>
    </row>
    <row r="116" spans="1:9" ht="98.45" customHeight="1" x14ac:dyDescent="0.25">
      <c r="A116" s="405"/>
      <c r="B116" s="150" t="s">
        <v>1498</v>
      </c>
      <c r="C116" s="329">
        <v>143160</v>
      </c>
      <c r="D116" s="312">
        <f>'Пр.4 ведом.20'!G642</f>
        <v>143160</v>
      </c>
    </row>
    <row r="117" spans="1:9" ht="78.75" x14ac:dyDescent="0.25">
      <c r="A117" s="406"/>
      <c r="B117" s="140" t="s">
        <v>1499</v>
      </c>
      <c r="C117" s="191">
        <v>80735.399999999994</v>
      </c>
      <c r="D117" s="223">
        <f>'Пр.4 ведом.20'!G574</f>
        <v>80735.399999999994</v>
      </c>
    </row>
    <row r="118" spans="1:9" ht="110.25" x14ac:dyDescent="0.25">
      <c r="A118" s="406"/>
      <c r="B118" s="140" t="s">
        <v>1500</v>
      </c>
      <c r="C118" s="191">
        <v>4743.8999999999996</v>
      </c>
      <c r="D118" s="223" t="e">
        <f>'Пр.4 ведом.20'!#REF!+'Пр.4 ведом.20'!#REF!+'Пр.4 ведом.20'!#REF!+'Пр.4 ведом.20'!#REF!</f>
        <v>#REF!</v>
      </c>
    </row>
    <row r="119" spans="1:9" ht="97.5" customHeight="1" x14ac:dyDescent="0.25">
      <c r="A119" s="406"/>
      <c r="B119" s="140" t="s">
        <v>1501</v>
      </c>
      <c r="C119" s="191">
        <v>2075.4</v>
      </c>
      <c r="D119" s="312" t="e">
        <f>'Пр.4 ведом.20'!#REF!+'Пр.4 ведом.20'!#REF!+'Пр.4 ведом.20'!#REF!+'Пр.4 ведом.20'!#REF!</f>
        <v>#REF!</v>
      </c>
    </row>
    <row r="120" spans="1:9" ht="97.5" customHeight="1" x14ac:dyDescent="0.25">
      <c r="A120" s="406"/>
      <c r="B120" s="140" t="s">
        <v>113</v>
      </c>
      <c r="C120" s="191">
        <v>1433.3</v>
      </c>
      <c r="D120" s="223">
        <f>'Пр.4 ведом.20'!G58</f>
        <v>1433.3</v>
      </c>
    </row>
    <row r="121" spans="1:9" ht="99" customHeight="1" x14ac:dyDescent="0.25">
      <c r="A121" s="406"/>
      <c r="B121" s="140" t="s">
        <v>114</v>
      </c>
      <c r="C121" s="191">
        <v>288.8</v>
      </c>
      <c r="D121" s="223">
        <f>'Пр.4 ведом.20'!G176</f>
        <v>288.8</v>
      </c>
    </row>
    <row r="122" spans="1:9" ht="47.25" x14ac:dyDescent="0.25">
      <c r="A122" s="406"/>
      <c r="B122" s="140" t="s">
        <v>115</v>
      </c>
      <c r="C122" s="191">
        <f t="shared" ref="C122" si="18">SUM(C123:C124)</f>
        <v>3621.3999999999996</v>
      </c>
      <c r="D122" s="223">
        <f>'Пр.4 ведом.20'!G205</f>
        <v>3621.4</v>
      </c>
    </row>
    <row r="123" spans="1:9" ht="31.5" x14ac:dyDescent="0.25">
      <c r="A123" s="406"/>
      <c r="B123" s="153" t="s">
        <v>717</v>
      </c>
      <c r="C123" s="331">
        <v>2829.1</v>
      </c>
      <c r="D123" s="223"/>
    </row>
    <row r="124" spans="1:9" ht="31.5" x14ac:dyDescent="0.25">
      <c r="A124" s="406"/>
      <c r="B124" s="153" t="s">
        <v>718</v>
      </c>
      <c r="C124" s="331">
        <v>792.3</v>
      </c>
      <c r="D124" s="223"/>
    </row>
    <row r="125" spans="1:9" ht="126" x14ac:dyDescent="0.25">
      <c r="A125" s="406"/>
      <c r="B125" s="140" t="s">
        <v>842</v>
      </c>
      <c r="C125" s="191">
        <v>319.7</v>
      </c>
      <c r="D125" s="223">
        <f>'Пр.4 ведом.20'!G400</f>
        <v>319.7</v>
      </c>
    </row>
    <row r="126" spans="1:9" ht="110.25" customHeight="1" x14ac:dyDescent="0.25">
      <c r="A126" s="406"/>
      <c r="B126" s="140" t="s">
        <v>1502</v>
      </c>
      <c r="C126" s="191">
        <v>923.4</v>
      </c>
      <c r="D126" s="223">
        <f>'Пр.4 ведом.20'!G649</f>
        <v>923.4</v>
      </c>
    </row>
    <row r="127" spans="1:9" ht="47.25" x14ac:dyDescent="0.25">
      <c r="A127" s="406"/>
      <c r="B127" s="140" t="s">
        <v>117</v>
      </c>
      <c r="C127" s="191">
        <v>1115.9000000000001</v>
      </c>
      <c r="D127" s="223">
        <f>'Пр.4 ведом.20'!G63</f>
        <v>1115.9000000000001</v>
      </c>
    </row>
    <row r="128" spans="1:9" ht="147.75" customHeight="1" x14ac:dyDescent="0.25">
      <c r="A128" s="406"/>
      <c r="B128" s="375" t="s">
        <v>1393</v>
      </c>
      <c r="C128" s="329">
        <v>22</v>
      </c>
      <c r="D128" s="316">
        <f>'Пр.4 ведом.20'!G506</f>
        <v>22</v>
      </c>
      <c r="E128" s="218"/>
      <c r="F128" s="218"/>
      <c r="G128" s="218"/>
      <c r="H128" s="218"/>
      <c r="I128" s="263"/>
    </row>
    <row r="129" spans="1:9" ht="118.5" customHeight="1" x14ac:dyDescent="0.25">
      <c r="A129" s="406"/>
      <c r="B129" s="301" t="s">
        <v>1398</v>
      </c>
      <c r="C129" s="329">
        <v>1431.2</v>
      </c>
      <c r="D129" s="317">
        <f>'Пр.4 ведом.20'!G534</f>
        <v>1431.2</v>
      </c>
      <c r="E129" s="218"/>
      <c r="F129" s="218"/>
      <c r="G129" s="218"/>
      <c r="H129" s="218"/>
      <c r="I129" s="263"/>
    </row>
    <row r="130" spans="1:9" ht="54" customHeight="1" x14ac:dyDescent="0.25">
      <c r="A130" s="406"/>
      <c r="B130" s="140" t="s">
        <v>1375</v>
      </c>
      <c r="C130" s="191">
        <v>1914.5</v>
      </c>
      <c r="D130" s="318">
        <f>'Пр.4 ведом.20'!G1051</f>
        <v>1914.5</v>
      </c>
      <c r="E130" s="263"/>
      <c r="F130" s="263"/>
      <c r="G130" s="263"/>
      <c r="H130" s="263"/>
      <c r="I130" s="263"/>
    </row>
    <row r="131" spans="1:9" ht="120.2" customHeight="1" x14ac:dyDescent="0.25">
      <c r="A131" s="406"/>
      <c r="B131" s="154" t="s">
        <v>1504</v>
      </c>
      <c r="C131" s="191">
        <v>6426.5</v>
      </c>
      <c r="D131" s="318"/>
      <c r="E131" s="263"/>
      <c r="F131" s="263"/>
      <c r="G131" s="263"/>
      <c r="H131" s="359"/>
      <c r="I131" s="263"/>
    </row>
    <row r="132" spans="1:9" ht="114" customHeight="1" x14ac:dyDescent="0.25">
      <c r="A132" s="406"/>
      <c r="B132" s="154" t="s">
        <v>1505</v>
      </c>
      <c r="C132" s="191">
        <v>1908.6</v>
      </c>
      <c r="D132" s="318"/>
      <c r="E132" s="263"/>
      <c r="F132" s="263"/>
      <c r="G132" s="263"/>
      <c r="H132" s="359"/>
      <c r="I132" s="263"/>
    </row>
    <row r="133" spans="1:9" ht="115.5" customHeight="1" x14ac:dyDescent="0.25">
      <c r="A133" s="407"/>
      <c r="B133" s="154" t="s">
        <v>1506</v>
      </c>
      <c r="C133" s="191">
        <v>813.5</v>
      </c>
      <c r="D133" s="318"/>
      <c r="E133" s="263"/>
      <c r="F133" s="263"/>
      <c r="G133" s="263"/>
      <c r="H133" s="359"/>
      <c r="I133" s="263"/>
    </row>
    <row r="134" spans="1:9" ht="75.2" customHeight="1" x14ac:dyDescent="0.25">
      <c r="A134" s="138" t="s">
        <v>1400</v>
      </c>
      <c r="B134" s="238" t="s">
        <v>1402</v>
      </c>
      <c r="C134" s="333">
        <f>C135</f>
        <v>6</v>
      </c>
      <c r="D134" s="318">
        <f>'Пр.4 ведом.20'!G45</f>
        <v>6</v>
      </c>
      <c r="E134" s="263"/>
      <c r="F134" s="263"/>
      <c r="G134" s="263"/>
      <c r="H134" s="263"/>
      <c r="I134" s="263"/>
    </row>
    <row r="135" spans="1:9" ht="54" customHeight="1" x14ac:dyDescent="0.25">
      <c r="A135" s="219" t="s">
        <v>1401</v>
      </c>
      <c r="B135" s="99" t="s">
        <v>1402</v>
      </c>
      <c r="C135" s="329">
        <v>6</v>
      </c>
      <c r="D135" s="318"/>
      <c r="E135" s="263"/>
      <c r="F135" s="263"/>
      <c r="G135" s="263"/>
      <c r="H135" s="263"/>
      <c r="I135" s="263"/>
    </row>
    <row r="136" spans="1:9" ht="39.75" customHeight="1" x14ac:dyDescent="0.25">
      <c r="A136" s="138" t="s">
        <v>1395</v>
      </c>
      <c r="B136" s="238" t="s">
        <v>1397</v>
      </c>
      <c r="C136" s="190">
        <f>C137</f>
        <v>92.6</v>
      </c>
      <c r="D136" s="318">
        <f>'Пр.4 ведом.20'!G48</f>
        <v>92.6</v>
      </c>
      <c r="E136" s="263"/>
      <c r="F136" s="263"/>
      <c r="G136" s="263"/>
      <c r="H136" s="263"/>
      <c r="I136" s="263"/>
    </row>
    <row r="137" spans="1:9" ht="37.5" customHeight="1" x14ac:dyDescent="0.25">
      <c r="A137" s="219" t="s">
        <v>1396</v>
      </c>
      <c r="B137" s="99" t="s">
        <v>1394</v>
      </c>
      <c r="C137" s="191">
        <v>92.6</v>
      </c>
      <c r="D137" s="318"/>
      <c r="E137" s="263"/>
      <c r="F137" s="263"/>
      <c r="G137" s="263"/>
      <c r="H137" s="263"/>
      <c r="I137" s="263"/>
    </row>
    <row r="138" spans="1:9" ht="31.5" x14ac:dyDescent="0.25">
      <c r="A138" s="138" t="s">
        <v>846</v>
      </c>
      <c r="B138" s="147" t="s">
        <v>118</v>
      </c>
      <c r="C138" s="190">
        <f t="shared" ref="C138" si="19">C139</f>
        <v>604.79999999999995</v>
      </c>
      <c r="D138" s="223"/>
    </row>
    <row r="139" spans="1:9" ht="31.5" x14ac:dyDescent="0.25">
      <c r="A139" s="219" t="s">
        <v>845</v>
      </c>
      <c r="B139" s="140" t="s">
        <v>119</v>
      </c>
      <c r="C139" s="191">
        <v>604.79999999999995</v>
      </c>
      <c r="D139" s="223">
        <f>'Пр.4 ведом.20'!G53</f>
        <v>604.80000000000007</v>
      </c>
    </row>
    <row r="140" spans="1:9" ht="18.75" x14ac:dyDescent="0.25">
      <c r="A140" s="138" t="s">
        <v>844</v>
      </c>
      <c r="B140" s="147" t="s">
        <v>120</v>
      </c>
      <c r="C140" s="190">
        <f>C141</f>
        <v>3028.5</v>
      </c>
      <c r="D140" s="223"/>
    </row>
    <row r="141" spans="1:9" ht="18.75" x14ac:dyDescent="0.25">
      <c r="A141" s="138" t="s">
        <v>843</v>
      </c>
      <c r="B141" s="147" t="s">
        <v>121</v>
      </c>
      <c r="C141" s="190">
        <f>C142</f>
        <v>3028.5</v>
      </c>
      <c r="D141" s="223"/>
    </row>
    <row r="142" spans="1:9" ht="31.5" x14ac:dyDescent="0.25">
      <c r="A142" s="405" t="s">
        <v>855</v>
      </c>
      <c r="B142" s="140" t="s">
        <v>1336</v>
      </c>
      <c r="C142" s="192">
        <f>SUM(C143:C145)</f>
        <v>3028.5</v>
      </c>
      <c r="D142" s="223"/>
    </row>
    <row r="143" spans="1:9" ht="110.25" x14ac:dyDescent="0.25">
      <c r="A143" s="406"/>
      <c r="B143" s="154" t="s">
        <v>809</v>
      </c>
      <c r="C143" s="192">
        <f>9263-6426.5</f>
        <v>2836.5</v>
      </c>
      <c r="D143" s="295">
        <f>'Пр.4 ведом.20'!G311+'Пр.4 ведом.20'!G577+'Пр.4 ведом.20'!G654+'Пр.4 ведом.20'!G730</f>
        <v>2836.4999999999995</v>
      </c>
      <c r="E143" s="296">
        <f>C143-D143</f>
        <v>0</v>
      </c>
      <c r="H143" s="220"/>
    </row>
    <row r="144" spans="1:9" ht="126" x14ac:dyDescent="0.25">
      <c r="A144" s="406"/>
      <c r="B144" s="154" t="s">
        <v>810</v>
      </c>
      <c r="C144" s="192">
        <f>2100.6-1908.6</f>
        <v>192</v>
      </c>
      <c r="D144" s="295">
        <f>'Пр.4 ведом.20'!G403+'Пр.4 ведом.20'!G365</f>
        <v>192</v>
      </c>
      <c r="E144" s="296">
        <f t="shared" ref="E144:E145" si="20">C144-D144</f>
        <v>0</v>
      </c>
      <c r="H144" s="220"/>
    </row>
    <row r="145" spans="1:12" ht="110.25" x14ac:dyDescent="0.25">
      <c r="A145" s="407"/>
      <c r="B145" s="154" t="s">
        <v>1503</v>
      </c>
      <c r="C145" s="192">
        <f>813.5-813.5</f>
        <v>0</v>
      </c>
      <c r="D145" s="295">
        <f>'Пр.4 ведом.20'!G831</f>
        <v>0</v>
      </c>
      <c r="E145" s="296">
        <f t="shared" si="20"/>
        <v>0</v>
      </c>
      <c r="H145" s="220"/>
    </row>
    <row r="146" spans="1:12" ht="18.75" x14ac:dyDescent="0.25">
      <c r="A146" s="367" t="s">
        <v>805</v>
      </c>
      <c r="B146" s="201" t="s">
        <v>806</v>
      </c>
      <c r="C146" s="202">
        <f>SUM(C147)</f>
        <v>22200</v>
      </c>
    </row>
    <row r="147" spans="1:12" ht="18.75" x14ac:dyDescent="0.25">
      <c r="A147" s="367" t="s">
        <v>807</v>
      </c>
      <c r="B147" s="201" t="s">
        <v>808</v>
      </c>
      <c r="C147" s="202">
        <f>SUM(C148)</f>
        <v>22200</v>
      </c>
    </row>
    <row r="148" spans="1:12" ht="18.75" x14ac:dyDescent="0.25">
      <c r="A148" s="402" t="s">
        <v>878</v>
      </c>
      <c r="B148" s="205" t="s">
        <v>808</v>
      </c>
      <c r="C148" s="202">
        <f>SUM(C150:C151)</f>
        <v>22200</v>
      </c>
    </row>
    <row r="149" spans="1:12" ht="18.75" x14ac:dyDescent="0.25">
      <c r="A149" s="403"/>
      <c r="B149" s="205" t="s">
        <v>107</v>
      </c>
      <c r="C149" s="202"/>
    </row>
    <row r="150" spans="1:12" ht="84.75" customHeight="1" x14ac:dyDescent="0.25">
      <c r="A150" s="403"/>
      <c r="B150" s="203" t="s">
        <v>1493</v>
      </c>
      <c r="C150" s="192">
        <v>22200</v>
      </c>
      <c r="H150" s="220"/>
    </row>
    <row r="151" spans="1:12" ht="78.75" hidden="1" x14ac:dyDescent="0.25">
      <c r="A151" s="403"/>
      <c r="B151" s="203" t="s">
        <v>876</v>
      </c>
      <c r="C151" s="192">
        <v>0</v>
      </c>
    </row>
    <row r="152" spans="1:12" ht="18.75" x14ac:dyDescent="0.25">
      <c r="A152" s="219"/>
      <c r="B152" s="197" t="s">
        <v>122</v>
      </c>
      <c r="C152" s="190">
        <f>SUM(C9+C74)</f>
        <v>744581.89999999991</v>
      </c>
      <c r="D152" s="149"/>
      <c r="G152" s="208"/>
      <c r="H152" s="116"/>
      <c r="I152" s="116"/>
      <c r="L152" s="116"/>
    </row>
    <row r="154" spans="1:12" x14ac:dyDescent="0.25">
      <c r="C154" s="116"/>
      <c r="I154" s="262"/>
    </row>
  </sheetData>
  <mergeCells count="10">
    <mergeCell ref="B3:C3"/>
    <mergeCell ref="B2:C2"/>
    <mergeCell ref="B1:C1"/>
    <mergeCell ref="A148:A151"/>
    <mergeCell ref="A4:C4"/>
    <mergeCell ref="A5:C5"/>
    <mergeCell ref="A6:C6"/>
    <mergeCell ref="A142:A145"/>
    <mergeCell ref="A116:A133"/>
    <mergeCell ref="A99:A112"/>
  </mergeCells>
  <hyperlinks>
    <hyperlink ref="B66" r:id="rId1" display="consultantplus://offline/ref=90DD075742B43C415054D7C57EEE35341F87E5BC1D9D1BDE3A747C0D881C15D50B24F795703DF0A84C588B73F9A8AC3C8A6AC02CDB9A5E68c4m2F"/>
    <hyperlink ref="B68" r:id="rId2" display="consultantplus://offline/ref=90DD075742B43C415054D7C57EEE35341F87E5BC1D9D1BDE3A747C0D881C15D50B24F795703DF2AD4E588B73F9A8AC3C8A6AC02CDB9A5E68c4m2F"/>
    <hyperlink ref="B70" r:id="rId3" display="consultantplus://offline/ref=90DD075742B43C415054D7C57EEE35341F87E5BC1D9D1BDE3A747C0D881C15D50B24F795703CF7A64B588B73F9A8AC3C8A6AC02CDB9A5E68c4m2F"/>
    <hyperlink ref="B69" r:id="rId4" display="consultantplus://offline/ref=90DD075742B43C415054D7C57EEE35341F87E5BC1D9D1BDE3A747C0D881C15D50B24F795703CF7A64B588B73F9A8AC3C8A6AC02CDB9A5E68c4m2F"/>
    <hyperlink ref="B65" r:id="rId5" display="consultantplus://offline/ref=90DD075742B43C415054D7C57EEE35341F87E5BC1D9D1BDE3A747C0D881C15D50B24F795703DF0A84C588B73F9A8AC3C8A6AC02CDB9A5E68c4m2F"/>
    <hyperlink ref="B67" r:id="rId6" display="consultantplus://offline/ref=90DD075742B43C415054D7C57EEE35341F87E5BC1D9D1BDE3A747C0D881C15D50B24F795703DF2AD4E588B73F9A8AC3C8A6AC02CDB9A5E68c4m2F"/>
  </hyperlinks>
  <pageMargins left="0.23622047244094491" right="3.937007874015748E-2" top="0.55118110236220474" bottom="0.55118110236220474" header="0.31496062992125984" footer="0.31496062992125984"/>
  <pageSetup paperSize="9" scale="72" fitToHeight="6" orientation="portrait" r:id="rId7"/>
  <ignoredErrors>
    <ignoredError sqref="C43" formula="1"/>
  </ignoredErrors>
  <legacyDrawing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34"/>
  <sheetViews>
    <sheetView topLeftCell="A527" zoomScaleNormal="100" workbookViewId="0">
      <selection activeCell="I531" sqref="I531"/>
    </sheetView>
  </sheetViews>
  <sheetFormatPr defaultRowHeight="15" x14ac:dyDescent="0.25"/>
  <cols>
    <col min="1" max="1" width="38" style="1" customWidth="1"/>
    <col min="2" max="2" width="17.42578125" style="1" customWidth="1"/>
    <col min="3" max="3" width="8.28515625" style="1" customWidth="1"/>
    <col min="4" max="4" width="7.28515625" customWidth="1"/>
    <col min="5" max="5" width="8.7109375" customWidth="1"/>
    <col min="7" max="7" width="15.42578125" style="1" customWidth="1"/>
    <col min="9" max="9" width="9.140625" style="107"/>
  </cols>
  <sheetData>
    <row r="1" spans="1:8" ht="15.75" x14ac:dyDescent="0.25">
      <c r="D1" s="1"/>
      <c r="F1" s="57" t="s">
        <v>631</v>
      </c>
    </row>
    <row r="2" spans="1:8" ht="15.75" x14ac:dyDescent="0.25">
      <c r="D2" s="1"/>
      <c r="F2" s="57" t="s">
        <v>606</v>
      </c>
    </row>
    <row r="3" spans="1:8" ht="15.75" x14ac:dyDescent="0.25">
      <c r="D3" s="1"/>
      <c r="F3" s="57" t="s">
        <v>759</v>
      </c>
    </row>
    <row r="4" spans="1:8" ht="15.75" x14ac:dyDescent="0.25">
      <c r="D4" s="1"/>
      <c r="E4" s="1"/>
      <c r="F4" s="62"/>
      <c r="G4" s="63"/>
    </row>
    <row r="5" spans="1:8" ht="38.25" customHeight="1" x14ac:dyDescent="0.25">
      <c r="A5" s="418" t="s">
        <v>735</v>
      </c>
      <c r="B5" s="418"/>
      <c r="C5" s="418"/>
      <c r="D5" s="418"/>
      <c r="E5" s="418"/>
      <c r="F5" s="418"/>
      <c r="G5" s="418"/>
    </row>
    <row r="6" spans="1:8" ht="16.5" x14ac:dyDescent="0.25">
      <c r="A6" s="175"/>
      <c r="B6" s="175"/>
      <c r="C6" s="175"/>
      <c r="D6" s="175"/>
      <c r="E6" s="175"/>
      <c r="F6" s="175"/>
      <c r="G6" s="175"/>
    </row>
    <row r="7" spans="1:8" ht="15.75" x14ac:dyDescent="0.25">
      <c r="A7" s="62"/>
      <c r="B7" s="62"/>
      <c r="C7" s="62"/>
      <c r="D7" s="62"/>
      <c r="E7" s="64"/>
      <c r="F7" s="64"/>
      <c r="G7" s="65" t="s">
        <v>1</v>
      </c>
    </row>
    <row r="8" spans="1:8" ht="31.5" x14ac:dyDescent="0.25">
      <c r="A8" s="66" t="s">
        <v>607</v>
      </c>
      <c r="B8" s="66" t="s">
        <v>632</v>
      </c>
      <c r="C8" s="66" t="s">
        <v>633</v>
      </c>
      <c r="D8" s="66" t="s">
        <v>634</v>
      </c>
      <c r="E8" s="66" t="s">
        <v>635</v>
      </c>
      <c r="F8" s="66" t="s">
        <v>636</v>
      </c>
      <c r="G8" s="5" t="s">
        <v>4</v>
      </c>
    </row>
    <row r="9" spans="1:8" ht="15.75" x14ac:dyDescent="0.25">
      <c r="A9" s="66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  <c r="G9" s="5">
        <v>7</v>
      </c>
    </row>
    <row r="10" spans="1:8" ht="78.75" x14ac:dyDescent="0.25">
      <c r="A10" s="58" t="s">
        <v>637</v>
      </c>
      <c r="B10" s="7" t="s">
        <v>525</v>
      </c>
      <c r="C10" s="7"/>
      <c r="D10" s="7"/>
      <c r="E10" s="7"/>
      <c r="F10" s="7"/>
      <c r="G10" s="4" t="e">
        <f>G13</f>
        <v>#REF!</v>
      </c>
    </row>
    <row r="11" spans="1:8" ht="15.75" x14ac:dyDescent="0.25">
      <c r="A11" s="29" t="s">
        <v>247</v>
      </c>
      <c r="B11" s="40" t="s">
        <v>525</v>
      </c>
      <c r="C11" s="40" t="s">
        <v>165</v>
      </c>
      <c r="D11" s="40"/>
      <c r="E11" s="40"/>
      <c r="F11" s="40"/>
      <c r="G11" s="6" t="e">
        <f>G12</f>
        <v>#REF!</v>
      </c>
    </row>
    <row r="12" spans="1:8" ht="31.5" x14ac:dyDescent="0.25">
      <c r="A12" s="29" t="s">
        <v>523</v>
      </c>
      <c r="B12" s="40" t="s">
        <v>525</v>
      </c>
      <c r="C12" s="40" t="s">
        <v>165</v>
      </c>
      <c r="D12" s="40" t="s">
        <v>234</v>
      </c>
      <c r="E12" s="40"/>
      <c r="F12" s="40"/>
      <c r="G12" s="6" t="e">
        <f>G13</f>
        <v>#REF!</v>
      </c>
    </row>
    <row r="13" spans="1:8" ht="15.75" x14ac:dyDescent="0.25">
      <c r="A13" s="29" t="s">
        <v>526</v>
      </c>
      <c r="B13" s="40" t="s">
        <v>527</v>
      </c>
      <c r="C13" s="40" t="s">
        <v>165</v>
      </c>
      <c r="D13" s="40" t="s">
        <v>234</v>
      </c>
      <c r="E13" s="40"/>
      <c r="F13" s="40"/>
      <c r="G13" s="6" t="e">
        <f>G14+G16</f>
        <v>#REF!</v>
      </c>
    </row>
    <row r="14" spans="1:8" ht="47.25" x14ac:dyDescent="0.25">
      <c r="A14" s="29" t="s">
        <v>146</v>
      </c>
      <c r="B14" s="40" t="s">
        <v>527</v>
      </c>
      <c r="C14" s="40" t="s">
        <v>165</v>
      </c>
      <c r="D14" s="40" t="s">
        <v>234</v>
      </c>
      <c r="E14" s="40" t="s">
        <v>147</v>
      </c>
      <c r="F14" s="40"/>
      <c r="G14" s="6" t="e">
        <f>G15</f>
        <v>#REF!</v>
      </c>
    </row>
    <row r="15" spans="1:8" ht="47.25" x14ac:dyDescent="0.25">
      <c r="A15" s="29" t="s">
        <v>148</v>
      </c>
      <c r="B15" s="40" t="s">
        <v>527</v>
      </c>
      <c r="C15" s="40" t="s">
        <v>165</v>
      </c>
      <c r="D15" s="40" t="s">
        <v>234</v>
      </c>
      <c r="E15" s="40" t="s">
        <v>149</v>
      </c>
      <c r="F15" s="40"/>
      <c r="G15" s="6" t="e">
        <f>'Пр.4 ведом.20'!#REF!</f>
        <v>#REF!</v>
      </c>
      <c r="H15" s="113"/>
    </row>
    <row r="16" spans="1:8" ht="15.75" x14ac:dyDescent="0.25">
      <c r="A16" s="25" t="s">
        <v>150</v>
      </c>
      <c r="B16" s="40" t="s">
        <v>527</v>
      </c>
      <c r="C16" s="40" t="s">
        <v>165</v>
      </c>
      <c r="D16" s="40" t="s">
        <v>234</v>
      </c>
      <c r="E16" s="40" t="s">
        <v>160</v>
      </c>
      <c r="F16" s="40"/>
      <c r="G16" s="6" t="e">
        <f>G17</f>
        <v>#REF!</v>
      </c>
    </row>
    <row r="17" spans="1:8" ht="31.5" x14ac:dyDescent="0.25">
      <c r="A17" s="25" t="s">
        <v>152</v>
      </c>
      <c r="B17" s="40" t="s">
        <v>527</v>
      </c>
      <c r="C17" s="40" t="s">
        <v>165</v>
      </c>
      <c r="D17" s="40" t="s">
        <v>234</v>
      </c>
      <c r="E17" s="40" t="s">
        <v>153</v>
      </c>
      <c r="F17" s="40"/>
      <c r="G17" s="6" t="e">
        <f>'Пр.4 ведом.20'!#REF!</f>
        <v>#REF!</v>
      </c>
      <c r="H17" s="113"/>
    </row>
    <row r="18" spans="1:8" ht="47.25" x14ac:dyDescent="0.25">
      <c r="A18" s="45" t="s">
        <v>638</v>
      </c>
      <c r="B18" s="40" t="s">
        <v>525</v>
      </c>
      <c r="C18" s="40" t="s">
        <v>165</v>
      </c>
      <c r="D18" s="40" t="s">
        <v>234</v>
      </c>
      <c r="E18" s="40"/>
      <c r="F18" s="40" t="s">
        <v>639</v>
      </c>
      <c r="G18" s="6" t="e">
        <f>G13</f>
        <v>#REF!</v>
      </c>
    </row>
    <row r="19" spans="1:8" ht="78.75" x14ac:dyDescent="0.25">
      <c r="A19" s="58" t="s">
        <v>358</v>
      </c>
      <c r="B19" s="7" t="s">
        <v>359</v>
      </c>
      <c r="C19" s="7"/>
      <c r="D19" s="7"/>
      <c r="E19" s="7"/>
      <c r="F19" s="7"/>
      <c r="G19" s="59" t="e">
        <f>G20+G32+G39+G46+G55+G62+G69+G95</f>
        <v>#REF!</v>
      </c>
    </row>
    <row r="20" spans="1:8" ht="47.25" x14ac:dyDescent="0.25">
      <c r="A20" s="58" t="s">
        <v>640</v>
      </c>
      <c r="B20" s="7" t="s">
        <v>361</v>
      </c>
      <c r="C20" s="7"/>
      <c r="D20" s="7"/>
      <c r="E20" s="7"/>
      <c r="F20" s="7"/>
      <c r="G20" s="59" t="e">
        <f>G21</f>
        <v>#REF!</v>
      </c>
    </row>
    <row r="21" spans="1:8" ht="15.75" x14ac:dyDescent="0.25">
      <c r="A21" s="45" t="s">
        <v>258</v>
      </c>
      <c r="B21" s="40" t="s">
        <v>361</v>
      </c>
      <c r="C21" s="40" t="s">
        <v>259</v>
      </c>
      <c r="D21" s="40"/>
      <c r="E21" s="40"/>
      <c r="F21" s="40"/>
      <c r="G21" s="10" t="e">
        <f>G22</f>
        <v>#REF!</v>
      </c>
    </row>
    <row r="22" spans="1:8" ht="15.75" x14ac:dyDescent="0.25">
      <c r="A22" s="45" t="s">
        <v>267</v>
      </c>
      <c r="B22" s="40" t="s">
        <v>361</v>
      </c>
      <c r="C22" s="40" t="s">
        <v>259</v>
      </c>
      <c r="D22" s="40" t="s">
        <v>230</v>
      </c>
      <c r="E22" s="40"/>
      <c r="F22" s="40"/>
      <c r="G22" s="10" t="e">
        <f>G23+G28</f>
        <v>#REF!</v>
      </c>
    </row>
    <row r="23" spans="1:8" ht="47.25" x14ac:dyDescent="0.25">
      <c r="A23" s="29" t="s">
        <v>172</v>
      </c>
      <c r="B23" s="40" t="s">
        <v>641</v>
      </c>
      <c r="C23" s="40" t="s">
        <v>259</v>
      </c>
      <c r="D23" s="40" t="s">
        <v>230</v>
      </c>
      <c r="E23" s="40"/>
      <c r="F23" s="40"/>
      <c r="G23" s="10" t="e">
        <f>G26</f>
        <v>#REF!</v>
      </c>
    </row>
    <row r="24" spans="1:8" ht="110.25" hidden="1" x14ac:dyDescent="0.25">
      <c r="A24" s="25" t="s">
        <v>142</v>
      </c>
      <c r="B24" s="40" t="s">
        <v>641</v>
      </c>
      <c r="C24" s="40" t="s">
        <v>259</v>
      </c>
      <c r="D24" s="40" t="s">
        <v>230</v>
      </c>
      <c r="E24" s="40" t="s">
        <v>143</v>
      </c>
      <c r="F24" s="40"/>
      <c r="G24" s="10">
        <f>G25</f>
        <v>0</v>
      </c>
    </row>
    <row r="25" spans="1:8" ht="47.25" hidden="1" x14ac:dyDescent="0.25">
      <c r="A25" s="25" t="s">
        <v>144</v>
      </c>
      <c r="B25" s="40" t="s">
        <v>641</v>
      </c>
      <c r="C25" s="40" t="s">
        <v>259</v>
      </c>
      <c r="D25" s="40" t="s">
        <v>230</v>
      </c>
      <c r="E25" s="40" t="s">
        <v>145</v>
      </c>
      <c r="F25" s="40"/>
      <c r="G25" s="10"/>
    </row>
    <row r="26" spans="1:8" ht="47.25" x14ac:dyDescent="0.25">
      <c r="A26" s="29" t="s">
        <v>146</v>
      </c>
      <c r="B26" s="40" t="s">
        <v>641</v>
      </c>
      <c r="C26" s="40" t="s">
        <v>259</v>
      </c>
      <c r="D26" s="40" t="s">
        <v>230</v>
      </c>
      <c r="E26" s="40" t="s">
        <v>147</v>
      </c>
      <c r="F26" s="40"/>
      <c r="G26" s="10" t="e">
        <f>G27</f>
        <v>#REF!</v>
      </c>
    </row>
    <row r="27" spans="1:8" ht="47.25" x14ac:dyDescent="0.25">
      <c r="A27" s="29" t="s">
        <v>148</v>
      </c>
      <c r="B27" s="40" t="s">
        <v>641</v>
      </c>
      <c r="C27" s="40" t="s">
        <v>259</v>
      </c>
      <c r="D27" s="40" t="s">
        <v>230</v>
      </c>
      <c r="E27" s="40" t="s">
        <v>149</v>
      </c>
      <c r="F27" s="40"/>
      <c r="G27" s="6" t="e">
        <f>'Пр.4 ведом.20'!#REF!</f>
        <v>#REF!</v>
      </c>
    </row>
    <row r="28" spans="1:8" ht="47.25" x14ac:dyDescent="0.25">
      <c r="A28" s="25" t="s">
        <v>365</v>
      </c>
      <c r="B28" s="20" t="s">
        <v>366</v>
      </c>
      <c r="C28" s="40" t="s">
        <v>259</v>
      </c>
      <c r="D28" s="40" t="s">
        <v>230</v>
      </c>
      <c r="E28" s="40"/>
      <c r="F28" s="40"/>
      <c r="G28" s="10" t="e">
        <f>G29</f>
        <v>#REF!</v>
      </c>
    </row>
    <row r="29" spans="1:8" ht="63" x14ac:dyDescent="0.25">
      <c r="A29" s="25" t="s">
        <v>287</v>
      </c>
      <c r="B29" s="20" t="s">
        <v>366</v>
      </c>
      <c r="C29" s="40" t="s">
        <v>259</v>
      </c>
      <c r="D29" s="40" t="s">
        <v>230</v>
      </c>
      <c r="E29" s="40" t="s">
        <v>288</v>
      </c>
      <c r="F29" s="40"/>
      <c r="G29" s="10" t="e">
        <f>G30</f>
        <v>#REF!</v>
      </c>
    </row>
    <row r="30" spans="1:8" ht="15.75" x14ac:dyDescent="0.25">
      <c r="A30" s="25" t="s">
        <v>289</v>
      </c>
      <c r="B30" s="20" t="s">
        <v>366</v>
      </c>
      <c r="C30" s="40" t="s">
        <v>259</v>
      </c>
      <c r="D30" s="40" t="s">
        <v>230</v>
      </c>
      <c r="E30" s="40" t="s">
        <v>290</v>
      </c>
      <c r="F30" s="40"/>
      <c r="G30" s="10" t="e">
        <f>'Пр.4 ведом.20'!#REF!</f>
        <v>#REF!</v>
      </c>
      <c r="H30" s="113"/>
    </row>
    <row r="31" spans="1:8" ht="63" x14ac:dyDescent="0.25">
      <c r="A31" s="45" t="s">
        <v>276</v>
      </c>
      <c r="B31" s="20" t="s">
        <v>361</v>
      </c>
      <c r="C31" s="40" t="s">
        <v>259</v>
      </c>
      <c r="D31" s="40" t="s">
        <v>230</v>
      </c>
      <c r="E31" s="40"/>
      <c r="F31" s="40" t="s">
        <v>642</v>
      </c>
      <c r="G31" s="6" t="e">
        <f>G20</f>
        <v>#REF!</v>
      </c>
    </row>
    <row r="32" spans="1:8" ht="47.25" x14ac:dyDescent="0.25">
      <c r="A32" s="58" t="s">
        <v>643</v>
      </c>
      <c r="B32" s="7" t="s">
        <v>368</v>
      </c>
      <c r="C32" s="7"/>
      <c r="D32" s="7"/>
      <c r="E32" s="7"/>
      <c r="F32" s="7"/>
      <c r="G32" s="59" t="e">
        <f>G33</f>
        <v>#REF!</v>
      </c>
    </row>
    <row r="33" spans="1:7" ht="15.75" x14ac:dyDescent="0.25">
      <c r="A33" s="45" t="s">
        <v>258</v>
      </c>
      <c r="B33" s="40" t="s">
        <v>368</v>
      </c>
      <c r="C33" s="40" t="s">
        <v>259</v>
      </c>
      <c r="D33" s="40"/>
      <c r="E33" s="40"/>
      <c r="F33" s="40"/>
      <c r="G33" s="10" t="e">
        <f>G34</f>
        <v>#REF!</v>
      </c>
    </row>
    <row r="34" spans="1:7" ht="15.75" x14ac:dyDescent="0.25">
      <c r="A34" s="45" t="s">
        <v>267</v>
      </c>
      <c r="B34" s="40" t="s">
        <v>368</v>
      </c>
      <c r="C34" s="40" t="s">
        <v>259</v>
      </c>
      <c r="D34" s="40" t="s">
        <v>230</v>
      </c>
      <c r="E34" s="40"/>
      <c r="F34" s="40"/>
      <c r="G34" s="10" t="e">
        <f>G35</f>
        <v>#REF!</v>
      </c>
    </row>
    <row r="35" spans="1:7" ht="31.5" x14ac:dyDescent="0.25">
      <c r="A35" s="25" t="s">
        <v>629</v>
      </c>
      <c r="B35" s="20" t="s">
        <v>630</v>
      </c>
      <c r="C35" s="40" t="s">
        <v>259</v>
      </c>
      <c r="D35" s="40" t="s">
        <v>230</v>
      </c>
      <c r="E35" s="40"/>
      <c r="F35" s="40"/>
      <c r="G35" s="10" t="e">
        <f>G36</f>
        <v>#REF!</v>
      </c>
    </row>
    <row r="36" spans="1:7" ht="31.5" x14ac:dyDescent="0.25">
      <c r="A36" s="29" t="s">
        <v>263</v>
      </c>
      <c r="B36" s="20" t="s">
        <v>630</v>
      </c>
      <c r="C36" s="40" t="s">
        <v>259</v>
      </c>
      <c r="D36" s="40" t="s">
        <v>230</v>
      </c>
      <c r="E36" s="40" t="s">
        <v>264</v>
      </c>
      <c r="F36" s="40"/>
      <c r="G36" s="10" t="e">
        <f>G37</f>
        <v>#REF!</v>
      </c>
    </row>
    <row r="37" spans="1:7" ht="47.25" x14ac:dyDescent="0.25">
      <c r="A37" s="29" t="s">
        <v>265</v>
      </c>
      <c r="B37" s="20" t="s">
        <v>630</v>
      </c>
      <c r="C37" s="40" t="s">
        <v>259</v>
      </c>
      <c r="D37" s="40" t="s">
        <v>230</v>
      </c>
      <c r="E37" s="40" t="s">
        <v>266</v>
      </c>
      <c r="F37" s="40"/>
      <c r="G37" s="10" t="e">
        <f>'Пр.4 ведом.20'!#REF!</f>
        <v>#REF!</v>
      </c>
    </row>
    <row r="38" spans="1:7" ht="63" x14ac:dyDescent="0.25">
      <c r="A38" s="45" t="s">
        <v>276</v>
      </c>
      <c r="B38" s="20" t="s">
        <v>368</v>
      </c>
      <c r="C38" s="40" t="s">
        <v>259</v>
      </c>
      <c r="D38" s="40" t="s">
        <v>230</v>
      </c>
      <c r="E38" s="40"/>
      <c r="F38" s="40" t="s">
        <v>642</v>
      </c>
      <c r="G38" s="10" t="e">
        <f>G32</f>
        <v>#REF!</v>
      </c>
    </row>
    <row r="39" spans="1:7" ht="47.25" x14ac:dyDescent="0.25">
      <c r="A39" s="58" t="s">
        <v>644</v>
      </c>
      <c r="B39" s="7" t="s">
        <v>371</v>
      </c>
      <c r="C39" s="7"/>
      <c r="D39" s="7"/>
      <c r="E39" s="7"/>
      <c r="F39" s="7"/>
      <c r="G39" s="59" t="e">
        <f>G40</f>
        <v>#REF!</v>
      </c>
    </row>
    <row r="40" spans="1:7" ht="15.75" x14ac:dyDescent="0.25">
      <c r="A40" s="45" t="s">
        <v>258</v>
      </c>
      <c r="B40" s="40" t="s">
        <v>371</v>
      </c>
      <c r="C40" s="40" t="s">
        <v>259</v>
      </c>
      <c r="D40" s="40"/>
      <c r="E40" s="40"/>
      <c r="F40" s="40"/>
      <c r="G40" s="10" t="e">
        <f>G41</f>
        <v>#REF!</v>
      </c>
    </row>
    <row r="41" spans="1:7" ht="15.75" x14ac:dyDescent="0.25">
      <c r="A41" s="45" t="s">
        <v>267</v>
      </c>
      <c r="B41" s="40" t="s">
        <v>371</v>
      </c>
      <c r="C41" s="40" t="s">
        <v>259</v>
      </c>
      <c r="D41" s="40" t="s">
        <v>230</v>
      </c>
      <c r="E41" s="40"/>
      <c r="F41" s="40"/>
      <c r="G41" s="10" t="e">
        <f>G42</f>
        <v>#REF!</v>
      </c>
    </row>
    <row r="42" spans="1:7" ht="47.25" x14ac:dyDescent="0.25">
      <c r="A42" s="29" t="s">
        <v>172</v>
      </c>
      <c r="B42" s="40" t="s">
        <v>645</v>
      </c>
      <c r="C42" s="40" t="s">
        <v>259</v>
      </c>
      <c r="D42" s="40" t="s">
        <v>230</v>
      </c>
      <c r="E42" s="40"/>
      <c r="F42" s="40"/>
      <c r="G42" s="10" t="e">
        <f>G43</f>
        <v>#REF!</v>
      </c>
    </row>
    <row r="43" spans="1:7" ht="31.5" x14ac:dyDescent="0.25">
      <c r="A43" s="29" t="s">
        <v>263</v>
      </c>
      <c r="B43" s="40" t="s">
        <v>645</v>
      </c>
      <c r="C43" s="40" t="s">
        <v>259</v>
      </c>
      <c r="D43" s="40" t="s">
        <v>230</v>
      </c>
      <c r="E43" s="40" t="s">
        <v>264</v>
      </c>
      <c r="F43" s="40"/>
      <c r="G43" s="10" t="e">
        <f>G44</f>
        <v>#REF!</v>
      </c>
    </row>
    <row r="44" spans="1:7" ht="31.5" x14ac:dyDescent="0.25">
      <c r="A44" s="29" t="s">
        <v>363</v>
      </c>
      <c r="B44" s="40" t="s">
        <v>645</v>
      </c>
      <c r="C44" s="40" t="s">
        <v>259</v>
      </c>
      <c r="D44" s="40" t="s">
        <v>230</v>
      </c>
      <c r="E44" s="40" t="s">
        <v>364</v>
      </c>
      <c r="F44" s="40"/>
      <c r="G44" s="10" t="e">
        <f>'Пр.4 ведом.20'!#REF!</f>
        <v>#REF!</v>
      </c>
    </row>
    <row r="45" spans="1:7" ht="63" x14ac:dyDescent="0.25">
      <c r="A45" s="45" t="s">
        <v>276</v>
      </c>
      <c r="B45" s="40" t="s">
        <v>371</v>
      </c>
      <c r="C45" s="40" t="s">
        <v>259</v>
      </c>
      <c r="D45" s="40" t="s">
        <v>230</v>
      </c>
      <c r="E45" s="40"/>
      <c r="F45" s="40" t="s">
        <v>642</v>
      </c>
      <c r="G45" s="10" t="e">
        <f>G39</f>
        <v>#REF!</v>
      </c>
    </row>
    <row r="46" spans="1:7" ht="31.5" x14ac:dyDescent="0.25">
      <c r="A46" s="58" t="s">
        <v>646</v>
      </c>
      <c r="B46" s="7" t="s">
        <v>374</v>
      </c>
      <c r="C46" s="7"/>
      <c r="D46" s="7"/>
      <c r="E46" s="7"/>
      <c r="F46" s="7"/>
      <c r="G46" s="59" t="e">
        <f>G47</f>
        <v>#REF!</v>
      </c>
    </row>
    <row r="47" spans="1:7" ht="15.75" x14ac:dyDescent="0.25">
      <c r="A47" s="45" t="s">
        <v>258</v>
      </c>
      <c r="B47" s="40" t="s">
        <v>374</v>
      </c>
      <c r="C47" s="40" t="s">
        <v>259</v>
      </c>
      <c r="D47" s="40"/>
      <c r="E47" s="40"/>
      <c r="F47" s="40"/>
      <c r="G47" s="10" t="e">
        <f>G48</f>
        <v>#REF!</v>
      </c>
    </row>
    <row r="48" spans="1:7" ht="15.75" x14ac:dyDescent="0.25">
      <c r="A48" s="45" t="s">
        <v>267</v>
      </c>
      <c r="B48" s="40" t="s">
        <v>374</v>
      </c>
      <c r="C48" s="40" t="s">
        <v>259</v>
      </c>
      <c r="D48" s="40" t="s">
        <v>230</v>
      </c>
      <c r="E48" s="40"/>
      <c r="F48" s="40"/>
      <c r="G48" s="10" t="e">
        <f>G49</f>
        <v>#REF!</v>
      </c>
    </row>
    <row r="49" spans="1:7" ht="47.25" x14ac:dyDescent="0.25">
      <c r="A49" s="29" t="s">
        <v>172</v>
      </c>
      <c r="B49" s="40" t="s">
        <v>647</v>
      </c>
      <c r="C49" s="40" t="s">
        <v>259</v>
      </c>
      <c r="D49" s="40" t="s">
        <v>230</v>
      </c>
      <c r="E49" s="40"/>
      <c r="F49" s="40"/>
      <c r="G49" s="10" t="e">
        <f>G50+G52</f>
        <v>#REF!</v>
      </c>
    </row>
    <row r="50" spans="1:7" ht="47.25" x14ac:dyDescent="0.25">
      <c r="A50" s="29" t="s">
        <v>146</v>
      </c>
      <c r="B50" s="40" t="s">
        <v>647</v>
      </c>
      <c r="C50" s="40" t="s">
        <v>259</v>
      </c>
      <c r="D50" s="40" t="s">
        <v>230</v>
      </c>
      <c r="E50" s="40" t="s">
        <v>147</v>
      </c>
      <c r="F50" s="40"/>
      <c r="G50" s="10" t="e">
        <f>G51</f>
        <v>#REF!</v>
      </c>
    </row>
    <row r="51" spans="1:7" ht="47.25" x14ac:dyDescent="0.25">
      <c r="A51" s="29" t="s">
        <v>148</v>
      </c>
      <c r="B51" s="40" t="s">
        <v>647</v>
      </c>
      <c r="C51" s="40" t="s">
        <v>259</v>
      </c>
      <c r="D51" s="40" t="s">
        <v>230</v>
      </c>
      <c r="E51" s="40" t="s">
        <v>149</v>
      </c>
      <c r="F51" s="40"/>
      <c r="G51" s="10" t="e">
        <f>'Пр.4 ведом.20'!#REF!</f>
        <v>#REF!</v>
      </c>
    </row>
    <row r="52" spans="1:7" ht="31.5" x14ac:dyDescent="0.25">
      <c r="A52" s="29" t="s">
        <v>263</v>
      </c>
      <c r="B52" s="40" t="s">
        <v>647</v>
      </c>
      <c r="C52" s="40" t="s">
        <v>259</v>
      </c>
      <c r="D52" s="40" t="s">
        <v>230</v>
      </c>
      <c r="E52" s="40" t="s">
        <v>264</v>
      </c>
      <c r="F52" s="40"/>
      <c r="G52" s="10" t="e">
        <f>G53</f>
        <v>#REF!</v>
      </c>
    </row>
    <row r="53" spans="1:7" ht="31.5" x14ac:dyDescent="0.25">
      <c r="A53" s="29" t="s">
        <v>363</v>
      </c>
      <c r="B53" s="40" t="s">
        <v>647</v>
      </c>
      <c r="C53" s="40" t="s">
        <v>259</v>
      </c>
      <c r="D53" s="40" t="s">
        <v>230</v>
      </c>
      <c r="E53" s="40" t="s">
        <v>364</v>
      </c>
      <c r="F53" s="40"/>
      <c r="G53" s="10" t="e">
        <f>'Пр.4 ведом.20'!#REF!</f>
        <v>#REF!</v>
      </c>
    </row>
    <row r="54" spans="1:7" ht="63" x14ac:dyDescent="0.25">
      <c r="A54" s="45" t="s">
        <v>276</v>
      </c>
      <c r="B54" s="40" t="s">
        <v>374</v>
      </c>
      <c r="C54" s="40" t="s">
        <v>259</v>
      </c>
      <c r="D54" s="40" t="s">
        <v>230</v>
      </c>
      <c r="E54" s="40"/>
      <c r="F54" s="40" t="s">
        <v>642</v>
      </c>
      <c r="G54" s="10" t="e">
        <f>G46</f>
        <v>#REF!</v>
      </c>
    </row>
    <row r="55" spans="1:7" ht="47.25" x14ac:dyDescent="0.25">
      <c r="A55" s="58" t="s">
        <v>648</v>
      </c>
      <c r="B55" s="7" t="s">
        <v>377</v>
      </c>
      <c r="C55" s="7"/>
      <c r="D55" s="7"/>
      <c r="E55" s="7"/>
      <c r="F55" s="7"/>
      <c r="G55" s="59" t="e">
        <f>G56</f>
        <v>#REF!</v>
      </c>
    </row>
    <row r="56" spans="1:7" ht="15.75" x14ac:dyDescent="0.25">
      <c r="A56" s="45" t="s">
        <v>258</v>
      </c>
      <c r="B56" s="40" t="s">
        <v>377</v>
      </c>
      <c r="C56" s="40" t="s">
        <v>259</v>
      </c>
      <c r="D56" s="40"/>
      <c r="E56" s="40"/>
      <c r="F56" s="40"/>
      <c r="G56" s="10" t="e">
        <f>G57</f>
        <v>#REF!</v>
      </c>
    </row>
    <row r="57" spans="1:7" ht="21.75" customHeight="1" x14ac:dyDescent="0.25">
      <c r="A57" s="45" t="s">
        <v>267</v>
      </c>
      <c r="B57" s="40" t="s">
        <v>377</v>
      </c>
      <c r="C57" s="40" t="s">
        <v>259</v>
      </c>
      <c r="D57" s="40" t="s">
        <v>230</v>
      </c>
      <c r="E57" s="40"/>
      <c r="F57" s="40"/>
      <c r="G57" s="10" t="e">
        <f>G58</f>
        <v>#REF!</v>
      </c>
    </row>
    <row r="58" spans="1:7" ht="47.25" x14ac:dyDescent="0.25">
      <c r="A58" s="29" t="s">
        <v>172</v>
      </c>
      <c r="B58" s="40" t="s">
        <v>649</v>
      </c>
      <c r="C58" s="40" t="s">
        <v>259</v>
      </c>
      <c r="D58" s="40" t="s">
        <v>230</v>
      </c>
      <c r="E58" s="40"/>
      <c r="F58" s="40"/>
      <c r="G58" s="10" t="e">
        <f>G59</f>
        <v>#REF!</v>
      </c>
    </row>
    <row r="59" spans="1:7" ht="31.5" x14ac:dyDescent="0.25">
      <c r="A59" s="29" t="s">
        <v>263</v>
      </c>
      <c r="B59" s="40" t="s">
        <v>649</v>
      </c>
      <c r="C59" s="40" t="s">
        <v>259</v>
      </c>
      <c r="D59" s="40" t="s">
        <v>230</v>
      </c>
      <c r="E59" s="40" t="s">
        <v>264</v>
      </c>
      <c r="F59" s="40"/>
      <c r="G59" s="10" t="e">
        <f>G60</f>
        <v>#REF!</v>
      </c>
    </row>
    <row r="60" spans="1:7" ht="31.5" x14ac:dyDescent="0.25">
      <c r="A60" s="29" t="s">
        <v>363</v>
      </c>
      <c r="B60" s="40" t="s">
        <v>649</v>
      </c>
      <c r="C60" s="40" t="s">
        <v>259</v>
      </c>
      <c r="D60" s="40" t="s">
        <v>230</v>
      </c>
      <c r="E60" s="40" t="s">
        <v>364</v>
      </c>
      <c r="F60" s="40"/>
      <c r="G60" s="10" t="e">
        <f>'Пр.4 ведом.20'!#REF!</f>
        <v>#REF!</v>
      </c>
    </row>
    <row r="61" spans="1:7" ht="63" x14ac:dyDescent="0.25">
      <c r="A61" s="45" t="s">
        <v>276</v>
      </c>
      <c r="B61" s="40" t="s">
        <v>377</v>
      </c>
      <c r="C61" s="40" t="s">
        <v>259</v>
      </c>
      <c r="D61" s="40" t="s">
        <v>230</v>
      </c>
      <c r="E61" s="40"/>
      <c r="F61" s="40" t="s">
        <v>642</v>
      </c>
      <c r="G61" s="10" t="e">
        <f>G55</f>
        <v>#REF!</v>
      </c>
    </row>
    <row r="62" spans="1:7" ht="78.75" x14ac:dyDescent="0.25">
      <c r="A62" s="58" t="s">
        <v>379</v>
      </c>
      <c r="B62" s="7" t="s">
        <v>380</v>
      </c>
      <c r="C62" s="7"/>
      <c r="D62" s="7"/>
      <c r="E62" s="7"/>
      <c r="F62" s="7"/>
      <c r="G62" s="59" t="e">
        <f>G63</f>
        <v>#REF!</v>
      </c>
    </row>
    <row r="63" spans="1:7" ht="15.75" x14ac:dyDescent="0.25">
      <c r="A63" s="45" t="s">
        <v>258</v>
      </c>
      <c r="B63" s="40" t="s">
        <v>380</v>
      </c>
      <c r="C63" s="40" t="s">
        <v>259</v>
      </c>
      <c r="D63" s="40"/>
      <c r="E63" s="40"/>
      <c r="F63" s="40"/>
      <c r="G63" s="10" t="e">
        <f>G64</f>
        <v>#REF!</v>
      </c>
    </row>
    <row r="64" spans="1:7" ht="15.75" x14ac:dyDescent="0.25">
      <c r="A64" s="45" t="s">
        <v>267</v>
      </c>
      <c r="B64" s="40" t="s">
        <v>380</v>
      </c>
      <c r="C64" s="40" t="s">
        <v>259</v>
      </c>
      <c r="D64" s="40" t="s">
        <v>230</v>
      </c>
      <c r="E64" s="40"/>
      <c r="F64" s="40"/>
      <c r="G64" s="10" t="e">
        <f>G65</f>
        <v>#REF!</v>
      </c>
    </row>
    <row r="65" spans="1:7" ht="42.75" customHeight="1" x14ac:dyDescent="0.25">
      <c r="A65" s="29" t="s">
        <v>172</v>
      </c>
      <c r="B65" s="40" t="s">
        <v>650</v>
      </c>
      <c r="C65" s="40" t="s">
        <v>259</v>
      </c>
      <c r="D65" s="40" t="s">
        <v>230</v>
      </c>
      <c r="E65" s="40"/>
      <c r="F65" s="40"/>
      <c r="G65" s="10" t="e">
        <f>G66</f>
        <v>#REF!</v>
      </c>
    </row>
    <row r="66" spans="1:7" ht="47.25" x14ac:dyDescent="0.25">
      <c r="A66" s="29" t="s">
        <v>146</v>
      </c>
      <c r="B66" s="40" t="s">
        <v>650</v>
      </c>
      <c r="C66" s="40" t="s">
        <v>259</v>
      </c>
      <c r="D66" s="40" t="s">
        <v>230</v>
      </c>
      <c r="E66" s="40" t="s">
        <v>147</v>
      </c>
      <c r="F66" s="40"/>
      <c r="G66" s="10" t="e">
        <f>G67</f>
        <v>#REF!</v>
      </c>
    </row>
    <row r="67" spans="1:7" ht="47.25" x14ac:dyDescent="0.25">
      <c r="A67" s="29" t="s">
        <v>148</v>
      </c>
      <c r="B67" s="40" t="s">
        <v>650</v>
      </c>
      <c r="C67" s="40" t="s">
        <v>259</v>
      </c>
      <c r="D67" s="40" t="s">
        <v>230</v>
      </c>
      <c r="E67" s="40" t="s">
        <v>149</v>
      </c>
      <c r="F67" s="40"/>
      <c r="G67" s="10" t="e">
        <f>'Пр.4 ведом.20'!#REF!</f>
        <v>#REF!</v>
      </c>
    </row>
    <row r="68" spans="1:7" ht="63" x14ac:dyDescent="0.25">
      <c r="A68" s="45" t="s">
        <v>276</v>
      </c>
      <c r="B68" s="40" t="s">
        <v>380</v>
      </c>
      <c r="C68" s="40" t="s">
        <v>259</v>
      </c>
      <c r="D68" s="40" t="s">
        <v>230</v>
      </c>
      <c r="E68" s="40"/>
      <c r="F68" s="40" t="s">
        <v>642</v>
      </c>
      <c r="G68" s="10" t="e">
        <f>G62</f>
        <v>#REF!</v>
      </c>
    </row>
    <row r="69" spans="1:7" ht="94.5" x14ac:dyDescent="0.25">
      <c r="A69" s="41" t="s">
        <v>382</v>
      </c>
      <c r="B69" s="7" t="s">
        <v>383</v>
      </c>
      <c r="C69" s="7"/>
      <c r="D69" s="7"/>
      <c r="E69" s="7"/>
      <c r="F69" s="7"/>
      <c r="G69" s="59" t="e">
        <f>G70</f>
        <v>#REF!</v>
      </c>
    </row>
    <row r="70" spans="1:7" ht="15.75" x14ac:dyDescent="0.25">
      <c r="A70" s="45" t="s">
        <v>258</v>
      </c>
      <c r="B70" s="40" t="s">
        <v>383</v>
      </c>
      <c r="C70" s="40" t="s">
        <v>259</v>
      </c>
      <c r="D70" s="40"/>
      <c r="E70" s="40"/>
      <c r="F70" s="40"/>
      <c r="G70" s="10" t="e">
        <f>G71</f>
        <v>#REF!</v>
      </c>
    </row>
    <row r="71" spans="1:7" ht="15.75" x14ac:dyDescent="0.25">
      <c r="A71" s="45" t="s">
        <v>267</v>
      </c>
      <c r="B71" s="40" t="s">
        <v>383</v>
      </c>
      <c r="C71" s="40" t="s">
        <v>259</v>
      </c>
      <c r="D71" s="40" t="s">
        <v>230</v>
      </c>
      <c r="E71" s="40"/>
      <c r="F71" s="40"/>
      <c r="G71" s="10" t="e">
        <f>G72+G90+G81+G85+G77</f>
        <v>#REF!</v>
      </c>
    </row>
    <row r="72" spans="1:7" ht="45" customHeight="1" x14ac:dyDescent="0.25">
      <c r="A72" s="29" t="s">
        <v>172</v>
      </c>
      <c r="B72" s="40" t="s">
        <v>385</v>
      </c>
      <c r="C72" s="40" t="s">
        <v>259</v>
      </c>
      <c r="D72" s="40" t="s">
        <v>230</v>
      </c>
      <c r="E72" s="40"/>
      <c r="F72" s="40"/>
      <c r="G72" s="10" t="e">
        <f>G75+G73</f>
        <v>#REF!</v>
      </c>
    </row>
    <row r="73" spans="1:7" ht="47.25" hidden="1" x14ac:dyDescent="0.25">
      <c r="A73" s="29" t="s">
        <v>146</v>
      </c>
      <c r="B73" s="40" t="s">
        <v>383</v>
      </c>
      <c r="C73" s="40" t="s">
        <v>259</v>
      </c>
      <c r="D73" s="40" t="s">
        <v>230</v>
      </c>
      <c r="E73" s="40" t="s">
        <v>147</v>
      </c>
      <c r="F73" s="40"/>
      <c r="G73" s="10">
        <f>G74</f>
        <v>0</v>
      </c>
    </row>
    <row r="74" spans="1:7" ht="47.25" hidden="1" x14ac:dyDescent="0.25">
      <c r="A74" s="29" t="s">
        <v>148</v>
      </c>
      <c r="B74" s="40" t="s">
        <v>383</v>
      </c>
      <c r="C74" s="40" t="s">
        <v>259</v>
      </c>
      <c r="D74" s="40" t="s">
        <v>230</v>
      </c>
      <c r="E74" s="40" t="s">
        <v>149</v>
      </c>
      <c r="F74" s="40"/>
      <c r="G74" s="10"/>
    </row>
    <row r="75" spans="1:7" ht="63" x14ac:dyDescent="0.25">
      <c r="A75" s="25" t="s">
        <v>287</v>
      </c>
      <c r="B75" s="40" t="s">
        <v>385</v>
      </c>
      <c r="C75" s="40" t="s">
        <v>259</v>
      </c>
      <c r="D75" s="40" t="s">
        <v>230</v>
      </c>
      <c r="E75" s="40" t="s">
        <v>288</v>
      </c>
      <c r="F75" s="40"/>
      <c r="G75" s="10" t="e">
        <f>G76</f>
        <v>#REF!</v>
      </c>
    </row>
    <row r="76" spans="1:7" ht="72.75" customHeight="1" x14ac:dyDescent="0.25">
      <c r="A76" s="25" t="s">
        <v>386</v>
      </c>
      <c r="B76" s="40" t="s">
        <v>385</v>
      </c>
      <c r="C76" s="40" t="s">
        <v>259</v>
      </c>
      <c r="D76" s="40" t="s">
        <v>230</v>
      </c>
      <c r="E76" s="40" t="s">
        <v>387</v>
      </c>
      <c r="F76" s="40"/>
      <c r="G76" s="10" t="e">
        <f>'Пр.4 ведом.20'!#REF!</f>
        <v>#REF!</v>
      </c>
    </row>
    <row r="77" spans="1:7" ht="63" x14ac:dyDescent="0.25">
      <c r="A77" s="25" t="s">
        <v>390</v>
      </c>
      <c r="B77" s="20" t="s">
        <v>391</v>
      </c>
      <c r="C77" s="40" t="s">
        <v>259</v>
      </c>
      <c r="D77" s="40" t="s">
        <v>230</v>
      </c>
      <c r="E77" s="40"/>
      <c r="F77" s="40"/>
      <c r="G77" s="10" t="e">
        <f>G78</f>
        <v>#REF!</v>
      </c>
    </row>
    <row r="78" spans="1:7" ht="31.5" x14ac:dyDescent="0.25">
      <c r="A78" s="25" t="s">
        <v>263</v>
      </c>
      <c r="B78" s="20" t="s">
        <v>391</v>
      </c>
      <c r="C78" s="40" t="s">
        <v>259</v>
      </c>
      <c r="D78" s="40" t="s">
        <v>230</v>
      </c>
      <c r="E78" s="40" t="s">
        <v>264</v>
      </c>
      <c r="F78" s="40"/>
      <c r="G78" s="10" t="e">
        <f>G79</f>
        <v>#REF!</v>
      </c>
    </row>
    <row r="79" spans="1:7" ht="47.25" x14ac:dyDescent="0.25">
      <c r="A79" s="25" t="s">
        <v>265</v>
      </c>
      <c r="B79" s="20" t="s">
        <v>391</v>
      </c>
      <c r="C79" s="40" t="s">
        <v>259</v>
      </c>
      <c r="D79" s="40" t="s">
        <v>230</v>
      </c>
      <c r="E79" s="40" t="s">
        <v>266</v>
      </c>
      <c r="F79" s="40"/>
      <c r="G79" s="10" t="e">
        <f>'Пр.4 ведом.20'!#REF!</f>
        <v>#REF!</v>
      </c>
    </row>
    <row r="80" spans="1:7" ht="63" x14ac:dyDescent="0.25">
      <c r="A80" s="45" t="s">
        <v>276</v>
      </c>
      <c r="B80" s="20" t="s">
        <v>383</v>
      </c>
      <c r="C80" s="40" t="s">
        <v>259</v>
      </c>
      <c r="D80" s="40" t="s">
        <v>230</v>
      </c>
      <c r="E80" s="40"/>
      <c r="F80" s="9" t="s">
        <v>642</v>
      </c>
      <c r="G80" s="10" t="e">
        <f>G69</f>
        <v>#REF!</v>
      </c>
    </row>
    <row r="81" spans="1:7" ht="173.25" hidden="1" x14ac:dyDescent="0.25">
      <c r="A81" s="25" t="s">
        <v>388</v>
      </c>
      <c r="B81" s="20" t="s">
        <v>389</v>
      </c>
      <c r="C81" s="40" t="s">
        <v>259</v>
      </c>
      <c r="D81" s="40" t="s">
        <v>230</v>
      </c>
      <c r="E81" s="40"/>
      <c r="F81" s="9"/>
      <c r="G81" s="10">
        <f>G82</f>
        <v>0</v>
      </c>
    </row>
    <row r="82" spans="1:7" ht="15.75" hidden="1" x14ac:dyDescent="0.25">
      <c r="A82" s="25" t="s">
        <v>150</v>
      </c>
      <c r="B82" s="20" t="s">
        <v>389</v>
      </c>
      <c r="C82" s="40" t="s">
        <v>259</v>
      </c>
      <c r="D82" s="40" t="s">
        <v>230</v>
      </c>
      <c r="E82" s="40" t="s">
        <v>160</v>
      </c>
      <c r="F82" s="9"/>
      <c r="G82" s="10">
        <f>G83</f>
        <v>0</v>
      </c>
    </row>
    <row r="83" spans="1:7" ht="78.75" hidden="1" x14ac:dyDescent="0.25">
      <c r="A83" s="25" t="s">
        <v>199</v>
      </c>
      <c r="B83" s="20" t="s">
        <v>389</v>
      </c>
      <c r="C83" s="40" t="s">
        <v>259</v>
      </c>
      <c r="D83" s="40" t="s">
        <v>230</v>
      </c>
      <c r="E83" s="40" t="s">
        <v>175</v>
      </c>
      <c r="F83" s="9"/>
      <c r="G83" s="10"/>
    </row>
    <row r="84" spans="1:7" ht="63" hidden="1" x14ac:dyDescent="0.25">
      <c r="A84" s="45" t="s">
        <v>276</v>
      </c>
      <c r="B84" s="20" t="s">
        <v>389</v>
      </c>
      <c r="C84" s="40" t="s">
        <v>259</v>
      </c>
      <c r="D84" s="40" t="s">
        <v>230</v>
      </c>
      <c r="E84" s="40"/>
      <c r="F84" s="9" t="s">
        <v>642</v>
      </c>
      <c r="G84" s="10">
        <f>G83</f>
        <v>0</v>
      </c>
    </row>
    <row r="85" spans="1:7" ht="63" hidden="1" x14ac:dyDescent="0.25">
      <c r="A85" s="25" t="s">
        <v>390</v>
      </c>
      <c r="B85" s="20" t="s">
        <v>391</v>
      </c>
      <c r="C85" s="40" t="s">
        <v>259</v>
      </c>
      <c r="D85" s="40" t="s">
        <v>230</v>
      </c>
      <c r="E85" s="40"/>
      <c r="F85" s="9"/>
      <c r="G85" s="10">
        <f>G86</f>
        <v>0</v>
      </c>
    </row>
    <row r="86" spans="1:7" ht="31.5" hidden="1" x14ac:dyDescent="0.25">
      <c r="A86" s="29" t="s">
        <v>263</v>
      </c>
      <c r="B86" s="20" t="s">
        <v>391</v>
      </c>
      <c r="C86" s="40" t="s">
        <v>259</v>
      </c>
      <c r="D86" s="40" t="s">
        <v>230</v>
      </c>
      <c r="E86" s="40" t="s">
        <v>264</v>
      </c>
      <c r="F86" s="9"/>
      <c r="G86" s="10">
        <f>G87</f>
        <v>0</v>
      </c>
    </row>
    <row r="87" spans="1:7" ht="47.25" hidden="1" x14ac:dyDescent="0.25">
      <c r="A87" s="29" t="s">
        <v>265</v>
      </c>
      <c r="B87" s="20" t="s">
        <v>391</v>
      </c>
      <c r="C87" s="40" t="s">
        <v>259</v>
      </c>
      <c r="D87" s="40" t="s">
        <v>230</v>
      </c>
      <c r="E87" s="40" t="s">
        <v>266</v>
      </c>
      <c r="F87" s="9"/>
      <c r="G87" s="10"/>
    </row>
    <row r="88" spans="1:7" ht="63" hidden="1" x14ac:dyDescent="0.25">
      <c r="A88" s="45" t="s">
        <v>276</v>
      </c>
      <c r="B88" s="20" t="s">
        <v>391</v>
      </c>
      <c r="C88" s="40" t="s">
        <v>259</v>
      </c>
      <c r="D88" s="40" t="s">
        <v>230</v>
      </c>
      <c r="E88" s="40"/>
      <c r="F88" s="9" t="s">
        <v>642</v>
      </c>
      <c r="G88" s="10">
        <f>G85</f>
        <v>0</v>
      </c>
    </row>
    <row r="89" spans="1:7" ht="47.25" hidden="1" x14ac:dyDescent="0.25">
      <c r="A89" s="29" t="s">
        <v>392</v>
      </c>
      <c r="B89" s="20" t="s">
        <v>393</v>
      </c>
      <c r="C89" s="40" t="s">
        <v>259</v>
      </c>
      <c r="D89" s="40" t="s">
        <v>230</v>
      </c>
      <c r="E89" s="40"/>
      <c r="F89" s="40"/>
      <c r="G89" s="10">
        <f>G90</f>
        <v>0</v>
      </c>
    </row>
    <row r="90" spans="1:7" ht="47.25" hidden="1" x14ac:dyDescent="0.25">
      <c r="A90" s="29" t="s">
        <v>146</v>
      </c>
      <c r="B90" s="20" t="s">
        <v>393</v>
      </c>
      <c r="C90" s="40" t="s">
        <v>259</v>
      </c>
      <c r="D90" s="40" t="s">
        <v>230</v>
      </c>
      <c r="E90" s="40" t="s">
        <v>147</v>
      </c>
      <c r="F90" s="40"/>
      <c r="G90" s="10">
        <f>G91</f>
        <v>0</v>
      </c>
    </row>
    <row r="91" spans="1:7" ht="47.25" hidden="1" x14ac:dyDescent="0.25">
      <c r="A91" s="29" t="s">
        <v>148</v>
      </c>
      <c r="B91" s="20" t="s">
        <v>393</v>
      </c>
      <c r="C91" s="40" t="s">
        <v>259</v>
      </c>
      <c r="D91" s="40" t="s">
        <v>230</v>
      </c>
      <c r="E91" s="40" t="s">
        <v>149</v>
      </c>
      <c r="F91" s="40"/>
      <c r="G91" s="10">
        <v>0</v>
      </c>
    </row>
    <row r="92" spans="1:7" ht="15.75" hidden="1" x14ac:dyDescent="0.25">
      <c r="A92" s="29" t="s">
        <v>150</v>
      </c>
      <c r="B92" s="20" t="s">
        <v>393</v>
      </c>
      <c r="C92" s="40" t="s">
        <v>259</v>
      </c>
      <c r="D92" s="40" t="s">
        <v>230</v>
      </c>
      <c r="E92" s="40" t="s">
        <v>160</v>
      </c>
      <c r="F92" s="40"/>
      <c r="G92" s="10"/>
    </row>
    <row r="93" spans="1:7" ht="78.75" hidden="1" x14ac:dyDescent="0.25">
      <c r="A93" s="29" t="s">
        <v>199</v>
      </c>
      <c r="B93" s="20" t="s">
        <v>393</v>
      </c>
      <c r="C93" s="40" t="s">
        <v>259</v>
      </c>
      <c r="D93" s="40" t="s">
        <v>230</v>
      </c>
      <c r="E93" s="40" t="s">
        <v>175</v>
      </c>
      <c r="F93" s="40"/>
      <c r="G93" s="10"/>
    </row>
    <row r="94" spans="1:7" ht="63" hidden="1" x14ac:dyDescent="0.25">
      <c r="A94" s="45" t="s">
        <v>276</v>
      </c>
      <c r="B94" s="20" t="s">
        <v>393</v>
      </c>
      <c r="C94" s="40" t="s">
        <v>259</v>
      </c>
      <c r="D94" s="40" t="s">
        <v>230</v>
      </c>
      <c r="E94" s="40"/>
      <c r="F94" s="9" t="s">
        <v>642</v>
      </c>
      <c r="G94" s="10">
        <f>G89</f>
        <v>0</v>
      </c>
    </row>
    <row r="95" spans="1:7" ht="141.75" x14ac:dyDescent="0.25">
      <c r="A95" s="41" t="s">
        <v>395</v>
      </c>
      <c r="B95" s="7" t="s">
        <v>396</v>
      </c>
      <c r="C95" s="7"/>
      <c r="D95" s="7"/>
      <c r="E95" s="7"/>
      <c r="F95" s="8"/>
      <c r="G95" s="59" t="e">
        <f>G96</f>
        <v>#REF!</v>
      </c>
    </row>
    <row r="96" spans="1:7" ht="15.75" x14ac:dyDescent="0.25">
      <c r="A96" s="45" t="s">
        <v>258</v>
      </c>
      <c r="B96" s="40" t="s">
        <v>396</v>
      </c>
      <c r="C96" s="40" t="s">
        <v>259</v>
      </c>
      <c r="D96" s="40"/>
      <c r="E96" s="40"/>
      <c r="F96" s="9"/>
      <c r="G96" s="10" t="e">
        <f>G97</f>
        <v>#REF!</v>
      </c>
    </row>
    <row r="97" spans="1:7" ht="24.75" customHeight="1" x14ac:dyDescent="0.25">
      <c r="A97" s="45" t="s">
        <v>267</v>
      </c>
      <c r="B97" s="40" t="s">
        <v>396</v>
      </c>
      <c r="C97" s="40" t="s">
        <v>259</v>
      </c>
      <c r="D97" s="40" t="s">
        <v>230</v>
      </c>
      <c r="E97" s="40"/>
      <c r="F97" s="9"/>
      <c r="G97" s="10" t="e">
        <f>G98</f>
        <v>#REF!</v>
      </c>
    </row>
    <row r="98" spans="1:7" ht="47.25" x14ac:dyDescent="0.25">
      <c r="A98" s="29" t="s">
        <v>172</v>
      </c>
      <c r="B98" s="40" t="s">
        <v>397</v>
      </c>
      <c r="C98" s="40" t="s">
        <v>259</v>
      </c>
      <c r="D98" s="40" t="s">
        <v>230</v>
      </c>
      <c r="E98" s="40"/>
      <c r="F98" s="9"/>
      <c r="G98" s="10" t="e">
        <f>G99</f>
        <v>#REF!</v>
      </c>
    </row>
    <row r="99" spans="1:7" ht="47.25" x14ac:dyDescent="0.25">
      <c r="A99" s="29" t="s">
        <v>146</v>
      </c>
      <c r="B99" s="40" t="s">
        <v>397</v>
      </c>
      <c r="C99" s="40" t="s">
        <v>259</v>
      </c>
      <c r="D99" s="40" t="s">
        <v>230</v>
      </c>
      <c r="E99" s="40" t="s">
        <v>147</v>
      </c>
      <c r="F99" s="9"/>
      <c r="G99" s="10" t="e">
        <f>G100</f>
        <v>#REF!</v>
      </c>
    </row>
    <row r="100" spans="1:7" ht="47.25" x14ac:dyDescent="0.25">
      <c r="A100" s="29" t="s">
        <v>148</v>
      </c>
      <c r="B100" s="40" t="s">
        <v>397</v>
      </c>
      <c r="C100" s="40" t="s">
        <v>259</v>
      </c>
      <c r="D100" s="40" t="s">
        <v>230</v>
      </c>
      <c r="E100" s="40" t="s">
        <v>149</v>
      </c>
      <c r="F100" s="9"/>
      <c r="G100" s="10" t="e">
        <f>'Пр.4 ведом.20'!#REF!</f>
        <v>#REF!</v>
      </c>
    </row>
    <row r="101" spans="1:7" ht="63" x14ac:dyDescent="0.25">
      <c r="A101" s="45" t="s">
        <v>276</v>
      </c>
      <c r="B101" s="40" t="s">
        <v>396</v>
      </c>
      <c r="C101" s="40" t="s">
        <v>259</v>
      </c>
      <c r="D101" s="40" t="s">
        <v>230</v>
      </c>
      <c r="E101" s="40"/>
      <c r="F101" s="9" t="s">
        <v>642</v>
      </c>
      <c r="G101" s="10" t="e">
        <f>G95</f>
        <v>#REF!</v>
      </c>
    </row>
    <row r="102" spans="1:7" ht="63" x14ac:dyDescent="0.25">
      <c r="A102" s="58" t="s">
        <v>441</v>
      </c>
      <c r="B102" s="7" t="s">
        <v>421</v>
      </c>
      <c r="C102" s="7"/>
      <c r="D102" s="7"/>
      <c r="E102" s="7"/>
      <c r="F102" s="7"/>
      <c r="G102" s="59" t="e">
        <f>G103+G118+G163+G188+G210</f>
        <v>#REF!</v>
      </c>
    </row>
    <row r="103" spans="1:7" ht="47.25" x14ac:dyDescent="0.25">
      <c r="A103" s="41" t="s">
        <v>422</v>
      </c>
      <c r="B103" s="7" t="s">
        <v>423</v>
      </c>
      <c r="C103" s="7"/>
      <c r="D103" s="7"/>
      <c r="E103" s="7"/>
      <c r="F103" s="7"/>
      <c r="G103" s="59" t="e">
        <f>G104</f>
        <v>#REF!</v>
      </c>
    </row>
    <row r="104" spans="1:7" ht="15.75" x14ac:dyDescent="0.25">
      <c r="A104" s="29" t="s">
        <v>278</v>
      </c>
      <c r="B104" s="40" t="s">
        <v>423</v>
      </c>
      <c r="C104" s="40" t="s">
        <v>279</v>
      </c>
      <c r="D104" s="40"/>
      <c r="E104" s="40"/>
      <c r="F104" s="40"/>
      <c r="G104" s="10" t="e">
        <f>G105+G109+G113</f>
        <v>#REF!</v>
      </c>
    </row>
    <row r="105" spans="1:7" ht="15.75" x14ac:dyDescent="0.25">
      <c r="A105" s="45" t="s">
        <v>419</v>
      </c>
      <c r="B105" s="40" t="s">
        <v>423</v>
      </c>
      <c r="C105" s="40" t="s">
        <v>279</v>
      </c>
      <c r="D105" s="40" t="s">
        <v>133</v>
      </c>
      <c r="E105" s="40"/>
      <c r="F105" s="40"/>
      <c r="G105" s="10" t="e">
        <f>G106</f>
        <v>#REF!</v>
      </c>
    </row>
    <row r="106" spans="1:7" ht="63" x14ac:dyDescent="0.25">
      <c r="A106" s="29" t="s">
        <v>424</v>
      </c>
      <c r="B106" s="40" t="s">
        <v>425</v>
      </c>
      <c r="C106" s="40" t="s">
        <v>279</v>
      </c>
      <c r="D106" s="40" t="s">
        <v>133</v>
      </c>
      <c r="E106" s="40"/>
      <c r="F106" s="40"/>
      <c r="G106" s="10" t="e">
        <f>G107</f>
        <v>#REF!</v>
      </c>
    </row>
    <row r="107" spans="1:7" ht="63" x14ac:dyDescent="0.25">
      <c r="A107" s="29" t="s">
        <v>287</v>
      </c>
      <c r="B107" s="40" t="s">
        <v>425</v>
      </c>
      <c r="C107" s="40" t="s">
        <v>279</v>
      </c>
      <c r="D107" s="40" t="s">
        <v>133</v>
      </c>
      <c r="E107" s="40" t="s">
        <v>288</v>
      </c>
      <c r="F107" s="40"/>
      <c r="G107" s="10" t="e">
        <f>G108</f>
        <v>#REF!</v>
      </c>
    </row>
    <row r="108" spans="1:7" ht="15.75" x14ac:dyDescent="0.25">
      <c r="A108" s="29" t="s">
        <v>289</v>
      </c>
      <c r="B108" s="40" t="s">
        <v>425</v>
      </c>
      <c r="C108" s="40" t="s">
        <v>279</v>
      </c>
      <c r="D108" s="40" t="s">
        <v>133</v>
      </c>
      <c r="E108" s="40" t="s">
        <v>290</v>
      </c>
      <c r="F108" s="40"/>
      <c r="G108" s="6" t="e">
        <f>'Пр.4 ведом.20'!#REF!</f>
        <v>#REF!</v>
      </c>
    </row>
    <row r="109" spans="1:7" ht="15.75" x14ac:dyDescent="0.25">
      <c r="A109" s="29" t="s">
        <v>440</v>
      </c>
      <c r="B109" s="40" t="s">
        <v>423</v>
      </c>
      <c r="C109" s="40" t="s">
        <v>279</v>
      </c>
      <c r="D109" s="40" t="s">
        <v>228</v>
      </c>
      <c r="E109" s="40"/>
      <c r="F109" s="40"/>
      <c r="G109" s="10" t="e">
        <f>G110</f>
        <v>#REF!</v>
      </c>
    </row>
    <row r="110" spans="1:7" ht="57.75" customHeight="1" x14ac:dyDescent="0.25">
      <c r="A110" s="29" t="s">
        <v>442</v>
      </c>
      <c r="B110" s="40" t="s">
        <v>443</v>
      </c>
      <c r="C110" s="40" t="s">
        <v>279</v>
      </c>
      <c r="D110" s="40" t="s">
        <v>228</v>
      </c>
      <c r="E110" s="40"/>
      <c r="F110" s="40"/>
      <c r="G110" s="10" t="e">
        <f>G111</f>
        <v>#REF!</v>
      </c>
    </row>
    <row r="111" spans="1:7" ht="70.5" customHeight="1" x14ac:dyDescent="0.25">
      <c r="A111" s="29" t="s">
        <v>287</v>
      </c>
      <c r="B111" s="40" t="s">
        <v>443</v>
      </c>
      <c r="C111" s="40" t="s">
        <v>279</v>
      </c>
      <c r="D111" s="40" t="s">
        <v>228</v>
      </c>
      <c r="E111" s="40" t="s">
        <v>288</v>
      </c>
      <c r="F111" s="40"/>
      <c r="G111" s="10" t="e">
        <f>G112</f>
        <v>#REF!</v>
      </c>
    </row>
    <row r="112" spans="1:7" ht="15.75" x14ac:dyDescent="0.25">
      <c r="A112" s="29" t="s">
        <v>289</v>
      </c>
      <c r="B112" s="40" t="s">
        <v>443</v>
      </c>
      <c r="C112" s="40" t="s">
        <v>279</v>
      </c>
      <c r="D112" s="40" t="s">
        <v>228</v>
      </c>
      <c r="E112" s="40" t="s">
        <v>290</v>
      </c>
      <c r="F112" s="40"/>
      <c r="G112" s="6" t="e">
        <f>'Пр.4 ведом.20'!#REF!</f>
        <v>#REF!</v>
      </c>
    </row>
    <row r="113" spans="1:7" ht="15.75" x14ac:dyDescent="0.25">
      <c r="A113" s="29" t="s">
        <v>280</v>
      </c>
      <c r="B113" s="40" t="s">
        <v>423</v>
      </c>
      <c r="C113" s="40" t="s">
        <v>279</v>
      </c>
      <c r="D113" s="40" t="s">
        <v>230</v>
      </c>
      <c r="E113" s="40"/>
      <c r="F113" s="40"/>
      <c r="G113" s="6" t="e">
        <f>G114</f>
        <v>#REF!</v>
      </c>
    </row>
    <row r="114" spans="1:7" ht="63" x14ac:dyDescent="0.25">
      <c r="A114" s="29" t="s">
        <v>285</v>
      </c>
      <c r="B114" s="40" t="s">
        <v>444</v>
      </c>
      <c r="C114" s="40" t="s">
        <v>279</v>
      </c>
      <c r="D114" s="40" t="s">
        <v>230</v>
      </c>
      <c r="E114" s="7"/>
      <c r="F114" s="7"/>
      <c r="G114" s="10" t="e">
        <f>G115</f>
        <v>#REF!</v>
      </c>
    </row>
    <row r="115" spans="1:7" ht="63" x14ac:dyDescent="0.25">
      <c r="A115" s="29" t="s">
        <v>287</v>
      </c>
      <c r="B115" s="40" t="s">
        <v>444</v>
      </c>
      <c r="C115" s="40" t="s">
        <v>279</v>
      </c>
      <c r="D115" s="40" t="s">
        <v>230</v>
      </c>
      <c r="E115" s="40" t="s">
        <v>288</v>
      </c>
      <c r="F115" s="40"/>
      <c r="G115" s="10" t="e">
        <f>G116</f>
        <v>#REF!</v>
      </c>
    </row>
    <row r="116" spans="1:7" ht="15.75" x14ac:dyDescent="0.25">
      <c r="A116" s="29" t="s">
        <v>289</v>
      </c>
      <c r="B116" s="40" t="s">
        <v>444</v>
      </c>
      <c r="C116" s="40" t="s">
        <v>279</v>
      </c>
      <c r="D116" s="40" t="s">
        <v>230</v>
      </c>
      <c r="E116" s="40" t="s">
        <v>290</v>
      </c>
      <c r="F116" s="40"/>
      <c r="G116" s="6" t="e">
        <f>'Пр.4 ведом.20'!#REF!</f>
        <v>#REF!</v>
      </c>
    </row>
    <row r="117" spans="1:7" ht="47.25" x14ac:dyDescent="0.25">
      <c r="A117" s="29" t="s">
        <v>418</v>
      </c>
      <c r="B117" s="40" t="s">
        <v>423</v>
      </c>
      <c r="C117" s="40" t="s">
        <v>279</v>
      </c>
      <c r="D117" s="40" t="s">
        <v>230</v>
      </c>
      <c r="E117" s="40"/>
      <c r="F117" s="40" t="s">
        <v>651</v>
      </c>
      <c r="G117" s="6" t="e">
        <f>G103</f>
        <v>#REF!</v>
      </c>
    </row>
    <row r="118" spans="1:7" ht="47.25" x14ac:dyDescent="0.25">
      <c r="A118" s="41" t="s">
        <v>426</v>
      </c>
      <c r="B118" s="7" t="s">
        <v>427</v>
      </c>
      <c r="C118" s="7"/>
      <c r="D118" s="7"/>
      <c r="E118" s="7"/>
      <c r="F118" s="7"/>
      <c r="G118" s="59" t="e">
        <f>G119</f>
        <v>#REF!</v>
      </c>
    </row>
    <row r="119" spans="1:7" ht="15.75" x14ac:dyDescent="0.25">
      <c r="A119" s="29" t="s">
        <v>278</v>
      </c>
      <c r="B119" s="40" t="s">
        <v>427</v>
      </c>
      <c r="C119" s="40" t="s">
        <v>279</v>
      </c>
      <c r="D119" s="40"/>
      <c r="E119" s="40"/>
      <c r="F119" s="40"/>
      <c r="G119" s="10" t="e">
        <f>G120</f>
        <v>#REF!</v>
      </c>
    </row>
    <row r="120" spans="1:7" ht="15.75" x14ac:dyDescent="0.25">
      <c r="A120" s="45" t="s">
        <v>419</v>
      </c>
      <c r="B120" s="40" t="s">
        <v>427</v>
      </c>
      <c r="C120" s="40" t="s">
        <v>279</v>
      </c>
      <c r="D120" s="40" t="s">
        <v>133</v>
      </c>
      <c r="E120" s="40"/>
      <c r="F120" s="40"/>
      <c r="G120" s="10" t="e">
        <f>G133+G130</f>
        <v>#REF!</v>
      </c>
    </row>
    <row r="121" spans="1:7" ht="57.75" hidden="1" customHeight="1" x14ac:dyDescent="0.25">
      <c r="A121" s="29" t="s">
        <v>610</v>
      </c>
      <c r="B121" s="40" t="s">
        <v>611</v>
      </c>
      <c r="C121" s="40" t="s">
        <v>279</v>
      </c>
      <c r="D121" s="40" t="s">
        <v>133</v>
      </c>
      <c r="E121" s="40"/>
      <c r="F121" s="40"/>
      <c r="G121" s="10">
        <f>G122</f>
        <v>0</v>
      </c>
    </row>
    <row r="122" spans="1:7" ht="63" hidden="1" x14ac:dyDescent="0.25">
      <c r="A122" s="29" t="s">
        <v>287</v>
      </c>
      <c r="B122" s="40" t="s">
        <v>611</v>
      </c>
      <c r="C122" s="40" t="s">
        <v>279</v>
      </c>
      <c r="D122" s="40" t="s">
        <v>133</v>
      </c>
      <c r="E122" s="40" t="s">
        <v>288</v>
      </c>
      <c r="F122" s="40"/>
      <c r="G122" s="10">
        <f>G123</f>
        <v>0</v>
      </c>
    </row>
    <row r="123" spans="1:7" ht="15.75" hidden="1" x14ac:dyDescent="0.25">
      <c r="A123" s="29" t="s">
        <v>289</v>
      </c>
      <c r="B123" s="40" t="s">
        <v>611</v>
      </c>
      <c r="C123" s="40" t="s">
        <v>279</v>
      </c>
      <c r="D123" s="40" t="s">
        <v>133</v>
      </c>
      <c r="E123" s="40" t="s">
        <v>290</v>
      </c>
      <c r="F123" s="40"/>
      <c r="G123" s="10"/>
    </row>
    <row r="124" spans="1:7" ht="47.25" hidden="1" x14ac:dyDescent="0.25">
      <c r="A124" s="29" t="s">
        <v>418</v>
      </c>
      <c r="B124" s="40" t="s">
        <v>611</v>
      </c>
      <c r="C124" s="40" t="s">
        <v>279</v>
      </c>
      <c r="D124" s="40" t="s">
        <v>133</v>
      </c>
      <c r="E124" s="40"/>
      <c r="F124" s="40" t="s">
        <v>651</v>
      </c>
      <c r="G124" s="10">
        <v>0</v>
      </c>
    </row>
    <row r="125" spans="1:7" ht="47.25" hidden="1" x14ac:dyDescent="0.25">
      <c r="A125" s="29" t="s">
        <v>293</v>
      </c>
      <c r="B125" s="40" t="s">
        <v>612</v>
      </c>
      <c r="C125" s="40" t="s">
        <v>279</v>
      </c>
      <c r="D125" s="40" t="s">
        <v>133</v>
      </c>
      <c r="E125" s="40"/>
      <c r="F125" s="40"/>
      <c r="G125" s="10">
        <f>G126</f>
        <v>0</v>
      </c>
    </row>
    <row r="126" spans="1:7" ht="63" hidden="1" x14ac:dyDescent="0.25">
      <c r="A126" s="29" t="s">
        <v>287</v>
      </c>
      <c r="B126" s="40" t="s">
        <v>612</v>
      </c>
      <c r="C126" s="40" t="s">
        <v>279</v>
      </c>
      <c r="D126" s="40" t="s">
        <v>133</v>
      </c>
      <c r="E126" s="40" t="s">
        <v>288</v>
      </c>
      <c r="F126" s="40"/>
      <c r="G126" s="10">
        <f>G127</f>
        <v>0</v>
      </c>
    </row>
    <row r="127" spans="1:7" ht="15.75" hidden="1" x14ac:dyDescent="0.25">
      <c r="A127" s="29" t="s">
        <v>289</v>
      </c>
      <c r="B127" s="40" t="s">
        <v>612</v>
      </c>
      <c r="C127" s="40" t="s">
        <v>279</v>
      </c>
      <c r="D127" s="40" t="s">
        <v>133</v>
      </c>
      <c r="E127" s="40" t="s">
        <v>290</v>
      </c>
      <c r="F127" s="40"/>
      <c r="G127" s="10"/>
    </row>
    <row r="128" spans="1:7" ht="47.25" hidden="1" x14ac:dyDescent="0.25">
      <c r="A128" s="29" t="s">
        <v>418</v>
      </c>
      <c r="B128" s="40" t="s">
        <v>612</v>
      </c>
      <c r="C128" s="40" t="s">
        <v>279</v>
      </c>
      <c r="D128" s="40" t="s">
        <v>133</v>
      </c>
      <c r="E128" s="40"/>
      <c r="F128" s="40" t="s">
        <v>651</v>
      </c>
      <c r="G128" s="10">
        <v>0</v>
      </c>
    </row>
    <row r="129" spans="1:8" ht="31.5" x14ac:dyDescent="0.25">
      <c r="A129" s="29" t="s">
        <v>295</v>
      </c>
      <c r="B129" s="40" t="s">
        <v>429</v>
      </c>
      <c r="C129" s="40" t="s">
        <v>279</v>
      </c>
      <c r="D129" s="40" t="s">
        <v>133</v>
      </c>
      <c r="E129" s="40"/>
      <c r="F129" s="40"/>
      <c r="G129" s="10" t="e">
        <f>G130</f>
        <v>#REF!</v>
      </c>
    </row>
    <row r="130" spans="1:8" ht="63" x14ac:dyDescent="0.25">
      <c r="A130" s="29" t="s">
        <v>287</v>
      </c>
      <c r="B130" s="40" t="s">
        <v>429</v>
      </c>
      <c r="C130" s="40" t="s">
        <v>279</v>
      </c>
      <c r="D130" s="40" t="s">
        <v>133</v>
      </c>
      <c r="E130" s="40" t="s">
        <v>288</v>
      </c>
      <c r="F130" s="40"/>
      <c r="G130" s="10" t="e">
        <f>G131</f>
        <v>#REF!</v>
      </c>
    </row>
    <row r="131" spans="1:8" ht="15.75" x14ac:dyDescent="0.25">
      <c r="A131" s="29" t="s">
        <v>289</v>
      </c>
      <c r="B131" s="40" t="s">
        <v>429</v>
      </c>
      <c r="C131" s="40" t="s">
        <v>279</v>
      </c>
      <c r="D131" s="40" t="s">
        <v>133</v>
      </c>
      <c r="E131" s="40" t="s">
        <v>290</v>
      </c>
      <c r="F131" s="40"/>
      <c r="G131" s="160" t="e">
        <f>'Пр.4 ведом.20'!#REF!</f>
        <v>#REF!</v>
      </c>
      <c r="H131" s="161" t="s">
        <v>746</v>
      </c>
    </row>
    <row r="132" spans="1:8" ht="47.25" hidden="1" x14ac:dyDescent="0.25">
      <c r="A132" s="29" t="s">
        <v>418</v>
      </c>
      <c r="B132" s="40" t="s">
        <v>429</v>
      </c>
      <c r="C132" s="40" t="s">
        <v>279</v>
      </c>
      <c r="D132" s="40" t="s">
        <v>133</v>
      </c>
      <c r="E132" s="40"/>
      <c r="F132" s="40" t="s">
        <v>651</v>
      </c>
      <c r="G132" s="10"/>
    </row>
    <row r="133" spans="1:8" ht="63" x14ac:dyDescent="0.25">
      <c r="A133" s="29" t="s">
        <v>430</v>
      </c>
      <c r="B133" s="40" t="s">
        <v>431</v>
      </c>
      <c r="C133" s="40" t="s">
        <v>279</v>
      </c>
      <c r="D133" s="40" t="s">
        <v>133</v>
      </c>
      <c r="E133" s="40"/>
      <c r="F133" s="40"/>
      <c r="G133" s="10" t="e">
        <f>G134</f>
        <v>#REF!</v>
      </c>
    </row>
    <row r="134" spans="1:8" ht="65.25" customHeight="1" x14ac:dyDescent="0.25">
      <c r="A134" s="29" t="s">
        <v>287</v>
      </c>
      <c r="B134" s="40" t="s">
        <v>431</v>
      </c>
      <c r="C134" s="40" t="s">
        <v>279</v>
      </c>
      <c r="D134" s="40" t="s">
        <v>133</v>
      </c>
      <c r="E134" s="40" t="s">
        <v>288</v>
      </c>
      <c r="F134" s="40"/>
      <c r="G134" s="10" t="e">
        <f>G135</f>
        <v>#REF!</v>
      </c>
    </row>
    <row r="135" spans="1:8" ht="15.75" x14ac:dyDescent="0.25">
      <c r="A135" s="29" t="s">
        <v>289</v>
      </c>
      <c r="B135" s="40" t="s">
        <v>431</v>
      </c>
      <c r="C135" s="40" t="s">
        <v>279</v>
      </c>
      <c r="D135" s="40" t="s">
        <v>133</v>
      </c>
      <c r="E135" s="40" t="s">
        <v>290</v>
      </c>
      <c r="F135" s="40"/>
      <c r="G135" s="6" t="e">
        <f>'Пр.4 ведом.20'!#REF!</f>
        <v>#REF!</v>
      </c>
    </row>
    <row r="136" spans="1:8" ht="47.25" x14ac:dyDescent="0.25">
      <c r="A136" s="29" t="s">
        <v>418</v>
      </c>
      <c r="B136" s="40" t="s">
        <v>427</v>
      </c>
      <c r="C136" s="40" t="s">
        <v>279</v>
      </c>
      <c r="D136" s="40" t="s">
        <v>133</v>
      </c>
      <c r="E136" s="40"/>
      <c r="F136" s="40" t="s">
        <v>651</v>
      </c>
      <c r="G136" s="6" t="e">
        <f>G118+G131</f>
        <v>#REF!</v>
      </c>
    </row>
    <row r="137" spans="1:8" ht="31.5" hidden="1" x14ac:dyDescent="0.25">
      <c r="A137" s="29" t="s">
        <v>299</v>
      </c>
      <c r="B137" s="40" t="s">
        <v>615</v>
      </c>
      <c r="C137" s="40" t="s">
        <v>279</v>
      </c>
      <c r="D137" s="40" t="s">
        <v>133</v>
      </c>
      <c r="E137" s="40"/>
      <c r="F137" s="40"/>
      <c r="G137" s="10">
        <f>G138</f>
        <v>0</v>
      </c>
    </row>
    <row r="138" spans="1:8" ht="63" hidden="1" x14ac:dyDescent="0.25">
      <c r="A138" s="29" t="s">
        <v>287</v>
      </c>
      <c r="B138" s="40" t="s">
        <v>615</v>
      </c>
      <c r="C138" s="40" t="s">
        <v>279</v>
      </c>
      <c r="D138" s="40" t="s">
        <v>133</v>
      </c>
      <c r="E138" s="40" t="s">
        <v>288</v>
      </c>
      <c r="F138" s="40"/>
      <c r="G138" s="10">
        <f>G139</f>
        <v>0</v>
      </c>
    </row>
    <row r="139" spans="1:8" ht="15.75" hidden="1" x14ac:dyDescent="0.25">
      <c r="A139" s="29" t="s">
        <v>289</v>
      </c>
      <c r="B139" s="40" t="s">
        <v>615</v>
      </c>
      <c r="C139" s="40" t="s">
        <v>279</v>
      </c>
      <c r="D139" s="40" t="s">
        <v>133</v>
      </c>
      <c r="E139" s="40" t="s">
        <v>290</v>
      </c>
      <c r="F139" s="40"/>
      <c r="G139" s="10"/>
    </row>
    <row r="140" spans="1:8" ht="47.25" hidden="1" x14ac:dyDescent="0.25">
      <c r="A140" s="29" t="s">
        <v>418</v>
      </c>
      <c r="B140" s="40" t="s">
        <v>615</v>
      </c>
      <c r="C140" s="40" t="s">
        <v>279</v>
      </c>
      <c r="D140" s="40" t="s">
        <v>133</v>
      </c>
      <c r="E140" s="40"/>
      <c r="F140" s="40" t="s">
        <v>651</v>
      </c>
      <c r="G140" s="10">
        <v>0</v>
      </c>
    </row>
    <row r="141" spans="1:8" ht="47.25" x14ac:dyDescent="0.25">
      <c r="A141" s="41" t="s">
        <v>445</v>
      </c>
      <c r="B141" s="7" t="s">
        <v>446</v>
      </c>
      <c r="C141" s="7"/>
      <c r="D141" s="7"/>
      <c r="E141" s="7"/>
      <c r="F141" s="7"/>
      <c r="G141" s="4" t="e">
        <f>G162</f>
        <v>#REF!</v>
      </c>
    </row>
    <row r="142" spans="1:8" ht="70.5" hidden="1" customHeight="1" x14ac:dyDescent="0.25">
      <c r="A142" s="29" t="s">
        <v>610</v>
      </c>
      <c r="B142" s="40" t="s">
        <v>616</v>
      </c>
      <c r="C142" s="40" t="s">
        <v>279</v>
      </c>
      <c r="D142" s="40" t="s">
        <v>228</v>
      </c>
      <c r="E142" s="40"/>
      <c r="F142" s="40"/>
      <c r="G142" s="10">
        <f>G143</f>
        <v>0</v>
      </c>
    </row>
    <row r="143" spans="1:8" ht="63" hidden="1" x14ac:dyDescent="0.25">
      <c r="A143" s="29" t="s">
        <v>287</v>
      </c>
      <c r="B143" s="40" t="s">
        <v>616</v>
      </c>
      <c r="C143" s="40" t="s">
        <v>279</v>
      </c>
      <c r="D143" s="40" t="s">
        <v>228</v>
      </c>
      <c r="E143" s="40" t="s">
        <v>288</v>
      </c>
      <c r="F143" s="40"/>
      <c r="G143" s="10">
        <f>G145</f>
        <v>0</v>
      </c>
    </row>
    <row r="144" spans="1:8" ht="18.75" hidden="1" customHeight="1" x14ac:dyDescent="0.25">
      <c r="A144" s="29" t="s">
        <v>289</v>
      </c>
      <c r="B144" s="40" t="s">
        <v>616</v>
      </c>
      <c r="C144" s="40" t="s">
        <v>279</v>
      </c>
      <c r="D144" s="40" t="s">
        <v>228</v>
      </c>
      <c r="E144" s="40" t="s">
        <v>290</v>
      </c>
      <c r="F144" s="40"/>
      <c r="G144" s="10"/>
    </row>
    <row r="145" spans="1:7" ht="47.25" hidden="1" x14ac:dyDescent="0.25">
      <c r="A145" s="29" t="s">
        <v>418</v>
      </c>
      <c r="B145" s="40" t="s">
        <v>616</v>
      </c>
      <c r="C145" s="40" t="s">
        <v>279</v>
      </c>
      <c r="D145" s="40" t="s">
        <v>228</v>
      </c>
      <c r="E145" s="40"/>
      <c r="F145" s="40" t="s">
        <v>651</v>
      </c>
      <c r="G145" s="10"/>
    </row>
    <row r="146" spans="1:7" ht="78.75" hidden="1" x14ac:dyDescent="0.25">
      <c r="A146" s="25" t="s">
        <v>447</v>
      </c>
      <c r="B146" s="40" t="s">
        <v>448</v>
      </c>
      <c r="C146" s="40" t="s">
        <v>279</v>
      </c>
      <c r="D146" s="40" t="s">
        <v>228</v>
      </c>
      <c r="E146" s="40"/>
      <c r="F146" s="40"/>
      <c r="G146" s="10">
        <f>G147</f>
        <v>0</v>
      </c>
    </row>
    <row r="147" spans="1:7" ht="63" hidden="1" x14ac:dyDescent="0.25">
      <c r="A147" s="29" t="s">
        <v>287</v>
      </c>
      <c r="B147" s="40" t="s">
        <v>448</v>
      </c>
      <c r="C147" s="40" t="s">
        <v>279</v>
      </c>
      <c r="D147" s="40" t="s">
        <v>228</v>
      </c>
      <c r="E147" s="40" t="s">
        <v>288</v>
      </c>
      <c r="F147" s="40"/>
      <c r="G147" s="10">
        <f>G148</f>
        <v>0</v>
      </c>
    </row>
    <row r="148" spans="1:7" ht="15.75" hidden="1" x14ac:dyDescent="0.25">
      <c r="A148" s="29" t="s">
        <v>289</v>
      </c>
      <c r="B148" s="40" t="s">
        <v>448</v>
      </c>
      <c r="C148" s="40" t="s">
        <v>279</v>
      </c>
      <c r="D148" s="40" t="s">
        <v>228</v>
      </c>
      <c r="E148" s="40" t="s">
        <v>290</v>
      </c>
      <c r="F148" s="40"/>
      <c r="G148" s="10"/>
    </row>
    <row r="149" spans="1:7" ht="54.75" hidden="1" customHeight="1" x14ac:dyDescent="0.25">
      <c r="A149" s="29" t="s">
        <v>418</v>
      </c>
      <c r="B149" s="40" t="s">
        <v>448</v>
      </c>
      <c r="C149" s="40" t="s">
        <v>279</v>
      </c>
      <c r="D149" s="40" t="s">
        <v>228</v>
      </c>
      <c r="E149" s="40"/>
      <c r="F149" s="40" t="s">
        <v>651</v>
      </c>
      <c r="G149" s="10">
        <f>G146</f>
        <v>0</v>
      </c>
    </row>
    <row r="150" spans="1:7" ht="31.5" hidden="1" x14ac:dyDescent="0.25">
      <c r="A150" s="25" t="s">
        <v>449</v>
      </c>
      <c r="B150" s="20" t="s">
        <v>450</v>
      </c>
      <c r="C150" s="40" t="s">
        <v>279</v>
      </c>
      <c r="D150" s="40" t="s">
        <v>228</v>
      </c>
      <c r="E150" s="40"/>
      <c r="F150" s="40"/>
      <c r="G150" s="10">
        <f>G151</f>
        <v>0</v>
      </c>
    </row>
    <row r="151" spans="1:7" ht="65.25" hidden="1" customHeight="1" x14ac:dyDescent="0.25">
      <c r="A151" s="25" t="s">
        <v>287</v>
      </c>
      <c r="B151" s="20" t="s">
        <v>450</v>
      </c>
      <c r="C151" s="40" t="s">
        <v>279</v>
      </c>
      <c r="D151" s="40" t="s">
        <v>228</v>
      </c>
      <c r="E151" s="40" t="s">
        <v>288</v>
      </c>
      <c r="F151" s="40"/>
      <c r="G151" s="10">
        <f>G152</f>
        <v>0</v>
      </c>
    </row>
    <row r="152" spans="1:7" ht="15.75" hidden="1" x14ac:dyDescent="0.25">
      <c r="A152" s="25" t="s">
        <v>289</v>
      </c>
      <c r="B152" s="20" t="s">
        <v>450</v>
      </c>
      <c r="C152" s="40" t="s">
        <v>279</v>
      </c>
      <c r="D152" s="40" t="s">
        <v>228</v>
      </c>
      <c r="E152" s="40" t="s">
        <v>290</v>
      </c>
      <c r="F152" s="40"/>
      <c r="G152" s="10"/>
    </row>
    <row r="153" spans="1:7" ht="47.25" hidden="1" x14ac:dyDescent="0.25">
      <c r="A153" s="29" t="s">
        <v>418</v>
      </c>
      <c r="B153" s="20" t="s">
        <v>450</v>
      </c>
      <c r="C153" s="40" t="s">
        <v>279</v>
      </c>
      <c r="D153" s="40" t="s">
        <v>228</v>
      </c>
      <c r="E153" s="40"/>
      <c r="F153" s="40" t="s">
        <v>651</v>
      </c>
      <c r="G153" s="10">
        <f>G150</f>
        <v>0</v>
      </c>
    </row>
    <row r="154" spans="1:7" ht="63" hidden="1" x14ac:dyDescent="0.25">
      <c r="A154" s="25" t="s">
        <v>453</v>
      </c>
      <c r="B154" s="20" t="s">
        <v>454</v>
      </c>
      <c r="C154" s="40" t="s">
        <v>279</v>
      </c>
      <c r="D154" s="40" t="s">
        <v>228</v>
      </c>
      <c r="E154" s="40"/>
      <c r="F154" s="40"/>
      <c r="G154" s="10">
        <f>G155</f>
        <v>0</v>
      </c>
    </row>
    <row r="155" spans="1:7" ht="63" hidden="1" x14ac:dyDescent="0.25">
      <c r="A155" s="29" t="s">
        <v>287</v>
      </c>
      <c r="B155" s="20" t="s">
        <v>454</v>
      </c>
      <c r="C155" s="40" t="s">
        <v>279</v>
      </c>
      <c r="D155" s="40" t="s">
        <v>228</v>
      </c>
      <c r="E155" s="40" t="s">
        <v>288</v>
      </c>
      <c r="F155" s="40"/>
      <c r="G155" s="10">
        <f>G156</f>
        <v>0</v>
      </c>
    </row>
    <row r="156" spans="1:7" ht="15.75" hidden="1" x14ac:dyDescent="0.25">
      <c r="A156" s="29" t="s">
        <v>289</v>
      </c>
      <c r="B156" s="20" t="s">
        <v>454</v>
      </c>
      <c r="C156" s="40" t="s">
        <v>279</v>
      </c>
      <c r="D156" s="40" t="s">
        <v>228</v>
      </c>
      <c r="E156" s="40" t="s">
        <v>290</v>
      </c>
      <c r="F156" s="40"/>
      <c r="G156" s="10"/>
    </row>
    <row r="157" spans="1:7" ht="47.25" hidden="1" x14ac:dyDescent="0.25">
      <c r="A157" s="29" t="s">
        <v>418</v>
      </c>
      <c r="B157" s="20" t="s">
        <v>454</v>
      </c>
      <c r="C157" s="40" t="s">
        <v>279</v>
      </c>
      <c r="D157" s="40" t="s">
        <v>228</v>
      </c>
      <c r="E157" s="40"/>
      <c r="F157" s="40" t="s">
        <v>651</v>
      </c>
      <c r="G157" s="10">
        <f>G156</f>
        <v>0</v>
      </c>
    </row>
    <row r="158" spans="1:7" ht="47.25" hidden="1" x14ac:dyDescent="0.25">
      <c r="A158" s="25" t="s">
        <v>618</v>
      </c>
      <c r="B158" s="20" t="s">
        <v>457</v>
      </c>
      <c r="C158" s="40" t="s">
        <v>279</v>
      </c>
      <c r="D158" s="40" t="s">
        <v>228</v>
      </c>
      <c r="E158" s="40"/>
      <c r="F158" s="40"/>
      <c r="G158" s="10">
        <f>G159</f>
        <v>0</v>
      </c>
    </row>
    <row r="159" spans="1:7" ht="63" hidden="1" x14ac:dyDescent="0.25">
      <c r="A159" s="25" t="s">
        <v>287</v>
      </c>
      <c r="B159" s="20" t="s">
        <v>457</v>
      </c>
      <c r="C159" s="40" t="s">
        <v>279</v>
      </c>
      <c r="D159" s="40" t="s">
        <v>228</v>
      </c>
      <c r="E159" s="40" t="s">
        <v>288</v>
      </c>
      <c r="F159" s="40"/>
      <c r="G159" s="10">
        <f>G160</f>
        <v>0</v>
      </c>
    </row>
    <row r="160" spans="1:7" ht="15.75" hidden="1" x14ac:dyDescent="0.25">
      <c r="A160" s="25" t="s">
        <v>289</v>
      </c>
      <c r="B160" s="20" t="s">
        <v>457</v>
      </c>
      <c r="C160" s="40" t="s">
        <v>279</v>
      </c>
      <c r="D160" s="40" t="s">
        <v>228</v>
      </c>
      <c r="E160" s="40" t="s">
        <v>290</v>
      </c>
      <c r="F160" s="40"/>
      <c r="G160" s="10"/>
    </row>
    <row r="161" spans="1:8" ht="47.25" hidden="1" x14ac:dyDescent="0.25">
      <c r="A161" s="29" t="s">
        <v>418</v>
      </c>
      <c r="B161" s="20" t="s">
        <v>457</v>
      </c>
      <c r="C161" s="40" t="s">
        <v>279</v>
      </c>
      <c r="D161" s="40" t="s">
        <v>228</v>
      </c>
      <c r="E161" s="40"/>
      <c r="F161" s="40" t="s">
        <v>651</v>
      </c>
      <c r="G161" s="10">
        <f>G159</f>
        <v>0</v>
      </c>
    </row>
    <row r="162" spans="1:8" ht="15.75" x14ac:dyDescent="0.25">
      <c r="A162" s="29" t="s">
        <v>278</v>
      </c>
      <c r="B162" s="40" t="s">
        <v>446</v>
      </c>
      <c r="C162" s="40" t="s">
        <v>279</v>
      </c>
      <c r="D162" s="40"/>
      <c r="E162" s="40"/>
      <c r="F162" s="40"/>
      <c r="G162" s="10" t="e">
        <f>G163</f>
        <v>#REF!</v>
      </c>
    </row>
    <row r="163" spans="1:8" ht="15.75" x14ac:dyDescent="0.25">
      <c r="A163" s="29" t="s">
        <v>440</v>
      </c>
      <c r="B163" s="40" t="s">
        <v>446</v>
      </c>
      <c r="C163" s="40" t="s">
        <v>279</v>
      </c>
      <c r="D163" s="40" t="s">
        <v>228</v>
      </c>
      <c r="E163" s="40"/>
      <c r="F163" s="40"/>
      <c r="G163" s="10" t="e">
        <f>G164+G167+G173+G170+G176</f>
        <v>#REF!</v>
      </c>
    </row>
    <row r="164" spans="1:8" ht="78.75" x14ac:dyDescent="0.25">
      <c r="A164" s="29" t="s">
        <v>617</v>
      </c>
      <c r="B164" s="20" t="s">
        <v>452</v>
      </c>
      <c r="C164" s="40" t="s">
        <v>279</v>
      </c>
      <c r="D164" s="40" t="s">
        <v>228</v>
      </c>
      <c r="E164" s="40"/>
      <c r="F164" s="40"/>
      <c r="G164" s="10" t="e">
        <f>G165</f>
        <v>#REF!</v>
      </c>
    </row>
    <row r="165" spans="1:8" ht="63" x14ac:dyDescent="0.25">
      <c r="A165" s="29" t="s">
        <v>287</v>
      </c>
      <c r="B165" s="20" t="s">
        <v>452</v>
      </c>
      <c r="C165" s="40" t="s">
        <v>279</v>
      </c>
      <c r="D165" s="40" t="s">
        <v>228</v>
      </c>
      <c r="E165" s="40" t="s">
        <v>288</v>
      </c>
      <c r="F165" s="40"/>
      <c r="G165" s="10" t="e">
        <f>G166</f>
        <v>#REF!</v>
      </c>
    </row>
    <row r="166" spans="1:8" ht="24" customHeight="1" x14ac:dyDescent="0.25">
      <c r="A166" s="29" t="s">
        <v>289</v>
      </c>
      <c r="B166" s="20" t="s">
        <v>452</v>
      </c>
      <c r="C166" s="40" t="s">
        <v>279</v>
      </c>
      <c r="D166" s="40" t="s">
        <v>228</v>
      </c>
      <c r="E166" s="40" t="s">
        <v>290</v>
      </c>
      <c r="F166" s="40"/>
      <c r="G166" s="6" t="e">
        <f>'Пр.4 ведом.20'!#REF!</f>
        <v>#REF!</v>
      </c>
    </row>
    <row r="167" spans="1:8" ht="63" x14ac:dyDescent="0.25">
      <c r="A167" s="25" t="s">
        <v>453</v>
      </c>
      <c r="B167" s="20" t="s">
        <v>454</v>
      </c>
      <c r="C167" s="40" t="s">
        <v>279</v>
      </c>
      <c r="D167" s="40" t="s">
        <v>228</v>
      </c>
      <c r="E167" s="40"/>
      <c r="F167" s="40"/>
      <c r="G167" s="6" t="e">
        <f>G168</f>
        <v>#REF!</v>
      </c>
    </row>
    <row r="168" spans="1:8" ht="63" x14ac:dyDescent="0.25">
      <c r="A168" s="25" t="s">
        <v>287</v>
      </c>
      <c r="B168" s="20" t="s">
        <v>454</v>
      </c>
      <c r="C168" s="40" t="s">
        <v>279</v>
      </c>
      <c r="D168" s="40" t="s">
        <v>228</v>
      </c>
      <c r="E168" s="40" t="s">
        <v>288</v>
      </c>
      <c r="F168" s="40"/>
      <c r="G168" s="6" t="e">
        <f>G169</f>
        <v>#REF!</v>
      </c>
    </row>
    <row r="169" spans="1:8" ht="15.75" x14ac:dyDescent="0.25">
      <c r="A169" s="25" t="s">
        <v>289</v>
      </c>
      <c r="B169" s="20" t="s">
        <v>454</v>
      </c>
      <c r="C169" s="40" t="s">
        <v>279</v>
      </c>
      <c r="D169" s="40" t="s">
        <v>228</v>
      </c>
      <c r="E169" s="40" t="s">
        <v>290</v>
      </c>
      <c r="F169" s="40"/>
      <c r="G169" s="6" t="e">
        <f>'Пр.4 ведом.20'!#REF!</f>
        <v>#REF!</v>
      </c>
    </row>
    <row r="170" spans="1:8" ht="47.25" x14ac:dyDescent="0.25">
      <c r="A170" s="25" t="s">
        <v>293</v>
      </c>
      <c r="B170" s="40" t="s">
        <v>457</v>
      </c>
      <c r="C170" s="40" t="s">
        <v>279</v>
      </c>
      <c r="D170" s="40" t="s">
        <v>228</v>
      </c>
      <c r="E170" s="40"/>
      <c r="F170" s="40"/>
      <c r="G170" s="6" t="e">
        <f>G171</f>
        <v>#REF!</v>
      </c>
    </row>
    <row r="171" spans="1:8" ht="63" x14ac:dyDescent="0.25">
      <c r="A171" s="25" t="s">
        <v>287</v>
      </c>
      <c r="B171" s="40" t="s">
        <v>457</v>
      </c>
      <c r="C171" s="40" t="s">
        <v>279</v>
      </c>
      <c r="D171" s="40" t="s">
        <v>228</v>
      </c>
      <c r="E171" s="40" t="s">
        <v>288</v>
      </c>
      <c r="F171" s="40"/>
      <c r="G171" s="6" t="e">
        <f>G172</f>
        <v>#REF!</v>
      </c>
    </row>
    <row r="172" spans="1:8" ht="15.75" x14ac:dyDescent="0.25">
      <c r="A172" s="25" t="s">
        <v>289</v>
      </c>
      <c r="B172" s="40" t="s">
        <v>457</v>
      </c>
      <c r="C172" s="40" t="s">
        <v>279</v>
      </c>
      <c r="D172" s="40" t="s">
        <v>228</v>
      </c>
      <c r="E172" s="40" t="s">
        <v>290</v>
      </c>
      <c r="F172" s="40"/>
      <c r="G172" s="6" t="e">
        <f>'Пр.4 ведом.20'!#REF!</f>
        <v>#REF!</v>
      </c>
      <c r="H172" s="113"/>
    </row>
    <row r="173" spans="1:8" ht="47.25" x14ac:dyDescent="0.25">
      <c r="A173" s="29" t="s">
        <v>297</v>
      </c>
      <c r="B173" s="40" t="s">
        <v>459</v>
      </c>
      <c r="C173" s="40" t="s">
        <v>279</v>
      </c>
      <c r="D173" s="40" t="s">
        <v>228</v>
      </c>
      <c r="E173" s="40"/>
      <c r="F173" s="40"/>
      <c r="G173" s="10" t="e">
        <f>G174</f>
        <v>#REF!</v>
      </c>
    </row>
    <row r="174" spans="1:8" ht="63" x14ac:dyDescent="0.25">
      <c r="A174" s="29" t="s">
        <v>287</v>
      </c>
      <c r="B174" s="40" t="s">
        <v>459</v>
      </c>
      <c r="C174" s="40" t="s">
        <v>279</v>
      </c>
      <c r="D174" s="40" t="s">
        <v>228</v>
      </c>
      <c r="E174" s="40" t="s">
        <v>288</v>
      </c>
      <c r="F174" s="40"/>
      <c r="G174" s="10" t="e">
        <f>G175</f>
        <v>#REF!</v>
      </c>
    </row>
    <row r="175" spans="1:8" ht="26.45" customHeight="1" x14ac:dyDescent="0.25">
      <c r="A175" s="29" t="s">
        <v>289</v>
      </c>
      <c r="B175" s="40" t="s">
        <v>459</v>
      </c>
      <c r="C175" s="40" t="s">
        <v>279</v>
      </c>
      <c r="D175" s="40" t="s">
        <v>228</v>
      </c>
      <c r="E175" s="40" t="s">
        <v>290</v>
      </c>
      <c r="F175" s="40"/>
      <c r="G175" s="10" t="e">
        <f>'Пр.4 ведом.20'!#REF!</f>
        <v>#REF!</v>
      </c>
    </row>
    <row r="176" spans="1:8" ht="31.5" x14ac:dyDescent="0.25">
      <c r="A176" s="29" t="s">
        <v>299</v>
      </c>
      <c r="B176" s="40" t="s">
        <v>460</v>
      </c>
      <c r="C176" s="40" t="s">
        <v>279</v>
      </c>
      <c r="D176" s="40" t="s">
        <v>228</v>
      </c>
      <c r="E176" s="40"/>
      <c r="F176" s="40"/>
      <c r="G176" s="10" t="e">
        <f>G177</f>
        <v>#REF!</v>
      </c>
    </row>
    <row r="177" spans="1:7" ht="63" x14ac:dyDescent="0.25">
      <c r="A177" s="29" t="s">
        <v>287</v>
      </c>
      <c r="B177" s="40" t="s">
        <v>460</v>
      </c>
      <c r="C177" s="40" t="s">
        <v>279</v>
      </c>
      <c r="D177" s="40" t="s">
        <v>228</v>
      </c>
      <c r="E177" s="40" t="s">
        <v>288</v>
      </c>
      <c r="F177" s="40"/>
      <c r="G177" s="10" t="e">
        <f>G178</f>
        <v>#REF!</v>
      </c>
    </row>
    <row r="178" spans="1:7" ht="26.45" customHeight="1" x14ac:dyDescent="0.25">
      <c r="A178" s="29" t="s">
        <v>289</v>
      </c>
      <c r="B178" s="40" t="s">
        <v>460</v>
      </c>
      <c r="C178" s="40" t="s">
        <v>279</v>
      </c>
      <c r="D178" s="40" t="s">
        <v>228</v>
      </c>
      <c r="E178" s="40" t="s">
        <v>290</v>
      </c>
      <c r="F178" s="40"/>
      <c r="G178" s="10" t="e">
        <f>'Пр.4 ведом.20'!#REF!</f>
        <v>#REF!</v>
      </c>
    </row>
    <row r="179" spans="1:7" ht="47.25" x14ac:dyDescent="0.25">
      <c r="A179" s="29" t="s">
        <v>418</v>
      </c>
      <c r="B179" s="40" t="s">
        <v>446</v>
      </c>
      <c r="C179" s="40" t="s">
        <v>279</v>
      </c>
      <c r="D179" s="40" t="s">
        <v>228</v>
      </c>
      <c r="E179" s="40"/>
      <c r="F179" s="40" t="s">
        <v>651</v>
      </c>
      <c r="G179" s="10" t="e">
        <f>G141</f>
        <v>#REF!</v>
      </c>
    </row>
    <row r="180" spans="1:7" ht="31.5" hidden="1" x14ac:dyDescent="0.25">
      <c r="A180" s="29" t="s">
        <v>299</v>
      </c>
      <c r="B180" s="40" t="s">
        <v>619</v>
      </c>
      <c r="C180" s="40" t="s">
        <v>279</v>
      </c>
      <c r="D180" s="40" t="s">
        <v>228</v>
      </c>
      <c r="E180" s="40"/>
      <c r="F180" s="40"/>
      <c r="G180" s="10">
        <f>G181</f>
        <v>0</v>
      </c>
    </row>
    <row r="181" spans="1:7" ht="63" hidden="1" x14ac:dyDescent="0.25">
      <c r="A181" s="29" t="s">
        <v>287</v>
      </c>
      <c r="B181" s="40" t="s">
        <v>619</v>
      </c>
      <c r="C181" s="40" t="s">
        <v>279</v>
      </c>
      <c r="D181" s="40" t="s">
        <v>228</v>
      </c>
      <c r="E181" s="40" t="s">
        <v>288</v>
      </c>
      <c r="F181" s="40"/>
      <c r="G181" s="10">
        <f>G182</f>
        <v>0</v>
      </c>
    </row>
    <row r="182" spans="1:7" ht="15.75" hidden="1" x14ac:dyDescent="0.25">
      <c r="A182" s="29" t="s">
        <v>289</v>
      </c>
      <c r="B182" s="40" t="s">
        <v>619</v>
      </c>
      <c r="C182" s="40" t="s">
        <v>279</v>
      </c>
      <c r="D182" s="40" t="s">
        <v>228</v>
      </c>
      <c r="E182" s="40" t="s">
        <v>290</v>
      </c>
      <c r="F182" s="40"/>
      <c r="G182" s="10"/>
    </row>
    <row r="183" spans="1:7" ht="47.25" hidden="1" x14ac:dyDescent="0.25">
      <c r="A183" s="29" t="s">
        <v>418</v>
      </c>
      <c r="B183" s="40" t="s">
        <v>619</v>
      </c>
      <c r="C183" s="40" t="s">
        <v>279</v>
      </c>
      <c r="D183" s="40" t="s">
        <v>228</v>
      </c>
      <c r="E183" s="40"/>
      <c r="F183" s="40" t="s">
        <v>651</v>
      </c>
      <c r="G183" s="10">
        <v>0</v>
      </c>
    </row>
    <row r="184" spans="1:7" ht="47.25" hidden="1" x14ac:dyDescent="0.25">
      <c r="A184" s="29" t="s">
        <v>652</v>
      </c>
      <c r="B184" s="40" t="s">
        <v>620</v>
      </c>
      <c r="C184" s="40" t="s">
        <v>279</v>
      </c>
      <c r="D184" s="40" t="s">
        <v>228</v>
      </c>
      <c r="E184" s="40"/>
      <c r="F184" s="40"/>
      <c r="G184" s="10">
        <f>G185</f>
        <v>0</v>
      </c>
    </row>
    <row r="185" spans="1:7" ht="63" hidden="1" x14ac:dyDescent="0.25">
      <c r="A185" s="29" t="s">
        <v>287</v>
      </c>
      <c r="B185" s="40" t="s">
        <v>620</v>
      </c>
      <c r="C185" s="40" t="s">
        <v>279</v>
      </c>
      <c r="D185" s="40" t="s">
        <v>228</v>
      </c>
      <c r="E185" s="40" t="s">
        <v>288</v>
      </c>
      <c r="F185" s="40"/>
      <c r="G185" s="10">
        <f>G186</f>
        <v>0</v>
      </c>
    </row>
    <row r="186" spans="1:7" ht="15.75" hidden="1" x14ac:dyDescent="0.25">
      <c r="A186" s="29" t="s">
        <v>289</v>
      </c>
      <c r="B186" s="40" t="s">
        <v>620</v>
      </c>
      <c r="C186" s="40" t="s">
        <v>279</v>
      </c>
      <c r="D186" s="40" t="s">
        <v>228</v>
      </c>
      <c r="E186" s="40" t="s">
        <v>290</v>
      </c>
      <c r="F186" s="40"/>
      <c r="G186" s="10"/>
    </row>
    <row r="187" spans="1:7" ht="47.25" hidden="1" x14ac:dyDescent="0.25">
      <c r="A187" s="29" t="s">
        <v>418</v>
      </c>
      <c r="B187" s="40" t="s">
        <v>620</v>
      </c>
      <c r="C187" s="40" t="s">
        <v>279</v>
      </c>
      <c r="D187" s="40" t="s">
        <v>228</v>
      </c>
      <c r="E187" s="40"/>
      <c r="F187" s="40" t="s">
        <v>651</v>
      </c>
      <c r="G187" s="10">
        <v>0</v>
      </c>
    </row>
    <row r="188" spans="1:7" ht="45.75" customHeight="1" x14ac:dyDescent="0.25">
      <c r="A188" s="41" t="s">
        <v>461</v>
      </c>
      <c r="B188" s="7" t="s">
        <v>462</v>
      </c>
      <c r="C188" s="7"/>
      <c r="D188" s="7"/>
      <c r="E188" s="7"/>
      <c r="F188" s="7"/>
      <c r="G188" s="59" t="e">
        <f>G189</f>
        <v>#REF!</v>
      </c>
    </row>
    <row r="189" spans="1:7" ht="21.2" customHeight="1" x14ac:dyDescent="0.25">
      <c r="A189" s="29" t="s">
        <v>278</v>
      </c>
      <c r="B189" s="40" t="s">
        <v>462</v>
      </c>
      <c r="C189" s="40" t="s">
        <v>279</v>
      </c>
      <c r="D189" s="40"/>
      <c r="E189" s="40"/>
      <c r="F189" s="40"/>
      <c r="G189" s="10" t="e">
        <f>G190</f>
        <v>#REF!</v>
      </c>
    </row>
    <row r="190" spans="1:7" ht="22.7" customHeight="1" x14ac:dyDescent="0.25">
      <c r="A190" s="29" t="s">
        <v>280</v>
      </c>
      <c r="B190" s="40" t="s">
        <v>462</v>
      </c>
      <c r="C190" s="40" t="s">
        <v>279</v>
      </c>
      <c r="D190" s="40" t="s">
        <v>230</v>
      </c>
      <c r="E190" s="40"/>
      <c r="F190" s="40"/>
      <c r="G190" s="10" t="e">
        <f>G191</f>
        <v>#REF!</v>
      </c>
    </row>
    <row r="191" spans="1:7" ht="31.5" x14ac:dyDescent="0.25">
      <c r="A191" s="45" t="s">
        <v>720</v>
      </c>
      <c r="B191" s="20" t="s">
        <v>721</v>
      </c>
      <c r="C191" s="40" t="s">
        <v>279</v>
      </c>
      <c r="D191" s="40" t="s">
        <v>230</v>
      </c>
      <c r="E191" s="40"/>
      <c r="F191" s="40"/>
      <c r="G191" s="10" t="e">
        <f>G192</f>
        <v>#REF!</v>
      </c>
    </row>
    <row r="192" spans="1:7" ht="63" x14ac:dyDescent="0.25">
      <c r="A192" s="29" t="s">
        <v>287</v>
      </c>
      <c r="B192" s="20" t="s">
        <v>721</v>
      </c>
      <c r="C192" s="40" t="s">
        <v>279</v>
      </c>
      <c r="D192" s="40" t="s">
        <v>230</v>
      </c>
      <c r="E192" s="40" t="s">
        <v>288</v>
      </c>
      <c r="F192" s="40"/>
      <c r="G192" s="10" t="e">
        <f>G193</f>
        <v>#REF!</v>
      </c>
    </row>
    <row r="193" spans="1:8" ht="15.75" x14ac:dyDescent="0.25">
      <c r="A193" s="29" t="s">
        <v>289</v>
      </c>
      <c r="B193" s="20" t="s">
        <v>721</v>
      </c>
      <c r="C193" s="40" t="s">
        <v>279</v>
      </c>
      <c r="D193" s="40" t="s">
        <v>230</v>
      </c>
      <c r="E193" s="40" t="s">
        <v>290</v>
      </c>
      <c r="F193" s="40"/>
      <c r="G193" s="10" t="e">
        <f>'Пр.4 ведом.20'!#REF!</f>
        <v>#REF!</v>
      </c>
      <c r="H193" s="113"/>
    </row>
    <row r="194" spans="1:8" ht="47.25" x14ac:dyDescent="0.25">
      <c r="A194" s="29" t="s">
        <v>418</v>
      </c>
      <c r="B194" s="20" t="s">
        <v>721</v>
      </c>
      <c r="C194" s="40" t="s">
        <v>279</v>
      </c>
      <c r="D194" s="40" t="s">
        <v>230</v>
      </c>
      <c r="E194" s="40"/>
      <c r="F194" s="40" t="s">
        <v>651</v>
      </c>
      <c r="G194" s="10" t="e">
        <f>G189</f>
        <v>#REF!</v>
      </c>
    </row>
    <row r="195" spans="1:8" ht="47.25" hidden="1" x14ac:dyDescent="0.25">
      <c r="A195" s="29" t="s">
        <v>653</v>
      </c>
      <c r="B195" s="40" t="s">
        <v>621</v>
      </c>
      <c r="C195" s="40" t="s">
        <v>279</v>
      </c>
      <c r="D195" s="40" t="s">
        <v>228</v>
      </c>
      <c r="E195" s="40"/>
      <c r="F195" s="40"/>
      <c r="G195" s="10">
        <f>G199</f>
        <v>0</v>
      </c>
    </row>
    <row r="196" spans="1:8" ht="63" hidden="1" x14ac:dyDescent="0.25">
      <c r="A196" s="29" t="s">
        <v>287</v>
      </c>
      <c r="B196" s="40" t="s">
        <v>621</v>
      </c>
      <c r="C196" s="40" t="s">
        <v>483</v>
      </c>
      <c r="D196" s="40" t="s">
        <v>654</v>
      </c>
      <c r="E196" s="40" t="s">
        <v>288</v>
      </c>
      <c r="F196" s="40"/>
      <c r="G196" s="10">
        <f>G197</f>
        <v>0</v>
      </c>
    </row>
    <row r="197" spans="1:8" ht="15.75" hidden="1" x14ac:dyDescent="0.25">
      <c r="A197" s="29" t="s">
        <v>289</v>
      </c>
      <c r="B197" s="40" t="s">
        <v>621</v>
      </c>
      <c r="C197" s="40" t="s">
        <v>483</v>
      </c>
      <c r="D197" s="40" t="s">
        <v>654</v>
      </c>
      <c r="E197" s="40" t="s">
        <v>290</v>
      </c>
      <c r="F197" s="40"/>
      <c r="G197" s="10">
        <f>G198</f>
        <v>0</v>
      </c>
    </row>
    <row r="198" spans="1:8" ht="31.5" hidden="1" x14ac:dyDescent="0.25">
      <c r="A198" s="29" t="s">
        <v>613</v>
      </c>
      <c r="B198" s="40" t="s">
        <v>621</v>
      </c>
      <c r="C198" s="40" t="s">
        <v>483</v>
      </c>
      <c r="D198" s="40" t="s">
        <v>654</v>
      </c>
      <c r="E198" s="40" t="s">
        <v>614</v>
      </c>
      <c r="F198" s="40"/>
      <c r="G198" s="10">
        <f>G199</f>
        <v>0</v>
      </c>
    </row>
    <row r="199" spans="1:8" ht="47.25" hidden="1" x14ac:dyDescent="0.25">
      <c r="A199" s="29" t="s">
        <v>418</v>
      </c>
      <c r="B199" s="40" t="s">
        <v>621</v>
      </c>
      <c r="C199" s="40" t="s">
        <v>279</v>
      </c>
      <c r="D199" s="40" t="s">
        <v>228</v>
      </c>
      <c r="E199" s="40"/>
      <c r="F199" s="40" t="s">
        <v>651</v>
      </c>
      <c r="G199" s="10"/>
    </row>
    <row r="200" spans="1:8" ht="47.25" hidden="1" x14ac:dyDescent="0.25">
      <c r="A200" s="29" t="s">
        <v>655</v>
      </c>
      <c r="B200" s="20" t="s">
        <v>463</v>
      </c>
      <c r="C200" s="40" t="s">
        <v>279</v>
      </c>
      <c r="D200" s="40" t="s">
        <v>228</v>
      </c>
      <c r="E200" s="40"/>
      <c r="F200" s="40"/>
      <c r="G200" s="10">
        <f>G201</f>
        <v>0</v>
      </c>
    </row>
    <row r="201" spans="1:8" ht="31.5" hidden="1" x14ac:dyDescent="0.25">
      <c r="A201" s="29" t="s">
        <v>295</v>
      </c>
      <c r="B201" s="20" t="s">
        <v>463</v>
      </c>
      <c r="C201" s="40" t="s">
        <v>279</v>
      </c>
      <c r="D201" s="40" t="s">
        <v>228</v>
      </c>
      <c r="E201" s="40" t="s">
        <v>288</v>
      </c>
      <c r="F201" s="40"/>
      <c r="G201" s="10">
        <f>G202</f>
        <v>0</v>
      </c>
    </row>
    <row r="202" spans="1:8" ht="15.75" hidden="1" x14ac:dyDescent="0.25">
      <c r="A202" s="29" t="s">
        <v>289</v>
      </c>
      <c r="B202" s="20" t="s">
        <v>463</v>
      </c>
      <c r="C202" s="40" t="s">
        <v>279</v>
      </c>
      <c r="D202" s="40" t="s">
        <v>228</v>
      </c>
      <c r="E202" s="40" t="s">
        <v>290</v>
      </c>
      <c r="F202" s="40"/>
      <c r="G202" s="10"/>
    </row>
    <row r="203" spans="1:8" ht="31.5" hidden="1" x14ac:dyDescent="0.25">
      <c r="A203" s="29" t="s">
        <v>613</v>
      </c>
      <c r="B203" s="20" t="s">
        <v>463</v>
      </c>
      <c r="C203" s="40" t="s">
        <v>279</v>
      </c>
      <c r="D203" s="40" t="s">
        <v>228</v>
      </c>
      <c r="E203" s="40" t="s">
        <v>614</v>
      </c>
      <c r="F203" s="40"/>
      <c r="G203" s="10"/>
    </row>
    <row r="204" spans="1:8" ht="47.25" hidden="1" x14ac:dyDescent="0.25">
      <c r="A204" s="29" t="s">
        <v>418</v>
      </c>
      <c r="B204" s="20" t="s">
        <v>463</v>
      </c>
      <c r="C204" s="40" t="s">
        <v>279</v>
      </c>
      <c r="D204" s="40" t="s">
        <v>228</v>
      </c>
      <c r="E204" s="40"/>
      <c r="F204" s="40" t="s">
        <v>651</v>
      </c>
      <c r="G204" s="6">
        <f>G200</f>
        <v>0</v>
      </c>
    </row>
    <row r="205" spans="1:8" ht="47.25" hidden="1" x14ac:dyDescent="0.25">
      <c r="A205" s="29" t="s">
        <v>618</v>
      </c>
      <c r="B205" s="40" t="s">
        <v>464</v>
      </c>
      <c r="C205" s="40" t="s">
        <v>279</v>
      </c>
      <c r="D205" s="40" t="s">
        <v>228</v>
      </c>
      <c r="E205" s="40"/>
      <c r="F205" s="40"/>
      <c r="G205" s="10">
        <f>G206</f>
        <v>0</v>
      </c>
    </row>
    <row r="206" spans="1:8" ht="63" hidden="1" x14ac:dyDescent="0.25">
      <c r="A206" s="29" t="s">
        <v>287</v>
      </c>
      <c r="B206" s="40" t="s">
        <v>464</v>
      </c>
      <c r="C206" s="40" t="s">
        <v>279</v>
      </c>
      <c r="D206" s="40" t="s">
        <v>228</v>
      </c>
      <c r="E206" s="40" t="s">
        <v>288</v>
      </c>
      <c r="F206" s="40"/>
      <c r="G206" s="10">
        <f>G207</f>
        <v>0</v>
      </c>
    </row>
    <row r="207" spans="1:8" ht="15.75" hidden="1" x14ac:dyDescent="0.25">
      <c r="A207" s="29" t="s">
        <v>289</v>
      </c>
      <c r="B207" s="40" t="s">
        <v>464</v>
      </c>
      <c r="C207" s="40" t="s">
        <v>279</v>
      </c>
      <c r="D207" s="40" t="s">
        <v>228</v>
      </c>
      <c r="E207" s="40" t="s">
        <v>290</v>
      </c>
      <c r="F207" s="40" t="s">
        <v>651</v>
      </c>
      <c r="G207" s="10"/>
    </row>
    <row r="208" spans="1:8" ht="15.75" hidden="1" x14ac:dyDescent="0.25">
      <c r="A208" s="29"/>
      <c r="B208" s="40"/>
      <c r="C208" s="40"/>
      <c r="D208" s="40"/>
      <c r="E208" s="40"/>
      <c r="F208" s="40"/>
      <c r="G208" s="10"/>
    </row>
    <row r="209" spans="1:7" ht="15.75" hidden="1" x14ac:dyDescent="0.25">
      <c r="A209" s="29"/>
      <c r="B209" s="40"/>
      <c r="C209" s="40"/>
      <c r="D209" s="40"/>
      <c r="E209" s="40"/>
      <c r="F209" s="40"/>
      <c r="G209" s="10"/>
    </row>
    <row r="210" spans="1:7" ht="47.25" x14ac:dyDescent="0.25">
      <c r="A210" s="41" t="s">
        <v>482</v>
      </c>
      <c r="B210" s="7" t="s">
        <v>484</v>
      </c>
      <c r="C210" s="7"/>
      <c r="D210" s="7"/>
      <c r="E210" s="7"/>
      <c r="F210" s="7"/>
      <c r="G210" s="59" t="e">
        <f>G211</f>
        <v>#REF!</v>
      </c>
    </row>
    <row r="211" spans="1:7" ht="15.75" x14ac:dyDescent="0.25">
      <c r="A211" s="29" t="s">
        <v>278</v>
      </c>
      <c r="B211" s="40" t="s">
        <v>484</v>
      </c>
      <c r="C211" s="40" t="s">
        <v>279</v>
      </c>
      <c r="D211" s="40"/>
      <c r="E211" s="40"/>
      <c r="F211" s="40"/>
      <c r="G211" s="10" t="e">
        <f>G212</f>
        <v>#REF!</v>
      </c>
    </row>
    <row r="212" spans="1:7" ht="31.5" x14ac:dyDescent="0.25">
      <c r="A212" s="29" t="s">
        <v>481</v>
      </c>
      <c r="B212" s="40" t="s">
        <v>484</v>
      </c>
      <c r="C212" s="40" t="s">
        <v>279</v>
      </c>
      <c r="D212" s="40" t="s">
        <v>279</v>
      </c>
      <c r="E212" s="40"/>
      <c r="F212" s="40"/>
      <c r="G212" s="10" t="e">
        <f>G213</f>
        <v>#REF!</v>
      </c>
    </row>
    <row r="213" spans="1:7" ht="47.25" x14ac:dyDescent="0.25">
      <c r="A213" s="25" t="s">
        <v>624</v>
      </c>
      <c r="B213" s="20" t="s">
        <v>486</v>
      </c>
      <c r="C213" s="40" t="s">
        <v>279</v>
      </c>
      <c r="D213" s="40" t="s">
        <v>279</v>
      </c>
      <c r="E213" s="40"/>
      <c r="F213" s="40"/>
      <c r="G213" s="10" t="e">
        <f>G214</f>
        <v>#REF!</v>
      </c>
    </row>
    <row r="214" spans="1:7" ht="63" x14ac:dyDescent="0.25">
      <c r="A214" s="29" t="s">
        <v>287</v>
      </c>
      <c r="B214" s="20" t="s">
        <v>486</v>
      </c>
      <c r="C214" s="40" t="s">
        <v>279</v>
      </c>
      <c r="D214" s="40" t="s">
        <v>279</v>
      </c>
      <c r="E214" s="40" t="s">
        <v>288</v>
      </c>
      <c r="F214" s="40"/>
      <c r="G214" s="10" t="e">
        <f>G215</f>
        <v>#REF!</v>
      </c>
    </row>
    <row r="215" spans="1:7" ht="15.75" x14ac:dyDescent="0.25">
      <c r="A215" s="29" t="s">
        <v>289</v>
      </c>
      <c r="B215" s="20" t="s">
        <v>486</v>
      </c>
      <c r="C215" s="40" t="s">
        <v>279</v>
      </c>
      <c r="D215" s="40" t="s">
        <v>279</v>
      </c>
      <c r="E215" s="40" t="s">
        <v>290</v>
      </c>
      <c r="F215" s="40"/>
      <c r="G215" s="10" t="e">
        <f>'Пр.4 ведом.20'!#REF!</f>
        <v>#REF!</v>
      </c>
    </row>
    <row r="216" spans="1:7" ht="47.25" x14ac:dyDescent="0.25">
      <c r="A216" s="29" t="s">
        <v>418</v>
      </c>
      <c r="B216" s="20" t="s">
        <v>484</v>
      </c>
      <c r="C216" s="40" t="s">
        <v>279</v>
      </c>
      <c r="D216" s="40" t="s">
        <v>279</v>
      </c>
      <c r="E216" s="40"/>
      <c r="F216" s="40" t="s">
        <v>651</v>
      </c>
      <c r="G216" s="10" t="e">
        <f>G210</f>
        <v>#REF!</v>
      </c>
    </row>
    <row r="217" spans="1:7" ht="78.75" x14ac:dyDescent="0.25">
      <c r="A217" s="58" t="s">
        <v>170</v>
      </c>
      <c r="B217" s="176" t="s">
        <v>171</v>
      </c>
      <c r="C217" s="7"/>
      <c r="D217" s="176"/>
      <c r="E217" s="176"/>
      <c r="F217" s="176"/>
      <c r="G217" s="59" t="e">
        <f>G220</f>
        <v>#REF!</v>
      </c>
    </row>
    <row r="218" spans="1:7" ht="15.75" x14ac:dyDescent="0.25">
      <c r="A218" s="45" t="s">
        <v>132</v>
      </c>
      <c r="B218" s="5" t="s">
        <v>171</v>
      </c>
      <c r="C218" s="40" t="s">
        <v>133</v>
      </c>
      <c r="D218" s="5"/>
      <c r="E218" s="5"/>
      <c r="F218" s="5"/>
      <c r="G218" s="10" t="e">
        <f>G219</f>
        <v>#REF!</v>
      </c>
    </row>
    <row r="219" spans="1:7" ht="31.5" x14ac:dyDescent="0.25">
      <c r="A219" s="67" t="s">
        <v>154</v>
      </c>
      <c r="B219" s="66" t="s">
        <v>171</v>
      </c>
      <c r="C219" s="40" t="s">
        <v>133</v>
      </c>
      <c r="D219" s="66">
        <v>13</v>
      </c>
      <c r="E219" s="66"/>
      <c r="F219" s="66"/>
      <c r="G219" s="10" t="e">
        <f>G220</f>
        <v>#REF!</v>
      </c>
    </row>
    <row r="220" spans="1:7" ht="47.25" x14ac:dyDescent="0.25">
      <c r="A220" s="29" t="s">
        <v>172</v>
      </c>
      <c r="B220" s="66" t="s">
        <v>173</v>
      </c>
      <c r="C220" s="40" t="s">
        <v>133</v>
      </c>
      <c r="D220" s="40" t="s">
        <v>155</v>
      </c>
      <c r="E220" s="40"/>
      <c r="F220" s="40"/>
      <c r="G220" s="10" t="e">
        <f>G221</f>
        <v>#REF!</v>
      </c>
    </row>
    <row r="221" spans="1:7" ht="47.25" x14ac:dyDescent="0.25">
      <c r="A221" s="29" t="s">
        <v>146</v>
      </c>
      <c r="B221" s="66" t="s">
        <v>173</v>
      </c>
      <c r="C221" s="40" t="s">
        <v>133</v>
      </c>
      <c r="D221" s="40" t="s">
        <v>155</v>
      </c>
      <c r="E221" s="40" t="s">
        <v>160</v>
      </c>
      <c r="F221" s="40"/>
      <c r="G221" s="10" t="e">
        <f>G222</f>
        <v>#REF!</v>
      </c>
    </row>
    <row r="222" spans="1:7" ht="78.75" x14ac:dyDescent="0.25">
      <c r="A222" s="29" t="s">
        <v>199</v>
      </c>
      <c r="B222" s="66" t="s">
        <v>173</v>
      </c>
      <c r="C222" s="40" t="s">
        <v>133</v>
      </c>
      <c r="D222" s="40" t="s">
        <v>155</v>
      </c>
      <c r="E222" s="40" t="s">
        <v>175</v>
      </c>
      <c r="F222" s="40"/>
      <c r="G222" s="10" t="e">
        <f>'Пр.4 ведом.20'!#REF!</f>
        <v>#REF!</v>
      </c>
    </row>
    <row r="223" spans="1:7" ht="31.5" x14ac:dyDescent="0.25">
      <c r="A223" s="29" t="s">
        <v>163</v>
      </c>
      <c r="B223" s="66" t="s">
        <v>171</v>
      </c>
      <c r="C223" s="40" t="s">
        <v>133</v>
      </c>
      <c r="D223" s="40" t="s">
        <v>155</v>
      </c>
      <c r="E223" s="40"/>
      <c r="F223" s="40" t="s">
        <v>656</v>
      </c>
      <c r="G223" s="10" t="e">
        <f>G217</f>
        <v>#REF!</v>
      </c>
    </row>
    <row r="224" spans="1:7" ht="73.5" customHeight="1" x14ac:dyDescent="0.25">
      <c r="A224" s="41" t="s">
        <v>176</v>
      </c>
      <c r="B224" s="176" t="s">
        <v>177</v>
      </c>
      <c r="C224" s="7"/>
      <c r="D224" s="7"/>
      <c r="E224" s="7"/>
      <c r="F224" s="7"/>
      <c r="G224" s="59" t="e">
        <f>G225</f>
        <v>#REF!</v>
      </c>
    </row>
    <row r="225" spans="1:7" ht="15.75" x14ac:dyDescent="0.25">
      <c r="A225" s="45" t="s">
        <v>132</v>
      </c>
      <c r="B225" s="5" t="s">
        <v>177</v>
      </c>
      <c r="C225" s="40" t="s">
        <v>133</v>
      </c>
      <c r="D225" s="5"/>
      <c r="E225" s="5"/>
      <c r="F225" s="40"/>
      <c r="G225" s="10" t="e">
        <f>G226</f>
        <v>#REF!</v>
      </c>
    </row>
    <row r="226" spans="1:7" ht="31.5" x14ac:dyDescent="0.25">
      <c r="A226" s="67" t="s">
        <v>154</v>
      </c>
      <c r="B226" s="66" t="s">
        <v>177</v>
      </c>
      <c r="C226" s="40" t="s">
        <v>133</v>
      </c>
      <c r="D226" s="66">
        <v>13</v>
      </c>
      <c r="E226" s="66"/>
      <c r="F226" s="40"/>
      <c r="G226" s="10" t="e">
        <f>G227+G230+G235+G238</f>
        <v>#REF!</v>
      </c>
    </row>
    <row r="227" spans="1:7" ht="31.5" x14ac:dyDescent="0.25">
      <c r="A227" s="29" t="s">
        <v>178</v>
      </c>
      <c r="B227" s="40" t="s">
        <v>179</v>
      </c>
      <c r="C227" s="40" t="s">
        <v>133</v>
      </c>
      <c r="D227" s="40" t="s">
        <v>155</v>
      </c>
      <c r="E227" s="40"/>
      <c r="F227" s="40"/>
      <c r="G227" s="10" t="e">
        <f>G228</f>
        <v>#REF!</v>
      </c>
    </row>
    <row r="228" spans="1:7" ht="47.25" x14ac:dyDescent="0.25">
      <c r="A228" s="29" t="s">
        <v>146</v>
      </c>
      <c r="B228" s="40" t="s">
        <v>179</v>
      </c>
      <c r="C228" s="40" t="s">
        <v>133</v>
      </c>
      <c r="D228" s="40" t="s">
        <v>155</v>
      </c>
      <c r="E228" s="40" t="s">
        <v>147</v>
      </c>
      <c r="F228" s="40"/>
      <c r="G228" s="10" t="e">
        <f>G229</f>
        <v>#REF!</v>
      </c>
    </row>
    <row r="229" spans="1:7" ht="47.25" x14ac:dyDescent="0.25">
      <c r="A229" s="29" t="s">
        <v>148</v>
      </c>
      <c r="B229" s="40" t="s">
        <v>179</v>
      </c>
      <c r="C229" s="40" t="s">
        <v>133</v>
      </c>
      <c r="D229" s="40" t="s">
        <v>155</v>
      </c>
      <c r="E229" s="40" t="s">
        <v>149</v>
      </c>
      <c r="F229" s="40"/>
      <c r="G229" s="10" t="e">
        <f>'Пр.4 ведом.20'!#REF!</f>
        <v>#REF!</v>
      </c>
    </row>
    <row r="230" spans="1:7" ht="78.75" x14ac:dyDescent="0.25">
      <c r="A230" s="98" t="s">
        <v>180</v>
      </c>
      <c r="B230" s="40" t="s">
        <v>181</v>
      </c>
      <c r="C230" s="40" t="s">
        <v>133</v>
      </c>
      <c r="D230" s="40" t="s">
        <v>155</v>
      </c>
      <c r="E230" s="40"/>
      <c r="F230" s="40"/>
      <c r="G230" s="10" t="e">
        <f>G231+G233</f>
        <v>#REF!</v>
      </c>
    </row>
    <row r="231" spans="1:7" ht="110.25" x14ac:dyDescent="0.25">
      <c r="A231" s="29" t="s">
        <v>142</v>
      </c>
      <c r="B231" s="40" t="s">
        <v>181</v>
      </c>
      <c r="C231" s="40" t="s">
        <v>133</v>
      </c>
      <c r="D231" s="40" t="s">
        <v>155</v>
      </c>
      <c r="E231" s="40" t="s">
        <v>143</v>
      </c>
      <c r="F231" s="40"/>
      <c r="G231" s="10" t="e">
        <f>G232</f>
        <v>#REF!</v>
      </c>
    </row>
    <row r="232" spans="1:7" ht="47.25" x14ac:dyDescent="0.25">
      <c r="A232" s="29" t="s">
        <v>144</v>
      </c>
      <c r="B232" s="40" t="s">
        <v>181</v>
      </c>
      <c r="C232" s="40" t="s">
        <v>133</v>
      </c>
      <c r="D232" s="40" t="s">
        <v>155</v>
      </c>
      <c r="E232" s="40" t="s">
        <v>145</v>
      </c>
      <c r="F232" s="40"/>
      <c r="G232" s="10" t="e">
        <f>'Пр.4 ведом.20'!#REF!</f>
        <v>#REF!</v>
      </c>
    </row>
    <row r="233" spans="1:7" ht="47.25" x14ac:dyDescent="0.25">
      <c r="A233" s="29" t="s">
        <v>146</v>
      </c>
      <c r="B233" s="40" t="s">
        <v>181</v>
      </c>
      <c r="C233" s="40" t="s">
        <v>133</v>
      </c>
      <c r="D233" s="40" t="s">
        <v>155</v>
      </c>
      <c r="E233" s="40" t="s">
        <v>147</v>
      </c>
      <c r="F233" s="40"/>
      <c r="G233" s="10" t="e">
        <f>G234</f>
        <v>#REF!</v>
      </c>
    </row>
    <row r="234" spans="1:7" ht="47.25" x14ac:dyDescent="0.25">
      <c r="A234" s="29" t="s">
        <v>148</v>
      </c>
      <c r="B234" s="40" t="s">
        <v>181</v>
      </c>
      <c r="C234" s="40" t="s">
        <v>133</v>
      </c>
      <c r="D234" s="40" t="s">
        <v>155</v>
      </c>
      <c r="E234" s="40" t="s">
        <v>149</v>
      </c>
      <c r="F234" s="40"/>
      <c r="G234" s="10" t="e">
        <f>'Пр.4 ведом.20'!#REF!</f>
        <v>#REF!</v>
      </c>
    </row>
    <row r="235" spans="1:7" ht="63" x14ac:dyDescent="0.25">
      <c r="A235" s="31" t="s">
        <v>710</v>
      </c>
      <c r="B235" s="40" t="s">
        <v>711</v>
      </c>
      <c r="C235" s="40" t="s">
        <v>133</v>
      </c>
      <c r="D235" s="40" t="s">
        <v>155</v>
      </c>
      <c r="E235" s="40"/>
      <c r="F235" s="40"/>
      <c r="G235" s="10" t="e">
        <f>G236</f>
        <v>#REF!</v>
      </c>
    </row>
    <row r="236" spans="1:7" ht="47.25" x14ac:dyDescent="0.25">
      <c r="A236" s="25" t="s">
        <v>146</v>
      </c>
      <c r="B236" s="40" t="s">
        <v>711</v>
      </c>
      <c r="C236" s="40" t="s">
        <v>133</v>
      </c>
      <c r="D236" s="40" t="s">
        <v>155</v>
      </c>
      <c r="E236" s="40" t="s">
        <v>147</v>
      </c>
      <c r="F236" s="40"/>
      <c r="G236" s="10" t="e">
        <f>G237</f>
        <v>#REF!</v>
      </c>
    </row>
    <row r="237" spans="1:7" ht="47.25" x14ac:dyDescent="0.25">
      <c r="A237" s="25" t="s">
        <v>148</v>
      </c>
      <c r="B237" s="40" t="s">
        <v>711</v>
      </c>
      <c r="C237" s="40" t="s">
        <v>133</v>
      </c>
      <c r="D237" s="40" t="s">
        <v>155</v>
      </c>
      <c r="E237" s="40" t="s">
        <v>149</v>
      </c>
      <c r="F237" s="40"/>
      <c r="G237" s="10" t="e">
        <f>'Пр.4 ведом.20'!#REF!</f>
        <v>#REF!</v>
      </c>
    </row>
    <row r="238" spans="1:7" ht="63" x14ac:dyDescent="0.25">
      <c r="A238" s="33" t="s">
        <v>206</v>
      </c>
      <c r="B238" s="40" t="s">
        <v>697</v>
      </c>
      <c r="C238" s="40" t="s">
        <v>133</v>
      </c>
      <c r="D238" s="40" t="s">
        <v>155</v>
      </c>
      <c r="E238" s="40"/>
      <c r="F238" s="40"/>
      <c r="G238" s="10" t="e">
        <f>G239</f>
        <v>#REF!</v>
      </c>
    </row>
    <row r="239" spans="1:7" ht="47.25" x14ac:dyDescent="0.25">
      <c r="A239" s="25" t="s">
        <v>146</v>
      </c>
      <c r="B239" s="40" t="s">
        <v>697</v>
      </c>
      <c r="C239" s="40" t="s">
        <v>133</v>
      </c>
      <c r="D239" s="40" t="s">
        <v>155</v>
      </c>
      <c r="E239" s="40" t="s">
        <v>147</v>
      </c>
      <c r="F239" s="40"/>
      <c r="G239" s="10" t="e">
        <f>G240</f>
        <v>#REF!</v>
      </c>
    </row>
    <row r="240" spans="1:7" ht="47.25" x14ac:dyDescent="0.25">
      <c r="A240" s="25" t="s">
        <v>148</v>
      </c>
      <c r="B240" s="40" t="s">
        <v>697</v>
      </c>
      <c r="C240" s="40" t="s">
        <v>133</v>
      </c>
      <c r="D240" s="40" t="s">
        <v>155</v>
      </c>
      <c r="E240" s="40" t="s">
        <v>149</v>
      </c>
      <c r="F240" s="40"/>
      <c r="G240" s="10" t="e">
        <f>'Пр.4 ведом.20'!#REF!</f>
        <v>#REF!</v>
      </c>
    </row>
    <row r="241" spans="1:7" ht="31.5" x14ac:dyDescent="0.25">
      <c r="A241" s="29" t="s">
        <v>163</v>
      </c>
      <c r="B241" s="40" t="s">
        <v>177</v>
      </c>
      <c r="C241" s="40" t="s">
        <v>133</v>
      </c>
      <c r="D241" s="40" t="s">
        <v>155</v>
      </c>
      <c r="E241" s="40"/>
      <c r="F241" s="40" t="s">
        <v>656</v>
      </c>
      <c r="G241" s="10" t="e">
        <f>G224</f>
        <v>#REF!</v>
      </c>
    </row>
    <row r="242" spans="1:7" ht="94.5" x14ac:dyDescent="0.25">
      <c r="A242" s="41" t="s">
        <v>268</v>
      </c>
      <c r="B242" s="176" t="s">
        <v>269</v>
      </c>
      <c r="C242" s="40"/>
      <c r="D242" s="40"/>
      <c r="E242" s="40"/>
      <c r="F242" s="40"/>
      <c r="G242" s="59" t="e">
        <f>G243</f>
        <v>#REF!</v>
      </c>
    </row>
    <row r="243" spans="1:7" ht="15.75" x14ac:dyDescent="0.25">
      <c r="A243" s="29" t="s">
        <v>258</v>
      </c>
      <c r="B243" s="5" t="s">
        <v>269</v>
      </c>
      <c r="C243" s="40" t="s">
        <v>259</v>
      </c>
      <c r="D243" s="40"/>
      <c r="E243" s="40"/>
      <c r="F243" s="40"/>
      <c r="G243" s="10" t="e">
        <f>G244</f>
        <v>#REF!</v>
      </c>
    </row>
    <row r="244" spans="1:7" ht="22.7" customHeight="1" x14ac:dyDescent="0.25">
      <c r="A244" s="29" t="s">
        <v>267</v>
      </c>
      <c r="B244" s="5" t="s">
        <v>269</v>
      </c>
      <c r="C244" s="40" t="s">
        <v>259</v>
      </c>
      <c r="D244" s="40" t="s">
        <v>230</v>
      </c>
      <c r="E244" s="40"/>
      <c r="F244" s="40"/>
      <c r="G244" s="10" t="e">
        <f>G245</f>
        <v>#REF!</v>
      </c>
    </row>
    <row r="245" spans="1:7" ht="47.25" x14ac:dyDescent="0.25">
      <c r="A245" s="29" t="s">
        <v>172</v>
      </c>
      <c r="B245" s="66" t="s">
        <v>270</v>
      </c>
      <c r="C245" s="40" t="s">
        <v>259</v>
      </c>
      <c r="D245" s="40" t="s">
        <v>230</v>
      </c>
      <c r="E245" s="40"/>
      <c r="F245" s="40"/>
      <c r="G245" s="10" t="e">
        <f>G246</f>
        <v>#REF!</v>
      </c>
    </row>
    <row r="246" spans="1:7" ht="38.25" customHeight="1" x14ac:dyDescent="0.25">
      <c r="A246" s="29" t="s">
        <v>263</v>
      </c>
      <c r="B246" s="66" t="s">
        <v>270</v>
      </c>
      <c r="C246" s="40" t="s">
        <v>259</v>
      </c>
      <c r="D246" s="40" t="s">
        <v>230</v>
      </c>
      <c r="E246" s="40" t="s">
        <v>264</v>
      </c>
      <c r="F246" s="40"/>
      <c r="G246" s="10" t="e">
        <f>G247</f>
        <v>#REF!</v>
      </c>
    </row>
    <row r="247" spans="1:7" ht="47.25" x14ac:dyDescent="0.25">
      <c r="A247" s="29" t="s">
        <v>265</v>
      </c>
      <c r="B247" s="66" t="s">
        <v>270</v>
      </c>
      <c r="C247" s="40" t="s">
        <v>259</v>
      </c>
      <c r="D247" s="40" t="s">
        <v>230</v>
      </c>
      <c r="E247" s="40" t="s">
        <v>266</v>
      </c>
      <c r="F247" s="40"/>
      <c r="G247" s="10" t="e">
        <f>'Пр.4 ведом.20'!#REF!</f>
        <v>#REF!</v>
      </c>
    </row>
    <row r="248" spans="1:7" ht="31.5" x14ac:dyDescent="0.25">
      <c r="A248" s="45" t="s">
        <v>163</v>
      </c>
      <c r="B248" s="66" t="s">
        <v>269</v>
      </c>
      <c r="C248" s="40" t="s">
        <v>259</v>
      </c>
      <c r="D248" s="40" t="s">
        <v>230</v>
      </c>
      <c r="E248" s="40"/>
      <c r="F248" s="40" t="s">
        <v>656</v>
      </c>
      <c r="G248" s="10" t="e">
        <f>G242</f>
        <v>#REF!</v>
      </c>
    </row>
    <row r="249" spans="1:7" ht="141.75" x14ac:dyDescent="0.25">
      <c r="A249" s="41" t="s">
        <v>608</v>
      </c>
      <c r="B249" s="176" t="s">
        <v>183</v>
      </c>
      <c r="C249" s="7"/>
      <c r="D249" s="7"/>
      <c r="E249" s="7"/>
      <c r="F249" s="7"/>
      <c r="G249" s="59" t="e">
        <f>G250+G257+G264</f>
        <v>#REF!</v>
      </c>
    </row>
    <row r="250" spans="1:7" ht="110.25" x14ac:dyDescent="0.25">
      <c r="A250" s="41" t="s">
        <v>184</v>
      </c>
      <c r="B250" s="176" t="s">
        <v>185</v>
      </c>
      <c r="C250" s="7"/>
      <c r="D250" s="7"/>
      <c r="E250" s="7"/>
      <c r="F250" s="7"/>
      <c r="G250" s="59" t="e">
        <f>G251</f>
        <v>#REF!</v>
      </c>
    </row>
    <row r="251" spans="1:7" ht="15.75" x14ac:dyDescent="0.25">
      <c r="A251" s="45" t="s">
        <v>132</v>
      </c>
      <c r="B251" s="5" t="s">
        <v>185</v>
      </c>
      <c r="C251" s="40" t="s">
        <v>133</v>
      </c>
      <c r="D251" s="40"/>
      <c r="E251" s="40"/>
      <c r="F251" s="40"/>
      <c r="G251" s="10" t="e">
        <f>G252</f>
        <v>#REF!</v>
      </c>
    </row>
    <row r="252" spans="1:7" ht="33.75" customHeight="1" x14ac:dyDescent="0.25">
      <c r="A252" s="67" t="s">
        <v>154</v>
      </c>
      <c r="B252" s="5" t="s">
        <v>185</v>
      </c>
      <c r="C252" s="40" t="s">
        <v>133</v>
      </c>
      <c r="D252" s="40" t="s">
        <v>155</v>
      </c>
      <c r="E252" s="40"/>
      <c r="F252" s="40"/>
      <c r="G252" s="10" t="e">
        <f>G253</f>
        <v>#REF!</v>
      </c>
    </row>
    <row r="253" spans="1:7" ht="47.25" x14ac:dyDescent="0.25">
      <c r="A253" s="98" t="s">
        <v>186</v>
      </c>
      <c r="B253" s="5" t="s">
        <v>187</v>
      </c>
      <c r="C253" s="40" t="s">
        <v>133</v>
      </c>
      <c r="D253" s="40" t="s">
        <v>155</v>
      </c>
      <c r="E253" s="40"/>
      <c r="F253" s="40"/>
      <c r="G253" s="10" t="e">
        <f>G254</f>
        <v>#REF!</v>
      </c>
    </row>
    <row r="254" spans="1:7" ht="47.25" x14ac:dyDescent="0.25">
      <c r="A254" s="29" t="s">
        <v>146</v>
      </c>
      <c r="B254" s="5" t="s">
        <v>187</v>
      </c>
      <c r="C254" s="40" t="s">
        <v>133</v>
      </c>
      <c r="D254" s="40" t="s">
        <v>155</v>
      </c>
      <c r="E254" s="40" t="s">
        <v>147</v>
      </c>
      <c r="F254" s="40"/>
      <c r="G254" s="10" t="e">
        <f>G255</f>
        <v>#REF!</v>
      </c>
    </row>
    <row r="255" spans="1:7" ht="47.25" x14ac:dyDescent="0.25">
      <c r="A255" s="29" t="s">
        <v>148</v>
      </c>
      <c r="B255" s="5" t="s">
        <v>187</v>
      </c>
      <c r="C255" s="40" t="s">
        <v>133</v>
      </c>
      <c r="D255" s="40" t="s">
        <v>155</v>
      </c>
      <c r="E255" s="40" t="s">
        <v>149</v>
      </c>
      <c r="F255" s="40"/>
      <c r="G255" s="10" t="e">
        <f>'Пр.4 ведом.20'!#REF!</f>
        <v>#REF!</v>
      </c>
    </row>
    <row r="256" spans="1:7" ht="31.5" x14ac:dyDescent="0.25">
      <c r="A256" s="29" t="s">
        <v>163</v>
      </c>
      <c r="B256" s="5" t="s">
        <v>185</v>
      </c>
      <c r="C256" s="40" t="s">
        <v>133</v>
      </c>
      <c r="D256" s="40" t="s">
        <v>155</v>
      </c>
      <c r="E256" s="40"/>
      <c r="F256" s="40" t="s">
        <v>656</v>
      </c>
      <c r="G256" s="6" t="e">
        <f>G250</f>
        <v>#REF!</v>
      </c>
    </row>
    <row r="257" spans="1:7" ht="94.5" x14ac:dyDescent="0.25">
      <c r="A257" s="41" t="s">
        <v>188</v>
      </c>
      <c r="B257" s="176" t="s">
        <v>189</v>
      </c>
      <c r="C257" s="7"/>
      <c r="D257" s="7"/>
      <c r="E257" s="7"/>
      <c r="F257" s="7"/>
      <c r="G257" s="59" t="e">
        <f>G258</f>
        <v>#REF!</v>
      </c>
    </row>
    <row r="258" spans="1:7" ht="15.75" x14ac:dyDescent="0.25">
      <c r="A258" s="45" t="s">
        <v>132</v>
      </c>
      <c r="B258" s="5" t="s">
        <v>189</v>
      </c>
      <c r="C258" s="40" t="s">
        <v>133</v>
      </c>
      <c r="D258" s="40"/>
      <c r="E258" s="40"/>
      <c r="F258" s="40"/>
      <c r="G258" s="6" t="e">
        <f>G259</f>
        <v>#REF!</v>
      </c>
    </row>
    <row r="259" spans="1:7" ht="31.5" x14ac:dyDescent="0.25">
      <c r="A259" s="67" t="s">
        <v>154</v>
      </c>
      <c r="B259" s="5" t="s">
        <v>189</v>
      </c>
      <c r="C259" s="40" t="s">
        <v>133</v>
      </c>
      <c r="D259" s="40" t="s">
        <v>155</v>
      </c>
      <c r="E259" s="40"/>
      <c r="F259" s="40"/>
      <c r="G259" s="6" t="e">
        <f>G260</f>
        <v>#REF!</v>
      </c>
    </row>
    <row r="260" spans="1:7" ht="31.5" x14ac:dyDescent="0.25">
      <c r="A260" s="45" t="s">
        <v>190</v>
      </c>
      <c r="B260" s="5" t="s">
        <v>191</v>
      </c>
      <c r="C260" s="9" t="s">
        <v>133</v>
      </c>
      <c r="D260" s="9" t="s">
        <v>155</v>
      </c>
      <c r="E260" s="9"/>
      <c r="F260" s="26"/>
      <c r="G260" s="26" t="e">
        <f>G261</f>
        <v>#REF!</v>
      </c>
    </row>
    <row r="261" spans="1:7" ht="47.25" x14ac:dyDescent="0.25">
      <c r="A261" s="25" t="s">
        <v>146</v>
      </c>
      <c r="B261" s="5" t="s">
        <v>191</v>
      </c>
      <c r="C261" s="9" t="s">
        <v>133</v>
      </c>
      <c r="D261" s="9" t="s">
        <v>155</v>
      </c>
      <c r="E261" s="9" t="s">
        <v>147</v>
      </c>
      <c r="F261" s="26"/>
      <c r="G261" s="26" t="e">
        <f>G262</f>
        <v>#REF!</v>
      </c>
    </row>
    <row r="262" spans="1:7" ht="47.25" x14ac:dyDescent="0.25">
      <c r="A262" s="25" t="s">
        <v>148</v>
      </c>
      <c r="B262" s="5" t="s">
        <v>191</v>
      </c>
      <c r="C262" s="9" t="s">
        <v>133</v>
      </c>
      <c r="D262" s="9" t="s">
        <v>155</v>
      </c>
      <c r="E262" s="9" t="s">
        <v>149</v>
      </c>
      <c r="F262" s="26"/>
      <c r="G262" s="26" t="e">
        <f>'Пр.4 ведом.20'!#REF!</f>
        <v>#REF!</v>
      </c>
    </row>
    <row r="263" spans="1:7" ht="31.5" x14ac:dyDescent="0.25">
      <c r="A263" s="29" t="s">
        <v>163</v>
      </c>
      <c r="B263" s="5" t="s">
        <v>189</v>
      </c>
      <c r="C263" s="40" t="s">
        <v>133</v>
      </c>
      <c r="D263" s="40" t="s">
        <v>155</v>
      </c>
      <c r="E263" s="40"/>
      <c r="F263" s="40" t="s">
        <v>656</v>
      </c>
      <c r="G263" s="6" t="e">
        <f>G257</f>
        <v>#REF!</v>
      </c>
    </row>
    <row r="264" spans="1:7" ht="63" x14ac:dyDescent="0.25">
      <c r="A264" s="23" t="s">
        <v>192</v>
      </c>
      <c r="B264" s="176" t="s">
        <v>193</v>
      </c>
      <c r="C264" s="7"/>
      <c r="D264" s="7"/>
      <c r="E264" s="7"/>
      <c r="F264" s="7"/>
      <c r="G264" s="59" t="e">
        <f>G265</f>
        <v>#REF!</v>
      </c>
    </row>
    <row r="265" spans="1:7" ht="15.75" x14ac:dyDescent="0.25">
      <c r="A265" s="45" t="s">
        <v>132</v>
      </c>
      <c r="B265" s="5" t="s">
        <v>193</v>
      </c>
      <c r="C265" s="40" t="s">
        <v>133</v>
      </c>
      <c r="D265" s="40"/>
      <c r="E265" s="40"/>
      <c r="F265" s="40"/>
      <c r="G265" s="10" t="e">
        <f>G266</f>
        <v>#REF!</v>
      </c>
    </row>
    <row r="266" spans="1:7" ht="31.5" x14ac:dyDescent="0.25">
      <c r="A266" s="67" t="s">
        <v>154</v>
      </c>
      <c r="B266" s="5" t="s">
        <v>193</v>
      </c>
      <c r="C266" s="40" t="s">
        <v>133</v>
      </c>
      <c r="D266" s="40" t="s">
        <v>155</v>
      </c>
      <c r="E266" s="40"/>
      <c r="F266" s="40"/>
      <c r="G266" s="10" t="e">
        <f>G267</f>
        <v>#REF!</v>
      </c>
    </row>
    <row r="267" spans="1:7" ht="32.25" customHeight="1" x14ac:dyDescent="0.25">
      <c r="A267" s="45" t="s">
        <v>194</v>
      </c>
      <c r="B267" s="5" t="s">
        <v>195</v>
      </c>
      <c r="C267" s="40" t="s">
        <v>133</v>
      </c>
      <c r="D267" s="40" t="s">
        <v>155</v>
      </c>
      <c r="E267" s="40"/>
      <c r="F267" s="40"/>
      <c r="G267" s="10" t="e">
        <f>G268</f>
        <v>#REF!</v>
      </c>
    </row>
    <row r="268" spans="1:7" ht="47.25" x14ac:dyDescent="0.25">
      <c r="A268" s="29" t="s">
        <v>146</v>
      </c>
      <c r="B268" s="5" t="s">
        <v>195</v>
      </c>
      <c r="C268" s="40" t="s">
        <v>133</v>
      </c>
      <c r="D268" s="40" t="s">
        <v>155</v>
      </c>
      <c r="E268" s="40" t="s">
        <v>147</v>
      </c>
      <c r="F268" s="40"/>
      <c r="G268" s="10" t="e">
        <f>G269</f>
        <v>#REF!</v>
      </c>
    </row>
    <row r="269" spans="1:7" ht="47.25" x14ac:dyDescent="0.25">
      <c r="A269" s="29" t="s">
        <v>148</v>
      </c>
      <c r="B269" s="5" t="s">
        <v>195</v>
      </c>
      <c r="C269" s="40" t="s">
        <v>133</v>
      </c>
      <c r="D269" s="40" t="s">
        <v>155</v>
      </c>
      <c r="E269" s="40" t="s">
        <v>149</v>
      </c>
      <c r="F269" s="40"/>
      <c r="G269" s="10" t="e">
        <f>'Пр.4 ведом.20'!#REF!</f>
        <v>#REF!</v>
      </c>
    </row>
    <row r="270" spans="1:7" ht="31.5" x14ac:dyDescent="0.25">
      <c r="A270" s="29" t="s">
        <v>163</v>
      </c>
      <c r="B270" s="5" t="s">
        <v>193</v>
      </c>
      <c r="C270" s="40" t="s">
        <v>133</v>
      </c>
      <c r="D270" s="40" t="s">
        <v>155</v>
      </c>
      <c r="E270" s="40"/>
      <c r="F270" s="40" t="s">
        <v>656</v>
      </c>
      <c r="G270" s="10" t="e">
        <f>G264</f>
        <v>#REF!</v>
      </c>
    </row>
    <row r="271" spans="1:7" ht="69" customHeight="1" x14ac:dyDescent="0.25">
      <c r="A271" s="41" t="s">
        <v>496</v>
      </c>
      <c r="B271" s="3" t="s">
        <v>497</v>
      </c>
      <c r="C271" s="68"/>
      <c r="D271" s="68"/>
      <c r="E271" s="68"/>
      <c r="F271" s="68"/>
      <c r="G271" s="4" t="e">
        <f>G273+G294+G317</f>
        <v>#REF!</v>
      </c>
    </row>
    <row r="272" spans="1:7" ht="94.5" x14ac:dyDescent="0.25">
      <c r="A272" s="41" t="s">
        <v>657</v>
      </c>
      <c r="B272" s="3" t="s">
        <v>499</v>
      </c>
      <c r="C272" s="69"/>
      <c r="D272" s="69"/>
      <c r="E272" s="69"/>
      <c r="F272" s="69"/>
      <c r="G272" s="59" t="e">
        <f>G273</f>
        <v>#REF!</v>
      </c>
    </row>
    <row r="273" spans="1:7" ht="15.75" x14ac:dyDescent="0.25">
      <c r="A273" s="29" t="s">
        <v>278</v>
      </c>
      <c r="B273" s="40" t="s">
        <v>499</v>
      </c>
      <c r="C273" s="40" t="s">
        <v>279</v>
      </c>
      <c r="D273" s="68"/>
      <c r="E273" s="68"/>
      <c r="F273" s="68"/>
      <c r="G273" s="10" t="e">
        <f>G274</f>
        <v>#REF!</v>
      </c>
    </row>
    <row r="274" spans="1:7" ht="15.75" x14ac:dyDescent="0.25">
      <c r="A274" s="29" t="s">
        <v>280</v>
      </c>
      <c r="B274" s="40" t="s">
        <v>499</v>
      </c>
      <c r="C274" s="40" t="s">
        <v>279</v>
      </c>
      <c r="D274" s="40" t="s">
        <v>230</v>
      </c>
      <c r="E274" s="68"/>
      <c r="F274" s="68"/>
      <c r="G274" s="10" t="e">
        <f>G275+G290</f>
        <v>#REF!</v>
      </c>
    </row>
    <row r="275" spans="1:7" ht="63" x14ac:dyDescent="0.25">
      <c r="A275" s="29" t="s">
        <v>285</v>
      </c>
      <c r="B275" s="40" t="s">
        <v>500</v>
      </c>
      <c r="C275" s="40" t="s">
        <v>279</v>
      </c>
      <c r="D275" s="40" t="s">
        <v>230</v>
      </c>
      <c r="E275" s="68"/>
      <c r="F275" s="68"/>
      <c r="G275" s="10" t="e">
        <f>G276</f>
        <v>#REF!</v>
      </c>
    </row>
    <row r="276" spans="1:7" ht="63" x14ac:dyDescent="0.25">
      <c r="A276" s="29" t="s">
        <v>287</v>
      </c>
      <c r="B276" s="40" t="s">
        <v>500</v>
      </c>
      <c r="C276" s="40" t="s">
        <v>279</v>
      </c>
      <c r="D276" s="40" t="s">
        <v>230</v>
      </c>
      <c r="E276" s="40" t="s">
        <v>288</v>
      </c>
      <c r="F276" s="68"/>
      <c r="G276" s="10" t="e">
        <f>G277</f>
        <v>#REF!</v>
      </c>
    </row>
    <row r="277" spans="1:7" ht="15.75" x14ac:dyDescent="0.25">
      <c r="A277" s="29" t="s">
        <v>289</v>
      </c>
      <c r="B277" s="40" t="s">
        <v>500</v>
      </c>
      <c r="C277" s="40" t="s">
        <v>279</v>
      </c>
      <c r="D277" s="40" t="s">
        <v>230</v>
      </c>
      <c r="E277" s="40" t="s">
        <v>290</v>
      </c>
      <c r="F277" s="68"/>
      <c r="G277" s="10" t="e">
        <f>'Пр.4 ведом.20'!#REF!</f>
        <v>#REF!</v>
      </c>
    </row>
    <row r="278" spans="1:7" ht="78.75" hidden="1" customHeight="1" x14ac:dyDescent="0.25">
      <c r="A278" s="29" t="s">
        <v>610</v>
      </c>
      <c r="B278" s="40" t="s">
        <v>658</v>
      </c>
      <c r="C278" s="40" t="s">
        <v>279</v>
      </c>
      <c r="D278" s="40" t="s">
        <v>230</v>
      </c>
      <c r="E278" s="40"/>
      <c r="F278" s="68"/>
      <c r="G278" s="10">
        <f>G279</f>
        <v>0</v>
      </c>
    </row>
    <row r="279" spans="1:7" ht="63" hidden="1" x14ac:dyDescent="0.25">
      <c r="A279" s="29" t="s">
        <v>287</v>
      </c>
      <c r="B279" s="40" t="s">
        <v>658</v>
      </c>
      <c r="C279" s="40" t="s">
        <v>279</v>
      </c>
      <c r="D279" s="40" t="s">
        <v>230</v>
      </c>
      <c r="E279" s="40" t="s">
        <v>288</v>
      </c>
      <c r="F279" s="68"/>
      <c r="G279" s="10">
        <f>G280</f>
        <v>0</v>
      </c>
    </row>
    <row r="280" spans="1:7" ht="15.75" hidden="1" x14ac:dyDescent="0.25">
      <c r="A280" s="29" t="s">
        <v>289</v>
      </c>
      <c r="B280" s="40" t="s">
        <v>658</v>
      </c>
      <c r="C280" s="40" t="s">
        <v>279</v>
      </c>
      <c r="D280" s="40" t="s">
        <v>230</v>
      </c>
      <c r="E280" s="40" t="s">
        <v>290</v>
      </c>
      <c r="F280" s="68"/>
      <c r="G280" s="10">
        <f>G281</f>
        <v>0</v>
      </c>
    </row>
    <row r="281" spans="1:7" ht="47.25" hidden="1" x14ac:dyDescent="0.25">
      <c r="A281" s="46" t="s">
        <v>495</v>
      </c>
      <c r="B281" s="40" t="s">
        <v>658</v>
      </c>
      <c r="C281" s="40" t="s">
        <v>279</v>
      </c>
      <c r="D281" s="40" t="s">
        <v>230</v>
      </c>
      <c r="E281" s="40"/>
      <c r="F281" s="2">
        <v>907</v>
      </c>
      <c r="G281" s="10">
        <f>1500-1500</f>
        <v>0</v>
      </c>
    </row>
    <row r="282" spans="1:7" ht="47.25" hidden="1" x14ac:dyDescent="0.25">
      <c r="A282" s="29" t="s">
        <v>293</v>
      </c>
      <c r="B282" s="40" t="s">
        <v>659</v>
      </c>
      <c r="C282" s="40" t="s">
        <v>279</v>
      </c>
      <c r="D282" s="40" t="s">
        <v>230</v>
      </c>
      <c r="E282" s="40"/>
      <c r="F282" s="68"/>
      <c r="G282" s="10">
        <f>G283</f>
        <v>0</v>
      </c>
    </row>
    <row r="283" spans="1:7" ht="63" hidden="1" x14ac:dyDescent="0.25">
      <c r="A283" s="29" t="s">
        <v>287</v>
      </c>
      <c r="B283" s="40" t="s">
        <v>659</v>
      </c>
      <c r="C283" s="40" t="s">
        <v>279</v>
      </c>
      <c r="D283" s="40" t="s">
        <v>230</v>
      </c>
      <c r="E283" s="40" t="s">
        <v>288</v>
      </c>
      <c r="F283" s="68"/>
      <c r="G283" s="10">
        <f>G284</f>
        <v>0</v>
      </c>
    </row>
    <row r="284" spans="1:7" ht="15.75" hidden="1" x14ac:dyDescent="0.25">
      <c r="A284" s="29" t="s">
        <v>289</v>
      </c>
      <c r="B284" s="40" t="s">
        <v>659</v>
      </c>
      <c r="C284" s="40" t="s">
        <v>279</v>
      </c>
      <c r="D284" s="40" t="s">
        <v>230</v>
      </c>
      <c r="E284" s="40" t="s">
        <v>290</v>
      </c>
      <c r="F284" s="68"/>
      <c r="G284" s="10"/>
    </row>
    <row r="285" spans="1:7" ht="47.25" hidden="1" x14ac:dyDescent="0.25">
      <c r="A285" s="46" t="s">
        <v>495</v>
      </c>
      <c r="B285" s="40" t="s">
        <v>659</v>
      </c>
      <c r="C285" s="40" t="s">
        <v>279</v>
      </c>
      <c r="D285" s="40" t="s">
        <v>230</v>
      </c>
      <c r="E285" s="40"/>
      <c r="F285" s="2">
        <v>907</v>
      </c>
      <c r="G285" s="10">
        <v>0</v>
      </c>
    </row>
    <row r="286" spans="1:7" ht="31.5" hidden="1" x14ac:dyDescent="0.25">
      <c r="A286" s="29" t="s">
        <v>295</v>
      </c>
      <c r="B286" s="40" t="s">
        <v>660</v>
      </c>
      <c r="C286" s="40" t="s">
        <v>279</v>
      </c>
      <c r="D286" s="40" t="s">
        <v>230</v>
      </c>
      <c r="E286" s="40"/>
      <c r="F286" s="68"/>
      <c r="G286" s="10">
        <f>G287</f>
        <v>0</v>
      </c>
    </row>
    <row r="287" spans="1:7" ht="63" hidden="1" x14ac:dyDescent="0.25">
      <c r="A287" s="29" t="s">
        <v>287</v>
      </c>
      <c r="B287" s="40" t="s">
        <v>660</v>
      </c>
      <c r="C287" s="40" t="s">
        <v>279</v>
      </c>
      <c r="D287" s="40" t="s">
        <v>230</v>
      </c>
      <c r="E287" s="40" t="s">
        <v>288</v>
      </c>
      <c r="F287" s="68"/>
      <c r="G287" s="10">
        <f>G288</f>
        <v>0</v>
      </c>
    </row>
    <row r="288" spans="1:7" ht="15.75" hidden="1" x14ac:dyDescent="0.25">
      <c r="A288" s="29" t="s">
        <v>289</v>
      </c>
      <c r="B288" s="40" t="s">
        <v>660</v>
      </c>
      <c r="C288" s="40" t="s">
        <v>279</v>
      </c>
      <c r="D288" s="40" t="s">
        <v>230</v>
      </c>
      <c r="E288" s="40" t="s">
        <v>290</v>
      </c>
      <c r="F288" s="68"/>
      <c r="G288" s="10"/>
    </row>
    <row r="289" spans="1:7" ht="47.25" hidden="1" x14ac:dyDescent="0.25">
      <c r="A289" s="46" t="s">
        <v>495</v>
      </c>
      <c r="B289" s="40" t="s">
        <v>660</v>
      </c>
      <c r="C289" s="40" t="s">
        <v>279</v>
      </c>
      <c r="D289" s="40" t="s">
        <v>230</v>
      </c>
      <c r="E289" s="40"/>
      <c r="F289" s="2">
        <v>907</v>
      </c>
      <c r="G289" s="10">
        <v>0</v>
      </c>
    </row>
    <row r="290" spans="1:7" ht="47.25" x14ac:dyDescent="0.25">
      <c r="A290" s="29" t="s">
        <v>297</v>
      </c>
      <c r="B290" s="40" t="s">
        <v>503</v>
      </c>
      <c r="C290" s="40" t="s">
        <v>279</v>
      </c>
      <c r="D290" s="40" t="s">
        <v>230</v>
      </c>
      <c r="E290" s="40"/>
      <c r="F290" s="68"/>
      <c r="G290" s="10" t="e">
        <f>G291</f>
        <v>#REF!</v>
      </c>
    </row>
    <row r="291" spans="1:7" ht="63" x14ac:dyDescent="0.25">
      <c r="A291" s="29" t="s">
        <v>287</v>
      </c>
      <c r="B291" s="40" t="s">
        <v>503</v>
      </c>
      <c r="C291" s="40" t="s">
        <v>279</v>
      </c>
      <c r="D291" s="40" t="s">
        <v>230</v>
      </c>
      <c r="E291" s="40" t="s">
        <v>288</v>
      </c>
      <c r="F291" s="68"/>
      <c r="G291" s="10" t="e">
        <f>G292</f>
        <v>#REF!</v>
      </c>
    </row>
    <row r="292" spans="1:7" ht="15.75" x14ac:dyDescent="0.25">
      <c r="A292" s="29" t="s">
        <v>289</v>
      </c>
      <c r="B292" s="40" t="s">
        <v>503</v>
      </c>
      <c r="C292" s="40" t="s">
        <v>279</v>
      </c>
      <c r="D292" s="40" t="s">
        <v>230</v>
      </c>
      <c r="E292" s="40" t="s">
        <v>290</v>
      </c>
      <c r="F292" s="68"/>
      <c r="G292" s="10" t="e">
        <f>'Пр.4 ведом.20'!#REF!</f>
        <v>#REF!</v>
      </c>
    </row>
    <row r="293" spans="1:7" ht="58.7" customHeight="1" x14ac:dyDescent="0.25">
      <c r="A293" s="70" t="s">
        <v>495</v>
      </c>
      <c r="B293" s="40" t="s">
        <v>499</v>
      </c>
      <c r="C293" s="40" t="s">
        <v>279</v>
      </c>
      <c r="D293" s="40" t="s">
        <v>230</v>
      </c>
      <c r="E293" s="40"/>
      <c r="F293" s="2">
        <v>907</v>
      </c>
      <c r="G293" s="10" t="e">
        <f>G272</f>
        <v>#REF!</v>
      </c>
    </row>
    <row r="294" spans="1:7" ht="63" x14ac:dyDescent="0.25">
      <c r="A294" s="58" t="s">
        <v>508</v>
      </c>
      <c r="B294" s="7" t="s">
        <v>509</v>
      </c>
      <c r="C294" s="7"/>
      <c r="D294" s="7"/>
      <c r="E294" s="7"/>
      <c r="F294" s="3"/>
      <c r="G294" s="59" t="e">
        <f>G295</f>
        <v>#REF!</v>
      </c>
    </row>
    <row r="295" spans="1:7" ht="15.75" x14ac:dyDescent="0.25">
      <c r="A295" s="29" t="s">
        <v>505</v>
      </c>
      <c r="B295" s="40" t="s">
        <v>509</v>
      </c>
      <c r="C295" s="2">
        <v>11</v>
      </c>
      <c r="D295" s="68"/>
      <c r="E295" s="68"/>
      <c r="F295" s="68"/>
      <c r="G295" s="10" t="e">
        <f>G296</f>
        <v>#REF!</v>
      </c>
    </row>
    <row r="296" spans="1:7" ht="20.25" customHeight="1" x14ac:dyDescent="0.25">
      <c r="A296" s="29" t="s">
        <v>507</v>
      </c>
      <c r="B296" s="40" t="s">
        <v>509</v>
      </c>
      <c r="C296" s="40" t="s">
        <v>506</v>
      </c>
      <c r="D296" s="40" t="s">
        <v>133</v>
      </c>
      <c r="E296" s="71"/>
      <c r="F296" s="5"/>
      <c r="G296" s="10" t="e">
        <f>G297+G301+G305+G309+G313</f>
        <v>#REF!</v>
      </c>
    </row>
    <row r="297" spans="1:7" ht="47.25" x14ac:dyDescent="0.25">
      <c r="A297" s="29" t="s">
        <v>510</v>
      </c>
      <c r="B297" s="40" t="s">
        <v>511</v>
      </c>
      <c r="C297" s="40" t="s">
        <v>506</v>
      </c>
      <c r="D297" s="40" t="s">
        <v>133</v>
      </c>
      <c r="E297" s="71"/>
      <c r="F297" s="5"/>
      <c r="G297" s="10" t="e">
        <f>G298</f>
        <v>#REF!</v>
      </c>
    </row>
    <row r="298" spans="1:7" ht="65.25" customHeight="1" x14ac:dyDescent="0.25">
      <c r="A298" s="29" t="s">
        <v>287</v>
      </c>
      <c r="B298" s="40" t="s">
        <v>511</v>
      </c>
      <c r="C298" s="40" t="s">
        <v>506</v>
      </c>
      <c r="D298" s="40" t="s">
        <v>133</v>
      </c>
      <c r="E298" s="40" t="s">
        <v>288</v>
      </c>
      <c r="F298" s="5"/>
      <c r="G298" s="10" t="e">
        <f>G299</f>
        <v>#REF!</v>
      </c>
    </row>
    <row r="299" spans="1:7" ht="15.75" x14ac:dyDescent="0.25">
      <c r="A299" s="29" t="s">
        <v>289</v>
      </c>
      <c r="B299" s="40" t="s">
        <v>511</v>
      </c>
      <c r="C299" s="40" t="s">
        <v>506</v>
      </c>
      <c r="D299" s="40" t="s">
        <v>133</v>
      </c>
      <c r="E299" s="40" t="s">
        <v>290</v>
      </c>
      <c r="F299" s="5"/>
      <c r="G299" s="10" t="e">
        <f>'Пр.4 ведом.20'!#REF!</f>
        <v>#REF!</v>
      </c>
    </row>
    <row r="300" spans="1:7" ht="47.25" hidden="1" x14ac:dyDescent="0.25">
      <c r="A300" s="46" t="s">
        <v>495</v>
      </c>
      <c r="B300" s="40" t="s">
        <v>509</v>
      </c>
      <c r="C300" s="40" t="s">
        <v>506</v>
      </c>
      <c r="D300" s="40" t="s">
        <v>133</v>
      </c>
      <c r="E300" s="40"/>
      <c r="F300" s="5">
        <v>907</v>
      </c>
      <c r="G300" s="10" t="e">
        <f>G294</f>
        <v>#REF!</v>
      </c>
    </row>
    <row r="301" spans="1:7" ht="63" hidden="1" x14ac:dyDescent="0.25">
      <c r="A301" s="29" t="s">
        <v>610</v>
      </c>
      <c r="B301" s="40" t="s">
        <v>661</v>
      </c>
      <c r="C301" s="40" t="s">
        <v>506</v>
      </c>
      <c r="D301" s="40" t="s">
        <v>133</v>
      </c>
      <c r="E301" s="40"/>
      <c r="F301" s="5"/>
      <c r="G301" s="10">
        <f>G302</f>
        <v>0</v>
      </c>
    </row>
    <row r="302" spans="1:7" ht="63" hidden="1" x14ac:dyDescent="0.25">
      <c r="A302" s="29" t="s">
        <v>287</v>
      </c>
      <c r="B302" s="40" t="s">
        <v>661</v>
      </c>
      <c r="C302" s="40" t="s">
        <v>506</v>
      </c>
      <c r="D302" s="40" t="s">
        <v>133</v>
      </c>
      <c r="E302" s="40" t="s">
        <v>288</v>
      </c>
      <c r="F302" s="5"/>
      <c r="G302" s="10">
        <f>G303</f>
        <v>0</v>
      </c>
    </row>
    <row r="303" spans="1:7" ht="15.75" hidden="1" x14ac:dyDescent="0.25">
      <c r="A303" s="29" t="s">
        <v>289</v>
      </c>
      <c r="B303" s="40" t="s">
        <v>661</v>
      </c>
      <c r="C303" s="40" t="s">
        <v>506</v>
      </c>
      <c r="D303" s="40" t="s">
        <v>133</v>
      </c>
      <c r="E303" s="40" t="s">
        <v>290</v>
      </c>
      <c r="F303" s="5"/>
      <c r="G303" s="10">
        <f>G304</f>
        <v>0</v>
      </c>
    </row>
    <row r="304" spans="1:7" ht="47.25" hidden="1" x14ac:dyDescent="0.25">
      <c r="A304" s="70" t="s">
        <v>495</v>
      </c>
      <c r="B304" s="40" t="s">
        <v>661</v>
      </c>
      <c r="C304" s="40" t="s">
        <v>506</v>
      </c>
      <c r="D304" s="40" t="s">
        <v>133</v>
      </c>
      <c r="E304" s="40"/>
      <c r="F304" s="5">
        <v>907</v>
      </c>
      <c r="G304" s="10">
        <f>1500-1500</f>
        <v>0</v>
      </c>
    </row>
    <row r="305" spans="1:8" ht="47.25" x14ac:dyDescent="0.25">
      <c r="A305" s="29" t="s">
        <v>293</v>
      </c>
      <c r="B305" s="40" t="s">
        <v>512</v>
      </c>
      <c r="C305" s="40" t="s">
        <v>506</v>
      </c>
      <c r="D305" s="40" t="s">
        <v>133</v>
      </c>
      <c r="E305" s="40"/>
      <c r="F305" s="5"/>
      <c r="G305" s="10" t="e">
        <f>G306</f>
        <v>#REF!</v>
      </c>
    </row>
    <row r="306" spans="1:8" ht="63" x14ac:dyDescent="0.25">
      <c r="A306" s="29" t="s">
        <v>287</v>
      </c>
      <c r="B306" s="40" t="s">
        <v>512</v>
      </c>
      <c r="C306" s="40" t="s">
        <v>506</v>
      </c>
      <c r="D306" s="40" t="s">
        <v>133</v>
      </c>
      <c r="E306" s="40" t="s">
        <v>288</v>
      </c>
      <c r="F306" s="5"/>
      <c r="G306" s="10" t="e">
        <f>G307</f>
        <v>#REF!</v>
      </c>
    </row>
    <row r="307" spans="1:8" ht="15.75" x14ac:dyDescent="0.25">
      <c r="A307" s="29" t="s">
        <v>289</v>
      </c>
      <c r="B307" s="40" t="s">
        <v>512</v>
      </c>
      <c r="C307" s="40" t="s">
        <v>506</v>
      </c>
      <c r="D307" s="40" t="s">
        <v>133</v>
      </c>
      <c r="E307" s="40" t="s">
        <v>290</v>
      </c>
      <c r="F307" s="5"/>
      <c r="G307" s="160" t="e">
        <f>'Пр.4 ведом.20'!#REF!</f>
        <v>#REF!</v>
      </c>
      <c r="H307" s="161" t="s">
        <v>752</v>
      </c>
    </row>
    <row r="308" spans="1:8" ht="47.25" x14ac:dyDescent="0.25">
      <c r="A308" s="46" t="s">
        <v>495</v>
      </c>
      <c r="B308" s="40" t="s">
        <v>509</v>
      </c>
      <c r="C308" s="40" t="s">
        <v>506</v>
      </c>
      <c r="D308" s="40" t="s">
        <v>133</v>
      </c>
      <c r="E308" s="40"/>
      <c r="F308" s="5">
        <v>907</v>
      </c>
      <c r="G308" s="10" t="e">
        <f>G299+G307</f>
        <v>#REF!</v>
      </c>
    </row>
    <row r="309" spans="1:8" ht="31.5" hidden="1" x14ac:dyDescent="0.25">
      <c r="A309" s="29" t="s">
        <v>295</v>
      </c>
      <c r="B309" s="40" t="s">
        <v>662</v>
      </c>
      <c r="C309" s="40" t="s">
        <v>506</v>
      </c>
      <c r="D309" s="40" t="s">
        <v>133</v>
      </c>
      <c r="E309" s="40"/>
      <c r="F309" s="5"/>
      <c r="G309" s="10">
        <f>G310</f>
        <v>0</v>
      </c>
    </row>
    <row r="310" spans="1:8" ht="63" hidden="1" x14ac:dyDescent="0.25">
      <c r="A310" s="29" t="s">
        <v>287</v>
      </c>
      <c r="B310" s="40" t="s">
        <v>662</v>
      </c>
      <c r="C310" s="40" t="s">
        <v>506</v>
      </c>
      <c r="D310" s="40" t="s">
        <v>133</v>
      </c>
      <c r="E310" s="40" t="s">
        <v>288</v>
      </c>
      <c r="F310" s="5"/>
      <c r="G310" s="10">
        <f>G311</f>
        <v>0</v>
      </c>
    </row>
    <row r="311" spans="1:8" ht="15.75" hidden="1" x14ac:dyDescent="0.25">
      <c r="A311" s="29" t="s">
        <v>289</v>
      </c>
      <c r="B311" s="40" t="s">
        <v>662</v>
      </c>
      <c r="C311" s="40" t="s">
        <v>506</v>
      </c>
      <c r="D311" s="40" t="s">
        <v>133</v>
      </c>
      <c r="E311" s="40" t="s">
        <v>290</v>
      </c>
      <c r="F311" s="5"/>
      <c r="G311" s="10"/>
    </row>
    <row r="312" spans="1:8" ht="47.25" hidden="1" x14ac:dyDescent="0.25">
      <c r="A312" s="46" t="s">
        <v>495</v>
      </c>
      <c r="B312" s="40" t="s">
        <v>662</v>
      </c>
      <c r="C312" s="40" t="s">
        <v>506</v>
      </c>
      <c r="D312" s="40" t="s">
        <v>133</v>
      </c>
      <c r="E312" s="40"/>
      <c r="F312" s="5">
        <v>907</v>
      </c>
      <c r="G312" s="10">
        <v>0</v>
      </c>
    </row>
    <row r="313" spans="1:8" ht="71.45" hidden="1" customHeight="1" x14ac:dyDescent="0.25">
      <c r="A313" s="29" t="s">
        <v>299</v>
      </c>
      <c r="B313" s="40" t="s">
        <v>663</v>
      </c>
      <c r="C313" s="40" t="s">
        <v>506</v>
      </c>
      <c r="D313" s="40" t="s">
        <v>133</v>
      </c>
      <c r="E313" s="40"/>
      <c r="F313" s="5"/>
      <c r="G313" s="10">
        <f>G314</f>
        <v>0</v>
      </c>
    </row>
    <row r="314" spans="1:8" ht="63" hidden="1" x14ac:dyDescent="0.25">
      <c r="A314" s="29" t="s">
        <v>287</v>
      </c>
      <c r="B314" s="40" t="s">
        <v>663</v>
      </c>
      <c r="C314" s="40" t="s">
        <v>506</v>
      </c>
      <c r="D314" s="40" t="s">
        <v>133</v>
      </c>
      <c r="E314" s="40" t="s">
        <v>288</v>
      </c>
      <c r="F314" s="5"/>
      <c r="G314" s="10">
        <f>G315</f>
        <v>0</v>
      </c>
    </row>
    <row r="315" spans="1:8" ht="15.75" hidden="1" x14ac:dyDescent="0.25">
      <c r="A315" s="29" t="s">
        <v>289</v>
      </c>
      <c r="B315" s="40" t="s">
        <v>663</v>
      </c>
      <c r="C315" s="40" t="s">
        <v>506</v>
      </c>
      <c r="D315" s="40" t="s">
        <v>133</v>
      </c>
      <c r="E315" s="40" t="s">
        <v>290</v>
      </c>
      <c r="F315" s="5"/>
      <c r="G315" s="10"/>
    </row>
    <row r="316" spans="1:8" ht="47.25" hidden="1" x14ac:dyDescent="0.25">
      <c r="A316" s="46" t="s">
        <v>495</v>
      </c>
      <c r="B316" s="40" t="s">
        <v>663</v>
      </c>
      <c r="C316" s="40" t="s">
        <v>506</v>
      </c>
      <c r="D316" s="40" t="s">
        <v>133</v>
      </c>
      <c r="E316" s="40"/>
      <c r="F316" s="5">
        <v>907</v>
      </c>
      <c r="G316" s="10">
        <v>0</v>
      </c>
    </row>
    <row r="317" spans="1:8" ht="63" x14ac:dyDescent="0.25">
      <c r="A317" s="58" t="s">
        <v>516</v>
      </c>
      <c r="B317" s="7" t="s">
        <v>517</v>
      </c>
      <c r="C317" s="7"/>
      <c r="D317" s="7"/>
      <c r="E317" s="7"/>
      <c r="F317" s="176"/>
      <c r="G317" s="4" t="e">
        <f>G318</f>
        <v>#REF!</v>
      </c>
    </row>
    <row r="318" spans="1:8" ht="15.75" x14ac:dyDescent="0.25">
      <c r="A318" s="29" t="s">
        <v>505</v>
      </c>
      <c r="B318" s="40" t="s">
        <v>517</v>
      </c>
      <c r="C318" s="2">
        <v>11</v>
      </c>
      <c r="D318" s="40"/>
      <c r="E318" s="40"/>
      <c r="F318" s="5"/>
      <c r="G318" s="6" t="e">
        <f>G319</f>
        <v>#REF!</v>
      </c>
    </row>
    <row r="319" spans="1:8" ht="31.5" x14ac:dyDescent="0.25">
      <c r="A319" s="25" t="s">
        <v>515</v>
      </c>
      <c r="B319" s="40" t="s">
        <v>517</v>
      </c>
      <c r="C319" s="40" t="s">
        <v>506</v>
      </c>
      <c r="D319" s="40" t="s">
        <v>249</v>
      </c>
      <c r="E319" s="40"/>
      <c r="F319" s="5"/>
      <c r="G319" s="6" t="e">
        <f>G320</f>
        <v>#REF!</v>
      </c>
    </row>
    <row r="320" spans="1:8" ht="47.25" x14ac:dyDescent="0.25">
      <c r="A320" s="29" t="s">
        <v>172</v>
      </c>
      <c r="B320" s="40" t="s">
        <v>518</v>
      </c>
      <c r="C320" s="40" t="s">
        <v>506</v>
      </c>
      <c r="D320" s="40" t="s">
        <v>249</v>
      </c>
      <c r="E320" s="40"/>
      <c r="F320" s="5"/>
      <c r="G320" s="6" t="e">
        <f>G323+G321</f>
        <v>#REF!</v>
      </c>
    </row>
    <row r="321" spans="1:7" ht="110.25" x14ac:dyDescent="0.25">
      <c r="A321" s="25" t="s">
        <v>142</v>
      </c>
      <c r="B321" s="40" t="s">
        <v>518</v>
      </c>
      <c r="C321" s="40" t="s">
        <v>506</v>
      </c>
      <c r="D321" s="40" t="s">
        <v>249</v>
      </c>
      <c r="E321" s="40" t="s">
        <v>143</v>
      </c>
      <c r="F321" s="5"/>
      <c r="G321" s="6" t="e">
        <f>G322</f>
        <v>#REF!</v>
      </c>
    </row>
    <row r="322" spans="1:7" ht="55.5" customHeight="1" x14ac:dyDescent="0.25">
      <c r="A322" s="25" t="s">
        <v>144</v>
      </c>
      <c r="B322" s="40" t="s">
        <v>518</v>
      </c>
      <c r="C322" s="40" t="s">
        <v>506</v>
      </c>
      <c r="D322" s="40" t="s">
        <v>249</v>
      </c>
      <c r="E322" s="40" t="s">
        <v>145</v>
      </c>
      <c r="F322" s="5"/>
      <c r="G322" s="6" t="e">
        <f>'Пр.4 ведом.20'!#REF!</f>
        <v>#REF!</v>
      </c>
    </row>
    <row r="323" spans="1:7" ht="47.25" x14ac:dyDescent="0.25">
      <c r="A323" s="29" t="s">
        <v>146</v>
      </c>
      <c r="B323" s="40" t="s">
        <v>518</v>
      </c>
      <c r="C323" s="40" t="s">
        <v>506</v>
      </c>
      <c r="D323" s="40" t="s">
        <v>249</v>
      </c>
      <c r="E323" s="40" t="s">
        <v>147</v>
      </c>
      <c r="F323" s="5"/>
      <c r="G323" s="6" t="e">
        <f>G324</f>
        <v>#REF!</v>
      </c>
    </row>
    <row r="324" spans="1:7" ht="47.25" x14ac:dyDescent="0.25">
      <c r="A324" s="29" t="s">
        <v>148</v>
      </c>
      <c r="B324" s="40" t="s">
        <v>518</v>
      </c>
      <c r="C324" s="40" t="s">
        <v>506</v>
      </c>
      <c r="D324" s="40" t="s">
        <v>249</v>
      </c>
      <c r="E324" s="40" t="s">
        <v>149</v>
      </c>
      <c r="F324" s="5"/>
      <c r="G324" s="6" t="e">
        <f>'Пр.4 ведом.20'!#REF!</f>
        <v>#REF!</v>
      </c>
    </row>
    <row r="325" spans="1:7" ht="47.25" x14ac:dyDescent="0.25">
      <c r="A325" s="70" t="s">
        <v>495</v>
      </c>
      <c r="B325" s="40" t="s">
        <v>517</v>
      </c>
      <c r="C325" s="40" t="s">
        <v>506</v>
      </c>
      <c r="D325" s="40" t="s">
        <v>249</v>
      </c>
      <c r="E325" s="40"/>
      <c r="F325" s="5">
        <v>907</v>
      </c>
      <c r="G325" s="10" t="e">
        <f>G317</f>
        <v>#REF!</v>
      </c>
    </row>
    <row r="326" spans="1:7" ht="63" x14ac:dyDescent="0.25">
      <c r="A326" s="41" t="s">
        <v>281</v>
      </c>
      <c r="B326" s="7" t="s">
        <v>282</v>
      </c>
      <c r="C326" s="72"/>
      <c r="D326" s="72"/>
      <c r="E326" s="72"/>
      <c r="F326" s="3"/>
      <c r="G326" s="59" t="e">
        <f>G327+G353+G374</f>
        <v>#REF!</v>
      </c>
    </row>
    <row r="327" spans="1:7" ht="78.75" x14ac:dyDescent="0.25">
      <c r="A327" s="41" t="s">
        <v>283</v>
      </c>
      <c r="B327" s="7" t="s">
        <v>284</v>
      </c>
      <c r="C327" s="72"/>
      <c r="D327" s="72"/>
      <c r="E327" s="72"/>
      <c r="F327" s="3"/>
      <c r="G327" s="59" t="e">
        <f>G328</f>
        <v>#REF!</v>
      </c>
    </row>
    <row r="328" spans="1:7" ht="15.75" x14ac:dyDescent="0.25">
      <c r="A328" s="29" t="s">
        <v>278</v>
      </c>
      <c r="B328" s="40" t="s">
        <v>284</v>
      </c>
      <c r="C328" s="40" t="s">
        <v>279</v>
      </c>
      <c r="D328" s="72"/>
      <c r="E328" s="72"/>
      <c r="F328" s="3"/>
      <c r="G328" s="10" t="e">
        <f>G329</f>
        <v>#REF!</v>
      </c>
    </row>
    <row r="329" spans="1:7" ht="15.75" x14ac:dyDescent="0.25">
      <c r="A329" s="29" t="s">
        <v>440</v>
      </c>
      <c r="B329" s="40" t="s">
        <v>284</v>
      </c>
      <c r="C329" s="40" t="s">
        <v>279</v>
      </c>
      <c r="D329" s="40" t="s">
        <v>230</v>
      </c>
      <c r="E329" s="72"/>
      <c r="F329" s="3"/>
      <c r="G329" s="10" t="e">
        <f>G330+G345</f>
        <v>#REF!</v>
      </c>
    </row>
    <row r="330" spans="1:7" ht="63" x14ac:dyDescent="0.25">
      <c r="A330" s="29" t="s">
        <v>285</v>
      </c>
      <c r="B330" s="40" t="s">
        <v>286</v>
      </c>
      <c r="C330" s="40" t="s">
        <v>279</v>
      </c>
      <c r="D330" s="40" t="s">
        <v>230</v>
      </c>
      <c r="E330" s="72"/>
      <c r="F330" s="3"/>
      <c r="G330" s="10" t="e">
        <f>G331</f>
        <v>#REF!</v>
      </c>
    </row>
    <row r="331" spans="1:7" ht="63" x14ac:dyDescent="0.25">
      <c r="A331" s="29" t="s">
        <v>287</v>
      </c>
      <c r="B331" s="40" t="s">
        <v>286</v>
      </c>
      <c r="C331" s="40" t="s">
        <v>279</v>
      </c>
      <c r="D331" s="40" t="s">
        <v>230</v>
      </c>
      <c r="E331" s="40" t="s">
        <v>288</v>
      </c>
      <c r="F331" s="3"/>
      <c r="G331" s="10" t="e">
        <f>G332</f>
        <v>#REF!</v>
      </c>
    </row>
    <row r="332" spans="1:7" ht="15.75" x14ac:dyDescent="0.25">
      <c r="A332" s="29" t="s">
        <v>289</v>
      </c>
      <c r="B332" s="40" t="s">
        <v>286</v>
      </c>
      <c r="C332" s="40" t="s">
        <v>279</v>
      </c>
      <c r="D332" s="40" t="s">
        <v>230</v>
      </c>
      <c r="E332" s="40" t="s">
        <v>290</v>
      </c>
      <c r="F332" s="3"/>
      <c r="G332" s="6" t="e">
        <f>'Пр.4 ведом.20'!#REF!</f>
        <v>#REF!</v>
      </c>
    </row>
    <row r="333" spans="1:7" ht="63" hidden="1" x14ac:dyDescent="0.25">
      <c r="A333" s="29" t="s">
        <v>291</v>
      </c>
      <c r="B333" s="40" t="s">
        <v>664</v>
      </c>
      <c r="C333" s="40" t="s">
        <v>279</v>
      </c>
      <c r="D333" s="40" t="s">
        <v>230</v>
      </c>
      <c r="E333" s="40"/>
      <c r="F333" s="3"/>
      <c r="G333" s="10">
        <f>G334</f>
        <v>0</v>
      </c>
    </row>
    <row r="334" spans="1:7" ht="63" hidden="1" x14ac:dyDescent="0.25">
      <c r="A334" s="29" t="s">
        <v>287</v>
      </c>
      <c r="B334" s="40" t="s">
        <v>664</v>
      </c>
      <c r="C334" s="40" t="s">
        <v>279</v>
      </c>
      <c r="D334" s="40" t="s">
        <v>230</v>
      </c>
      <c r="E334" s="40" t="s">
        <v>288</v>
      </c>
      <c r="F334" s="3"/>
      <c r="G334" s="10">
        <f>G335</f>
        <v>0</v>
      </c>
    </row>
    <row r="335" spans="1:7" ht="15.75" hidden="1" x14ac:dyDescent="0.25">
      <c r="A335" s="29" t="s">
        <v>289</v>
      </c>
      <c r="B335" s="40" t="s">
        <v>664</v>
      </c>
      <c r="C335" s="40" t="s">
        <v>279</v>
      </c>
      <c r="D335" s="40" t="s">
        <v>230</v>
      </c>
      <c r="E335" s="40" t="s">
        <v>290</v>
      </c>
      <c r="F335" s="3"/>
      <c r="G335" s="10"/>
    </row>
    <row r="336" spans="1:7" ht="63" hidden="1" x14ac:dyDescent="0.25">
      <c r="A336" s="45" t="s">
        <v>276</v>
      </c>
      <c r="B336" s="40" t="s">
        <v>664</v>
      </c>
      <c r="C336" s="40" t="s">
        <v>279</v>
      </c>
      <c r="D336" s="40" t="s">
        <v>230</v>
      </c>
      <c r="E336" s="40"/>
      <c r="F336" s="2">
        <v>903</v>
      </c>
      <c r="G336" s="10">
        <v>0</v>
      </c>
    </row>
    <row r="337" spans="1:7" ht="47.25" hidden="1" x14ac:dyDescent="0.25">
      <c r="A337" s="29" t="s">
        <v>293</v>
      </c>
      <c r="B337" s="40" t="s">
        <v>665</v>
      </c>
      <c r="C337" s="40" t="s">
        <v>279</v>
      </c>
      <c r="D337" s="40" t="s">
        <v>230</v>
      </c>
      <c r="E337" s="40"/>
      <c r="F337" s="3"/>
      <c r="G337" s="10">
        <f>G338</f>
        <v>0</v>
      </c>
    </row>
    <row r="338" spans="1:7" ht="63" hidden="1" x14ac:dyDescent="0.25">
      <c r="A338" s="29" t="s">
        <v>287</v>
      </c>
      <c r="B338" s="40" t="s">
        <v>665</v>
      </c>
      <c r="C338" s="40" t="s">
        <v>279</v>
      </c>
      <c r="D338" s="40" t="s">
        <v>230</v>
      </c>
      <c r="E338" s="40" t="s">
        <v>288</v>
      </c>
      <c r="F338" s="3"/>
      <c r="G338" s="10">
        <f>G339</f>
        <v>0</v>
      </c>
    </row>
    <row r="339" spans="1:7" ht="15.75" hidden="1" x14ac:dyDescent="0.25">
      <c r="A339" s="29" t="s">
        <v>289</v>
      </c>
      <c r="B339" s="40" t="s">
        <v>665</v>
      </c>
      <c r="C339" s="40" t="s">
        <v>279</v>
      </c>
      <c r="D339" s="40" t="s">
        <v>230</v>
      </c>
      <c r="E339" s="40" t="s">
        <v>290</v>
      </c>
      <c r="F339" s="3"/>
      <c r="G339" s="10"/>
    </row>
    <row r="340" spans="1:7" ht="63" hidden="1" x14ac:dyDescent="0.25">
      <c r="A340" s="45" t="s">
        <v>276</v>
      </c>
      <c r="B340" s="40" t="s">
        <v>665</v>
      </c>
      <c r="C340" s="40" t="s">
        <v>279</v>
      </c>
      <c r="D340" s="40" t="s">
        <v>230</v>
      </c>
      <c r="E340" s="40"/>
      <c r="F340" s="2">
        <v>903</v>
      </c>
      <c r="G340" s="10">
        <v>0</v>
      </c>
    </row>
    <row r="341" spans="1:7" ht="31.5" hidden="1" x14ac:dyDescent="0.25">
      <c r="A341" s="29" t="s">
        <v>295</v>
      </c>
      <c r="B341" s="40" t="s">
        <v>666</v>
      </c>
      <c r="C341" s="40" t="s">
        <v>279</v>
      </c>
      <c r="D341" s="40" t="s">
        <v>230</v>
      </c>
      <c r="E341" s="40"/>
      <c r="F341" s="3"/>
      <c r="G341" s="10">
        <f>G342</f>
        <v>0</v>
      </c>
    </row>
    <row r="342" spans="1:7" ht="69" hidden="1" customHeight="1" x14ac:dyDescent="0.25">
      <c r="A342" s="29" t="s">
        <v>287</v>
      </c>
      <c r="B342" s="40" t="s">
        <v>666</v>
      </c>
      <c r="C342" s="40" t="s">
        <v>279</v>
      </c>
      <c r="D342" s="40" t="s">
        <v>230</v>
      </c>
      <c r="E342" s="40" t="s">
        <v>288</v>
      </c>
      <c r="F342" s="3"/>
      <c r="G342" s="10">
        <f>G343</f>
        <v>0</v>
      </c>
    </row>
    <row r="343" spans="1:7" ht="15.75" hidden="1" x14ac:dyDescent="0.25">
      <c r="A343" s="29" t="s">
        <v>289</v>
      </c>
      <c r="B343" s="40" t="s">
        <v>666</v>
      </c>
      <c r="C343" s="40" t="s">
        <v>279</v>
      </c>
      <c r="D343" s="40" t="s">
        <v>230</v>
      </c>
      <c r="E343" s="40" t="s">
        <v>290</v>
      </c>
      <c r="F343" s="3"/>
      <c r="G343" s="10"/>
    </row>
    <row r="344" spans="1:7" ht="63" hidden="1" x14ac:dyDescent="0.25">
      <c r="A344" s="45" t="s">
        <v>276</v>
      </c>
      <c r="B344" s="40" t="s">
        <v>666</v>
      </c>
      <c r="C344" s="40" t="s">
        <v>279</v>
      </c>
      <c r="D344" s="40" t="s">
        <v>230</v>
      </c>
      <c r="E344" s="40"/>
      <c r="F344" s="2">
        <v>903</v>
      </c>
      <c r="G344" s="10">
        <v>0</v>
      </c>
    </row>
    <row r="345" spans="1:7" ht="47.25" x14ac:dyDescent="0.25">
      <c r="A345" s="29" t="s">
        <v>297</v>
      </c>
      <c r="B345" s="40" t="s">
        <v>298</v>
      </c>
      <c r="C345" s="40" t="s">
        <v>279</v>
      </c>
      <c r="D345" s="40" t="s">
        <v>230</v>
      </c>
      <c r="E345" s="40"/>
      <c r="F345" s="3"/>
      <c r="G345" s="10" t="e">
        <f>G346</f>
        <v>#REF!</v>
      </c>
    </row>
    <row r="346" spans="1:7" ht="63" x14ac:dyDescent="0.25">
      <c r="A346" s="29" t="s">
        <v>287</v>
      </c>
      <c r="B346" s="40" t="s">
        <v>298</v>
      </c>
      <c r="C346" s="40" t="s">
        <v>279</v>
      </c>
      <c r="D346" s="40" t="s">
        <v>230</v>
      </c>
      <c r="E346" s="40" t="s">
        <v>288</v>
      </c>
      <c r="F346" s="3"/>
      <c r="G346" s="10" t="e">
        <f>G347</f>
        <v>#REF!</v>
      </c>
    </row>
    <row r="347" spans="1:7" ht="15.75" x14ac:dyDescent="0.25">
      <c r="A347" s="29" t="s">
        <v>289</v>
      </c>
      <c r="B347" s="40" t="s">
        <v>298</v>
      </c>
      <c r="C347" s="40" t="s">
        <v>279</v>
      </c>
      <c r="D347" s="40" t="s">
        <v>230</v>
      </c>
      <c r="E347" s="40" t="s">
        <v>290</v>
      </c>
      <c r="F347" s="3"/>
      <c r="G347" s="6" t="e">
        <f>'Пр.4 ведом.20'!#REF!</f>
        <v>#REF!</v>
      </c>
    </row>
    <row r="348" spans="1:7" ht="63" x14ac:dyDescent="0.25">
      <c r="A348" s="45" t="s">
        <v>276</v>
      </c>
      <c r="B348" s="40" t="s">
        <v>284</v>
      </c>
      <c r="C348" s="40" t="s">
        <v>279</v>
      </c>
      <c r="D348" s="40" t="s">
        <v>230</v>
      </c>
      <c r="E348" s="40"/>
      <c r="F348" s="2">
        <v>903</v>
      </c>
      <c r="G348" s="10" t="e">
        <f>G327</f>
        <v>#REF!</v>
      </c>
    </row>
    <row r="349" spans="1:7" ht="47.25" hidden="1" x14ac:dyDescent="0.25">
      <c r="A349" s="29" t="s">
        <v>622</v>
      </c>
      <c r="B349" s="40" t="s">
        <v>623</v>
      </c>
      <c r="C349" s="40" t="s">
        <v>279</v>
      </c>
      <c r="D349" s="40" t="s">
        <v>228</v>
      </c>
      <c r="E349" s="40"/>
      <c r="F349" s="3"/>
      <c r="G349" s="10">
        <f>G350</f>
        <v>0</v>
      </c>
    </row>
    <row r="350" spans="1:7" ht="63" hidden="1" x14ac:dyDescent="0.25">
      <c r="A350" s="29" t="s">
        <v>287</v>
      </c>
      <c r="B350" s="40" t="s">
        <v>623</v>
      </c>
      <c r="C350" s="40" t="s">
        <v>279</v>
      </c>
      <c r="D350" s="40" t="s">
        <v>228</v>
      </c>
      <c r="E350" s="40" t="s">
        <v>288</v>
      </c>
      <c r="F350" s="3"/>
      <c r="G350" s="10">
        <f>G351</f>
        <v>0</v>
      </c>
    </row>
    <row r="351" spans="1:7" ht="15.75" hidden="1" x14ac:dyDescent="0.25">
      <c r="A351" s="29" t="s">
        <v>289</v>
      </c>
      <c r="B351" s="40" t="s">
        <v>623</v>
      </c>
      <c r="C351" s="40" t="s">
        <v>279</v>
      </c>
      <c r="D351" s="40" t="s">
        <v>228</v>
      </c>
      <c r="E351" s="40" t="s">
        <v>290</v>
      </c>
      <c r="F351" s="3"/>
      <c r="G351" s="10"/>
    </row>
    <row r="352" spans="1:7" ht="63" hidden="1" x14ac:dyDescent="0.25">
      <c r="A352" s="45" t="s">
        <v>276</v>
      </c>
      <c r="B352" s="40" t="s">
        <v>623</v>
      </c>
      <c r="C352" s="40" t="s">
        <v>279</v>
      </c>
      <c r="D352" s="40" t="s">
        <v>228</v>
      </c>
      <c r="E352" s="72"/>
      <c r="F352" s="2">
        <v>903</v>
      </c>
      <c r="G352" s="10">
        <v>0</v>
      </c>
    </row>
    <row r="353" spans="1:7" ht="79.5" customHeight="1" x14ac:dyDescent="0.25">
      <c r="A353" s="41" t="s">
        <v>316</v>
      </c>
      <c r="B353" s="7" t="s">
        <v>317</v>
      </c>
      <c r="C353" s="7"/>
      <c r="D353" s="7"/>
      <c r="E353" s="72"/>
      <c r="F353" s="3"/>
      <c r="G353" s="59" t="e">
        <f>G354</f>
        <v>#REF!</v>
      </c>
    </row>
    <row r="354" spans="1:7" ht="15.75" x14ac:dyDescent="0.25">
      <c r="A354" s="73" t="s">
        <v>313</v>
      </c>
      <c r="B354" s="40" t="s">
        <v>317</v>
      </c>
      <c r="C354" s="40" t="s">
        <v>314</v>
      </c>
      <c r="D354" s="73"/>
      <c r="E354" s="73"/>
      <c r="F354" s="2"/>
      <c r="G354" s="10" t="e">
        <f>G355</f>
        <v>#REF!</v>
      </c>
    </row>
    <row r="355" spans="1:7" ht="15.75" x14ac:dyDescent="0.25">
      <c r="A355" s="73" t="s">
        <v>315</v>
      </c>
      <c r="B355" s="40" t="s">
        <v>317</v>
      </c>
      <c r="C355" s="40" t="s">
        <v>314</v>
      </c>
      <c r="D355" s="40" t="s">
        <v>133</v>
      </c>
      <c r="E355" s="73"/>
      <c r="F355" s="2"/>
      <c r="G355" s="10" t="e">
        <f>G356+G363+G366</f>
        <v>#REF!</v>
      </c>
    </row>
    <row r="356" spans="1:7" ht="63" x14ac:dyDescent="0.25">
      <c r="A356" s="29" t="s">
        <v>318</v>
      </c>
      <c r="B356" s="40" t="s">
        <v>319</v>
      </c>
      <c r="C356" s="40" t="s">
        <v>314</v>
      </c>
      <c r="D356" s="40" t="s">
        <v>133</v>
      </c>
      <c r="E356" s="73"/>
      <c r="F356" s="2"/>
      <c r="G356" s="10" t="e">
        <f>G357</f>
        <v>#REF!</v>
      </c>
    </row>
    <row r="357" spans="1:7" ht="63" x14ac:dyDescent="0.25">
      <c r="A357" s="29" t="s">
        <v>287</v>
      </c>
      <c r="B357" s="40" t="s">
        <v>319</v>
      </c>
      <c r="C357" s="40" t="s">
        <v>314</v>
      </c>
      <c r="D357" s="40" t="s">
        <v>133</v>
      </c>
      <c r="E357" s="40" t="s">
        <v>288</v>
      </c>
      <c r="F357" s="2"/>
      <c r="G357" s="10" t="e">
        <f>G358</f>
        <v>#REF!</v>
      </c>
    </row>
    <row r="358" spans="1:7" ht="15.75" x14ac:dyDescent="0.25">
      <c r="A358" s="29" t="s">
        <v>289</v>
      </c>
      <c r="B358" s="40" t="s">
        <v>319</v>
      </c>
      <c r="C358" s="40" t="s">
        <v>314</v>
      </c>
      <c r="D358" s="40" t="s">
        <v>133</v>
      </c>
      <c r="E358" s="40" t="s">
        <v>290</v>
      </c>
      <c r="F358" s="2"/>
      <c r="G358" s="10" t="e">
        <f>'Пр.4 ведом.20'!#REF!</f>
        <v>#REF!</v>
      </c>
    </row>
    <row r="359" spans="1:7" ht="63" hidden="1" x14ac:dyDescent="0.25">
      <c r="A359" s="29" t="s">
        <v>291</v>
      </c>
      <c r="B359" s="40" t="s">
        <v>625</v>
      </c>
      <c r="C359" s="40" t="s">
        <v>314</v>
      </c>
      <c r="D359" s="40" t="s">
        <v>133</v>
      </c>
      <c r="E359" s="40"/>
      <c r="F359" s="2"/>
      <c r="G359" s="10">
        <f>G360</f>
        <v>0</v>
      </c>
    </row>
    <row r="360" spans="1:7" ht="63" hidden="1" x14ac:dyDescent="0.25">
      <c r="A360" s="29" t="s">
        <v>287</v>
      </c>
      <c r="B360" s="40" t="s">
        <v>625</v>
      </c>
      <c r="C360" s="40" t="s">
        <v>314</v>
      </c>
      <c r="D360" s="40" t="s">
        <v>133</v>
      </c>
      <c r="E360" s="40" t="s">
        <v>288</v>
      </c>
      <c r="F360" s="2"/>
      <c r="G360" s="10">
        <f>G361</f>
        <v>0</v>
      </c>
    </row>
    <row r="361" spans="1:7" ht="15.75" hidden="1" x14ac:dyDescent="0.25">
      <c r="A361" s="29" t="s">
        <v>289</v>
      </c>
      <c r="B361" s="40" t="s">
        <v>625</v>
      </c>
      <c r="C361" s="40" t="s">
        <v>314</v>
      </c>
      <c r="D361" s="40" t="s">
        <v>133</v>
      </c>
      <c r="E361" s="40" t="s">
        <v>290</v>
      </c>
      <c r="F361" s="2"/>
      <c r="G361" s="10"/>
    </row>
    <row r="362" spans="1:7" ht="63" hidden="1" x14ac:dyDescent="0.25">
      <c r="A362" s="45" t="s">
        <v>276</v>
      </c>
      <c r="B362" s="40" t="s">
        <v>625</v>
      </c>
      <c r="C362" s="40" t="s">
        <v>314</v>
      </c>
      <c r="D362" s="40" t="s">
        <v>133</v>
      </c>
      <c r="E362" s="40"/>
      <c r="F362" s="2">
        <v>903</v>
      </c>
      <c r="G362" s="10">
        <v>0</v>
      </c>
    </row>
    <row r="363" spans="1:7" ht="31.5" x14ac:dyDescent="0.25">
      <c r="A363" s="29" t="s">
        <v>627</v>
      </c>
      <c r="B363" s="40" t="s">
        <v>321</v>
      </c>
      <c r="C363" s="40" t="s">
        <v>314</v>
      </c>
      <c r="D363" s="40" t="s">
        <v>133</v>
      </c>
      <c r="E363" s="40"/>
      <c r="F363" s="2"/>
      <c r="G363" s="10" t="e">
        <f>G364</f>
        <v>#REF!</v>
      </c>
    </row>
    <row r="364" spans="1:7" ht="71.45" customHeight="1" x14ac:dyDescent="0.25">
      <c r="A364" s="29" t="s">
        <v>287</v>
      </c>
      <c r="B364" s="40" t="s">
        <v>321</v>
      </c>
      <c r="C364" s="40" t="s">
        <v>314</v>
      </c>
      <c r="D364" s="40" t="s">
        <v>133</v>
      </c>
      <c r="E364" s="40" t="s">
        <v>288</v>
      </c>
      <c r="F364" s="2"/>
      <c r="G364" s="10" t="e">
        <f>G365</f>
        <v>#REF!</v>
      </c>
    </row>
    <row r="365" spans="1:7" ht="15.75" x14ac:dyDescent="0.25">
      <c r="A365" s="29" t="s">
        <v>289</v>
      </c>
      <c r="B365" s="40" t="s">
        <v>321</v>
      </c>
      <c r="C365" s="40" t="s">
        <v>314</v>
      </c>
      <c r="D365" s="40" t="s">
        <v>133</v>
      </c>
      <c r="E365" s="40" t="s">
        <v>290</v>
      </c>
      <c r="F365" s="2"/>
      <c r="G365" s="10" t="e">
        <f>'Пр.4 ведом.20'!#REF!</f>
        <v>#REF!</v>
      </c>
    </row>
    <row r="366" spans="1:7" ht="31.5" x14ac:dyDescent="0.25">
      <c r="A366" s="29" t="s">
        <v>322</v>
      </c>
      <c r="B366" s="40" t="s">
        <v>323</v>
      </c>
      <c r="C366" s="40" t="s">
        <v>314</v>
      </c>
      <c r="D366" s="40" t="s">
        <v>133</v>
      </c>
      <c r="E366" s="40"/>
      <c r="F366" s="2"/>
      <c r="G366" s="10" t="e">
        <f>G367</f>
        <v>#REF!</v>
      </c>
    </row>
    <row r="367" spans="1:7" ht="63" x14ac:dyDescent="0.25">
      <c r="A367" s="29" t="s">
        <v>287</v>
      </c>
      <c r="B367" s="40" t="s">
        <v>323</v>
      </c>
      <c r="C367" s="40" t="s">
        <v>314</v>
      </c>
      <c r="D367" s="40" t="s">
        <v>133</v>
      </c>
      <c r="E367" s="40" t="s">
        <v>288</v>
      </c>
      <c r="F367" s="2"/>
      <c r="G367" s="10" t="e">
        <f>G368</f>
        <v>#REF!</v>
      </c>
    </row>
    <row r="368" spans="1:7" ht="15.75" x14ac:dyDescent="0.25">
      <c r="A368" s="29" t="s">
        <v>289</v>
      </c>
      <c r="B368" s="40" t="s">
        <v>323</v>
      </c>
      <c r="C368" s="40" t="s">
        <v>314</v>
      </c>
      <c r="D368" s="40" t="s">
        <v>133</v>
      </c>
      <c r="E368" s="40" t="s">
        <v>290</v>
      </c>
      <c r="F368" s="2"/>
      <c r="G368" s="10" t="e">
        <f>'Пр.4 ведом.20'!#REF!</f>
        <v>#REF!</v>
      </c>
    </row>
    <row r="369" spans="1:7" ht="63" x14ac:dyDescent="0.25">
      <c r="A369" s="45" t="s">
        <v>276</v>
      </c>
      <c r="B369" s="40" t="s">
        <v>317</v>
      </c>
      <c r="C369" s="40" t="s">
        <v>314</v>
      </c>
      <c r="D369" s="40" t="s">
        <v>133</v>
      </c>
      <c r="E369" s="40"/>
      <c r="F369" s="2">
        <v>903</v>
      </c>
      <c r="G369" s="10" t="e">
        <f>G353</f>
        <v>#REF!</v>
      </c>
    </row>
    <row r="370" spans="1:7" ht="31.5" hidden="1" x14ac:dyDescent="0.25">
      <c r="A370" s="29" t="s">
        <v>299</v>
      </c>
      <c r="B370" s="40" t="s">
        <v>626</v>
      </c>
      <c r="C370" s="40" t="s">
        <v>314</v>
      </c>
      <c r="D370" s="40" t="s">
        <v>133</v>
      </c>
      <c r="E370" s="40"/>
      <c r="F370" s="2"/>
      <c r="G370" s="10">
        <f>G371</f>
        <v>0</v>
      </c>
    </row>
    <row r="371" spans="1:7" ht="63" hidden="1" x14ac:dyDescent="0.25">
      <c r="A371" s="29" t="s">
        <v>287</v>
      </c>
      <c r="B371" s="40" t="s">
        <v>626</v>
      </c>
      <c r="C371" s="40" t="s">
        <v>314</v>
      </c>
      <c r="D371" s="40" t="s">
        <v>133</v>
      </c>
      <c r="E371" s="40" t="s">
        <v>288</v>
      </c>
      <c r="F371" s="2"/>
      <c r="G371" s="10">
        <f>G372</f>
        <v>0</v>
      </c>
    </row>
    <row r="372" spans="1:7" ht="15.75" hidden="1" x14ac:dyDescent="0.25">
      <c r="A372" s="29" t="s">
        <v>289</v>
      </c>
      <c r="B372" s="40" t="s">
        <v>626</v>
      </c>
      <c r="C372" s="40" t="s">
        <v>314</v>
      </c>
      <c r="D372" s="40" t="s">
        <v>133</v>
      </c>
      <c r="E372" s="40" t="s">
        <v>290</v>
      </c>
      <c r="F372" s="2"/>
      <c r="G372" s="10"/>
    </row>
    <row r="373" spans="1:7" ht="63" hidden="1" x14ac:dyDescent="0.25">
      <c r="A373" s="45" t="s">
        <v>276</v>
      </c>
      <c r="B373" s="40" t="s">
        <v>626</v>
      </c>
      <c r="C373" s="40" t="s">
        <v>314</v>
      </c>
      <c r="D373" s="40" t="s">
        <v>133</v>
      </c>
      <c r="E373" s="40"/>
      <c r="F373" s="2">
        <v>903</v>
      </c>
      <c r="G373" s="10">
        <v>0</v>
      </c>
    </row>
    <row r="374" spans="1:7" ht="63" x14ac:dyDescent="0.25">
      <c r="A374" s="41" t="s">
        <v>327</v>
      </c>
      <c r="B374" s="7" t="s">
        <v>328</v>
      </c>
      <c r="C374" s="7"/>
      <c r="D374" s="7"/>
      <c r="E374" s="7"/>
      <c r="F374" s="75"/>
      <c r="G374" s="59" t="e">
        <f>G375</f>
        <v>#REF!</v>
      </c>
    </row>
    <row r="375" spans="1:7" ht="15.75" x14ac:dyDescent="0.25">
      <c r="A375" s="73" t="s">
        <v>313</v>
      </c>
      <c r="B375" s="40" t="s">
        <v>328</v>
      </c>
      <c r="C375" s="40" t="s">
        <v>314</v>
      </c>
      <c r="D375" s="40"/>
      <c r="E375" s="7"/>
      <c r="F375" s="75"/>
      <c r="G375" s="10" t="e">
        <f>G376</f>
        <v>#REF!</v>
      </c>
    </row>
    <row r="376" spans="1:7" ht="15.75" x14ac:dyDescent="0.25">
      <c r="A376" s="73" t="s">
        <v>315</v>
      </c>
      <c r="B376" s="40" t="s">
        <v>328</v>
      </c>
      <c r="C376" s="40" t="s">
        <v>314</v>
      </c>
      <c r="D376" s="40" t="s">
        <v>133</v>
      </c>
      <c r="E376" s="7"/>
      <c r="F376" s="75"/>
      <c r="G376" s="10" t="e">
        <f>G377+G396+G401+G380</f>
        <v>#REF!</v>
      </c>
    </row>
    <row r="377" spans="1:7" ht="63" x14ac:dyDescent="0.25">
      <c r="A377" s="29" t="s">
        <v>318</v>
      </c>
      <c r="B377" s="40" t="s">
        <v>329</v>
      </c>
      <c r="C377" s="40" t="s">
        <v>314</v>
      </c>
      <c r="D377" s="40" t="s">
        <v>133</v>
      </c>
      <c r="E377" s="40"/>
      <c r="F377" s="74"/>
      <c r="G377" s="10" t="e">
        <f>G378</f>
        <v>#REF!</v>
      </c>
    </row>
    <row r="378" spans="1:7" ht="63" x14ac:dyDescent="0.25">
      <c r="A378" s="29" t="s">
        <v>287</v>
      </c>
      <c r="B378" s="40" t="s">
        <v>329</v>
      </c>
      <c r="C378" s="40" t="s">
        <v>314</v>
      </c>
      <c r="D378" s="40" t="s">
        <v>133</v>
      </c>
      <c r="E378" s="40" t="s">
        <v>288</v>
      </c>
      <c r="F378" s="74"/>
      <c r="G378" s="10" t="e">
        <f>G379</f>
        <v>#REF!</v>
      </c>
    </row>
    <row r="379" spans="1:7" ht="15.75" x14ac:dyDescent="0.25">
      <c r="A379" s="29" t="s">
        <v>289</v>
      </c>
      <c r="B379" s="40" t="s">
        <v>329</v>
      </c>
      <c r="C379" s="40" t="s">
        <v>314</v>
      </c>
      <c r="D379" s="40" t="s">
        <v>133</v>
      </c>
      <c r="E379" s="40" t="s">
        <v>290</v>
      </c>
      <c r="F379" s="74"/>
      <c r="G379" s="6" t="e">
        <f>'Пр.4 ведом.20'!#REF!</f>
        <v>#REF!</v>
      </c>
    </row>
    <row r="380" spans="1:7" ht="63" x14ac:dyDescent="0.25">
      <c r="A380" s="29" t="s">
        <v>291</v>
      </c>
      <c r="B380" s="40" t="s">
        <v>332</v>
      </c>
      <c r="C380" s="40" t="s">
        <v>314</v>
      </c>
      <c r="D380" s="40" t="s">
        <v>133</v>
      </c>
      <c r="E380" s="40"/>
      <c r="F380" s="74"/>
      <c r="G380" s="10" t="e">
        <f>G381</f>
        <v>#REF!</v>
      </c>
    </row>
    <row r="381" spans="1:7" ht="63" x14ac:dyDescent="0.25">
      <c r="A381" s="29" t="s">
        <v>287</v>
      </c>
      <c r="B381" s="40" t="s">
        <v>332</v>
      </c>
      <c r="C381" s="40" t="s">
        <v>314</v>
      </c>
      <c r="D381" s="40" t="s">
        <v>133</v>
      </c>
      <c r="E381" s="40" t="s">
        <v>288</v>
      </c>
      <c r="F381" s="74"/>
      <c r="G381" s="10" t="e">
        <f>G382</f>
        <v>#REF!</v>
      </c>
    </row>
    <row r="382" spans="1:7" ht="15.75" x14ac:dyDescent="0.25">
      <c r="A382" s="29" t="s">
        <v>289</v>
      </c>
      <c r="B382" s="40" t="s">
        <v>332</v>
      </c>
      <c r="C382" s="40" t="s">
        <v>314</v>
      </c>
      <c r="D382" s="40" t="s">
        <v>133</v>
      </c>
      <c r="E382" s="40" t="s">
        <v>290</v>
      </c>
      <c r="F382" s="74"/>
      <c r="G382" s="10" t="e">
        <f>'Пр.4 ведом.20'!#REF!</f>
        <v>#REF!</v>
      </c>
    </row>
    <row r="383" spans="1:7" ht="63" hidden="1" x14ac:dyDescent="0.25">
      <c r="A383" s="45" t="s">
        <v>276</v>
      </c>
      <c r="B383" s="40" t="s">
        <v>667</v>
      </c>
      <c r="C383" s="40" t="s">
        <v>314</v>
      </c>
      <c r="D383" s="40" t="s">
        <v>133</v>
      </c>
      <c r="E383" s="40"/>
      <c r="F383" s="2">
        <v>903</v>
      </c>
      <c r="G383" s="10" t="e">
        <f>G380</f>
        <v>#REF!</v>
      </c>
    </row>
    <row r="384" spans="1:7" ht="47.25" hidden="1" x14ac:dyDescent="0.25">
      <c r="A384" s="25" t="s">
        <v>293</v>
      </c>
      <c r="B384" s="40" t="s">
        <v>333</v>
      </c>
      <c r="C384" s="40" t="s">
        <v>314</v>
      </c>
      <c r="D384" s="40" t="s">
        <v>133</v>
      </c>
      <c r="E384" s="40"/>
      <c r="F384" s="74"/>
      <c r="G384" s="10">
        <f>G385</f>
        <v>0</v>
      </c>
    </row>
    <row r="385" spans="1:7" ht="63" hidden="1" x14ac:dyDescent="0.25">
      <c r="A385" s="29" t="s">
        <v>287</v>
      </c>
      <c r="B385" s="40" t="s">
        <v>333</v>
      </c>
      <c r="C385" s="40" t="s">
        <v>314</v>
      </c>
      <c r="D385" s="40" t="s">
        <v>133</v>
      </c>
      <c r="E385" s="40" t="s">
        <v>288</v>
      </c>
      <c r="F385" s="74"/>
      <c r="G385" s="10">
        <f>G386</f>
        <v>0</v>
      </c>
    </row>
    <row r="386" spans="1:7" ht="35.450000000000003" hidden="1" customHeight="1" x14ac:dyDescent="0.25">
      <c r="A386" s="29" t="s">
        <v>289</v>
      </c>
      <c r="B386" s="40" t="s">
        <v>333</v>
      </c>
      <c r="C386" s="40" t="s">
        <v>314</v>
      </c>
      <c r="D386" s="40" t="s">
        <v>133</v>
      </c>
      <c r="E386" s="40" t="s">
        <v>290</v>
      </c>
      <c r="F386" s="74"/>
      <c r="G386" s="10"/>
    </row>
    <row r="387" spans="1:7" ht="63" hidden="1" x14ac:dyDescent="0.25">
      <c r="A387" s="45" t="s">
        <v>276</v>
      </c>
      <c r="B387" s="40" t="s">
        <v>333</v>
      </c>
      <c r="C387" s="40" t="s">
        <v>314</v>
      </c>
      <c r="D387" s="40" t="s">
        <v>133</v>
      </c>
      <c r="E387" s="40"/>
      <c r="F387" s="2">
        <v>903</v>
      </c>
      <c r="G387" s="10">
        <f>G384</f>
        <v>0</v>
      </c>
    </row>
    <row r="388" spans="1:7" ht="31.5" hidden="1" x14ac:dyDescent="0.25">
      <c r="A388" s="29" t="s">
        <v>668</v>
      </c>
      <c r="B388" s="40" t="s">
        <v>334</v>
      </c>
      <c r="C388" s="40" t="s">
        <v>314</v>
      </c>
      <c r="D388" s="40" t="s">
        <v>133</v>
      </c>
      <c r="E388" s="40"/>
      <c r="F388" s="74"/>
      <c r="G388" s="10">
        <f>G389</f>
        <v>0</v>
      </c>
    </row>
    <row r="389" spans="1:7" ht="63" hidden="1" x14ac:dyDescent="0.25">
      <c r="A389" s="29" t="s">
        <v>287</v>
      </c>
      <c r="B389" s="40" t="s">
        <v>334</v>
      </c>
      <c r="C389" s="40" t="s">
        <v>314</v>
      </c>
      <c r="D389" s="40" t="s">
        <v>133</v>
      </c>
      <c r="E389" s="40" t="s">
        <v>288</v>
      </c>
      <c r="F389" s="74"/>
      <c r="G389" s="10">
        <f>G390</f>
        <v>0</v>
      </c>
    </row>
    <row r="390" spans="1:7" ht="15.75" hidden="1" x14ac:dyDescent="0.25">
      <c r="A390" s="29" t="s">
        <v>289</v>
      </c>
      <c r="B390" s="40" t="s">
        <v>334</v>
      </c>
      <c r="C390" s="40" t="s">
        <v>314</v>
      </c>
      <c r="D390" s="40" t="s">
        <v>133</v>
      </c>
      <c r="E390" s="40" t="s">
        <v>290</v>
      </c>
      <c r="F390" s="74"/>
      <c r="G390" s="10"/>
    </row>
    <row r="391" spans="1:7" ht="63" hidden="1" x14ac:dyDescent="0.25">
      <c r="A391" s="45" t="s">
        <v>276</v>
      </c>
      <c r="B391" s="40" t="s">
        <v>334</v>
      </c>
      <c r="C391" s="40" t="s">
        <v>314</v>
      </c>
      <c r="D391" s="40" t="s">
        <v>133</v>
      </c>
      <c r="E391" s="40"/>
      <c r="F391" s="2">
        <v>903</v>
      </c>
      <c r="G391" s="10">
        <f>G388</f>
        <v>0</v>
      </c>
    </row>
    <row r="392" spans="1:7" ht="31.5" hidden="1" x14ac:dyDescent="0.25">
      <c r="A392" s="29" t="s">
        <v>299</v>
      </c>
      <c r="B392" s="40" t="s">
        <v>628</v>
      </c>
      <c r="C392" s="40" t="s">
        <v>314</v>
      </c>
      <c r="D392" s="40" t="s">
        <v>133</v>
      </c>
      <c r="E392" s="40"/>
      <c r="F392" s="74"/>
      <c r="G392" s="10">
        <f>G393</f>
        <v>0</v>
      </c>
    </row>
    <row r="393" spans="1:7" ht="63" hidden="1" x14ac:dyDescent="0.25">
      <c r="A393" s="29" t="s">
        <v>287</v>
      </c>
      <c r="B393" s="40" t="s">
        <v>628</v>
      </c>
      <c r="C393" s="40" t="s">
        <v>314</v>
      </c>
      <c r="D393" s="40" t="s">
        <v>133</v>
      </c>
      <c r="E393" s="40" t="s">
        <v>288</v>
      </c>
      <c r="F393" s="74"/>
      <c r="G393" s="10">
        <f>G394</f>
        <v>0</v>
      </c>
    </row>
    <row r="394" spans="1:7" ht="15.75" hidden="1" x14ac:dyDescent="0.25">
      <c r="A394" s="29" t="s">
        <v>289</v>
      </c>
      <c r="B394" s="40" t="s">
        <v>628</v>
      </c>
      <c r="C394" s="40" t="s">
        <v>314</v>
      </c>
      <c r="D394" s="40" t="s">
        <v>133</v>
      </c>
      <c r="E394" s="40" t="s">
        <v>290</v>
      </c>
      <c r="F394" s="74"/>
      <c r="G394" s="10"/>
    </row>
    <row r="395" spans="1:7" ht="63" hidden="1" x14ac:dyDescent="0.25">
      <c r="A395" s="45" t="s">
        <v>276</v>
      </c>
      <c r="B395" s="40" t="s">
        <v>628</v>
      </c>
      <c r="C395" s="40" t="s">
        <v>314</v>
      </c>
      <c r="D395" s="40" t="s">
        <v>133</v>
      </c>
      <c r="E395" s="40"/>
      <c r="F395" s="2">
        <v>903</v>
      </c>
      <c r="G395" s="10">
        <f>G392</f>
        <v>0</v>
      </c>
    </row>
    <row r="396" spans="1:7" ht="31.5" x14ac:dyDescent="0.25">
      <c r="A396" s="76" t="s">
        <v>669</v>
      </c>
      <c r="B396" s="40" t="s">
        <v>331</v>
      </c>
      <c r="C396" s="40" t="s">
        <v>314</v>
      </c>
      <c r="D396" s="40" t="s">
        <v>133</v>
      </c>
      <c r="E396" s="40"/>
      <c r="F396" s="2"/>
      <c r="G396" s="10" t="e">
        <f>G397+G399</f>
        <v>#REF!</v>
      </c>
    </row>
    <row r="397" spans="1:7" ht="47.25" hidden="1" x14ac:dyDescent="0.25">
      <c r="A397" s="29" t="s">
        <v>146</v>
      </c>
      <c r="B397" s="40" t="s">
        <v>331</v>
      </c>
      <c r="C397" s="40" t="s">
        <v>314</v>
      </c>
      <c r="D397" s="40" t="s">
        <v>133</v>
      </c>
      <c r="E397" s="40" t="s">
        <v>147</v>
      </c>
      <c r="F397" s="2"/>
      <c r="G397" s="10">
        <f>G398</f>
        <v>0</v>
      </c>
    </row>
    <row r="398" spans="1:7" ht="47.25" hidden="1" x14ac:dyDescent="0.25">
      <c r="A398" s="29" t="s">
        <v>148</v>
      </c>
      <c r="B398" s="40" t="s">
        <v>331</v>
      </c>
      <c r="C398" s="40" t="s">
        <v>314</v>
      </c>
      <c r="D398" s="40" t="s">
        <v>133</v>
      </c>
      <c r="E398" s="40" t="s">
        <v>149</v>
      </c>
      <c r="F398" s="2"/>
      <c r="G398" s="10">
        <v>0</v>
      </c>
    </row>
    <row r="399" spans="1:7" ht="62.45" customHeight="1" x14ac:dyDescent="0.25">
      <c r="A399" s="29" t="s">
        <v>287</v>
      </c>
      <c r="B399" s="40" t="s">
        <v>331</v>
      </c>
      <c r="C399" s="40" t="s">
        <v>314</v>
      </c>
      <c r="D399" s="40" t="s">
        <v>133</v>
      </c>
      <c r="E399" s="40" t="s">
        <v>288</v>
      </c>
      <c r="F399" s="2"/>
      <c r="G399" s="10" t="e">
        <f>G400</f>
        <v>#REF!</v>
      </c>
    </row>
    <row r="400" spans="1:7" ht="15.75" x14ac:dyDescent="0.25">
      <c r="A400" s="29" t="s">
        <v>289</v>
      </c>
      <c r="B400" s="40" t="s">
        <v>331</v>
      </c>
      <c r="C400" s="40" t="s">
        <v>314</v>
      </c>
      <c r="D400" s="40" t="s">
        <v>133</v>
      </c>
      <c r="E400" s="40" t="s">
        <v>290</v>
      </c>
      <c r="F400" s="2"/>
      <c r="G400" s="10" t="e">
        <f>'Пр.4 ведом.20'!#REF!</f>
        <v>#REF!</v>
      </c>
    </row>
    <row r="401" spans="1:7" ht="15.75" x14ac:dyDescent="0.25">
      <c r="A401" s="25" t="s">
        <v>698</v>
      </c>
      <c r="B401" s="20" t="s">
        <v>699</v>
      </c>
      <c r="C401" s="40" t="s">
        <v>314</v>
      </c>
      <c r="D401" s="40" t="s">
        <v>133</v>
      </c>
      <c r="E401" s="40"/>
      <c r="F401" s="2"/>
      <c r="G401" s="10" t="e">
        <f>G402</f>
        <v>#REF!</v>
      </c>
    </row>
    <row r="402" spans="1:7" ht="63" x14ac:dyDescent="0.25">
      <c r="A402" s="25" t="s">
        <v>287</v>
      </c>
      <c r="B402" s="20" t="s">
        <v>699</v>
      </c>
      <c r="C402" s="40" t="s">
        <v>314</v>
      </c>
      <c r="D402" s="40" t="s">
        <v>133</v>
      </c>
      <c r="E402" s="40" t="s">
        <v>288</v>
      </c>
      <c r="F402" s="2"/>
      <c r="G402" s="10" t="e">
        <f>G403</f>
        <v>#REF!</v>
      </c>
    </row>
    <row r="403" spans="1:7" ht="15.75" x14ac:dyDescent="0.25">
      <c r="A403" s="25" t="s">
        <v>289</v>
      </c>
      <c r="B403" s="20" t="s">
        <v>699</v>
      </c>
      <c r="C403" s="40" t="s">
        <v>314</v>
      </c>
      <c r="D403" s="40" t="s">
        <v>133</v>
      </c>
      <c r="E403" s="40" t="s">
        <v>290</v>
      </c>
      <c r="F403" s="2"/>
      <c r="G403" s="10" t="e">
        <f>'Пр.4 ведом.20'!#REF!</f>
        <v>#REF!</v>
      </c>
    </row>
    <row r="404" spans="1:7" ht="63" x14ac:dyDescent="0.25">
      <c r="A404" s="45" t="s">
        <v>276</v>
      </c>
      <c r="B404" s="40" t="s">
        <v>328</v>
      </c>
      <c r="C404" s="40" t="s">
        <v>314</v>
      </c>
      <c r="D404" s="40" t="s">
        <v>133</v>
      </c>
      <c r="E404" s="40"/>
      <c r="F404" s="2">
        <v>903</v>
      </c>
      <c r="G404" s="10" t="e">
        <f>G374</f>
        <v>#REF!</v>
      </c>
    </row>
    <row r="405" spans="1:7" ht="47.25" hidden="1" x14ac:dyDescent="0.25">
      <c r="A405" s="60" t="s">
        <v>336</v>
      </c>
      <c r="B405" s="40" t="s">
        <v>337</v>
      </c>
      <c r="C405" s="40" t="s">
        <v>314</v>
      </c>
      <c r="D405" s="40" t="s">
        <v>133</v>
      </c>
      <c r="E405" s="40"/>
      <c r="F405" s="2"/>
      <c r="G405" s="10">
        <f>G406</f>
        <v>0</v>
      </c>
    </row>
    <row r="406" spans="1:7" ht="63" hidden="1" x14ac:dyDescent="0.25">
      <c r="A406" s="29" t="s">
        <v>287</v>
      </c>
      <c r="B406" s="40" t="s">
        <v>337</v>
      </c>
      <c r="C406" s="40" t="s">
        <v>314</v>
      </c>
      <c r="D406" s="40" t="s">
        <v>133</v>
      </c>
      <c r="E406" s="40" t="s">
        <v>288</v>
      </c>
      <c r="F406" s="2"/>
      <c r="G406" s="10"/>
    </row>
    <row r="407" spans="1:7" ht="15.75" hidden="1" x14ac:dyDescent="0.25">
      <c r="A407" s="29" t="s">
        <v>289</v>
      </c>
      <c r="B407" s="40" t="s">
        <v>337</v>
      </c>
      <c r="C407" s="40" t="s">
        <v>314</v>
      </c>
      <c r="D407" s="40" t="s">
        <v>133</v>
      </c>
      <c r="E407" s="40" t="s">
        <v>290</v>
      </c>
      <c r="F407" s="2"/>
      <c r="G407" s="10"/>
    </row>
    <row r="408" spans="1:7" ht="63" hidden="1" x14ac:dyDescent="0.25">
      <c r="A408" s="45" t="s">
        <v>276</v>
      </c>
      <c r="B408" s="40" t="s">
        <v>337</v>
      </c>
      <c r="C408" s="40" t="s">
        <v>314</v>
      </c>
      <c r="D408" s="40" t="s">
        <v>133</v>
      </c>
      <c r="E408" s="40"/>
      <c r="F408" s="2">
        <v>903</v>
      </c>
      <c r="G408" s="10">
        <f>G407</f>
        <v>0</v>
      </c>
    </row>
    <row r="409" spans="1:7" ht="78.75" x14ac:dyDescent="0.25">
      <c r="A409" s="41" t="s">
        <v>338</v>
      </c>
      <c r="B409" s="7" t="s">
        <v>339</v>
      </c>
      <c r="C409" s="72"/>
      <c r="D409" s="72"/>
      <c r="E409" s="72"/>
      <c r="F409" s="72"/>
      <c r="G409" s="59" t="e">
        <f>G410</f>
        <v>#REF!</v>
      </c>
    </row>
    <row r="410" spans="1:7" ht="15.75" x14ac:dyDescent="0.25">
      <c r="A410" s="73" t="s">
        <v>313</v>
      </c>
      <c r="B410" s="40" t="s">
        <v>339</v>
      </c>
      <c r="C410" s="40" t="s">
        <v>314</v>
      </c>
      <c r="D410" s="73"/>
      <c r="E410" s="73"/>
      <c r="F410" s="73"/>
      <c r="G410" s="10" t="e">
        <f>G411</f>
        <v>#REF!</v>
      </c>
    </row>
    <row r="411" spans="1:7" ht="15.75" x14ac:dyDescent="0.25">
      <c r="A411" s="73" t="s">
        <v>315</v>
      </c>
      <c r="B411" s="40" t="s">
        <v>339</v>
      </c>
      <c r="C411" s="40" t="s">
        <v>314</v>
      </c>
      <c r="D411" s="40" t="s">
        <v>133</v>
      </c>
      <c r="E411" s="73"/>
      <c r="F411" s="73"/>
      <c r="G411" s="10" t="e">
        <f>G412</f>
        <v>#REF!</v>
      </c>
    </row>
    <row r="412" spans="1:7" ht="63" x14ac:dyDescent="0.25">
      <c r="A412" s="29" t="s">
        <v>340</v>
      </c>
      <c r="B412" s="40" t="s">
        <v>341</v>
      </c>
      <c r="C412" s="40" t="s">
        <v>314</v>
      </c>
      <c r="D412" s="40" t="s">
        <v>133</v>
      </c>
      <c r="E412" s="73"/>
      <c r="F412" s="73"/>
      <c r="G412" s="10" t="e">
        <f>G413</f>
        <v>#REF!</v>
      </c>
    </row>
    <row r="413" spans="1:7" ht="63" x14ac:dyDescent="0.25">
      <c r="A413" s="25" t="s">
        <v>287</v>
      </c>
      <c r="B413" s="40" t="s">
        <v>341</v>
      </c>
      <c r="C413" s="40" t="s">
        <v>314</v>
      </c>
      <c r="D413" s="40" t="s">
        <v>133</v>
      </c>
      <c r="E413" s="40" t="s">
        <v>288</v>
      </c>
      <c r="F413" s="73"/>
      <c r="G413" s="10" t="e">
        <f>G414</f>
        <v>#REF!</v>
      </c>
    </row>
    <row r="414" spans="1:7" ht="15.75" x14ac:dyDescent="0.25">
      <c r="A414" s="25" t="s">
        <v>289</v>
      </c>
      <c r="B414" s="40" t="s">
        <v>341</v>
      </c>
      <c r="C414" s="40" t="s">
        <v>314</v>
      </c>
      <c r="D414" s="40" t="s">
        <v>133</v>
      </c>
      <c r="E414" s="40" t="s">
        <v>290</v>
      </c>
      <c r="F414" s="73"/>
      <c r="G414" s="10" t="e">
        <f>'Пр.4 ведом.20'!#REF!</f>
        <v>#REF!</v>
      </c>
    </row>
    <row r="415" spans="1:7" ht="63" hidden="1" x14ac:dyDescent="0.25">
      <c r="A415" s="45" t="s">
        <v>670</v>
      </c>
      <c r="B415" s="40" t="s">
        <v>341</v>
      </c>
      <c r="C415" s="40" t="s">
        <v>314</v>
      </c>
      <c r="D415" s="40" t="s">
        <v>133</v>
      </c>
      <c r="E415" s="40"/>
      <c r="F415" s="73"/>
      <c r="G415" s="10">
        <f>G416</f>
        <v>0</v>
      </c>
    </row>
    <row r="416" spans="1:7" ht="63" hidden="1" x14ac:dyDescent="0.25">
      <c r="A416" s="29" t="s">
        <v>287</v>
      </c>
      <c r="B416" s="40" t="s">
        <v>341</v>
      </c>
      <c r="C416" s="40" t="s">
        <v>314</v>
      </c>
      <c r="D416" s="40" t="s">
        <v>133</v>
      </c>
      <c r="E416" s="40" t="s">
        <v>288</v>
      </c>
      <c r="F416" s="73"/>
      <c r="G416" s="10">
        <f>G417</f>
        <v>0</v>
      </c>
    </row>
    <row r="417" spans="1:7" ht="15.75" hidden="1" x14ac:dyDescent="0.25">
      <c r="A417" s="29" t="s">
        <v>289</v>
      </c>
      <c r="B417" s="40" t="s">
        <v>341</v>
      </c>
      <c r="C417" s="40" t="s">
        <v>314</v>
      </c>
      <c r="D417" s="40" t="s">
        <v>133</v>
      </c>
      <c r="E417" s="40" t="s">
        <v>290</v>
      </c>
      <c r="F417" s="73"/>
      <c r="G417" s="10"/>
    </row>
    <row r="418" spans="1:7" ht="63" x14ac:dyDescent="0.25">
      <c r="A418" s="45" t="s">
        <v>276</v>
      </c>
      <c r="B418" s="40" t="s">
        <v>339</v>
      </c>
      <c r="C418" s="40" t="s">
        <v>314</v>
      </c>
      <c r="D418" s="40" t="s">
        <v>133</v>
      </c>
      <c r="E418" s="73"/>
      <c r="F418" s="2">
        <v>903</v>
      </c>
      <c r="G418" s="10" t="e">
        <f>G409</f>
        <v>#REF!</v>
      </c>
    </row>
    <row r="419" spans="1:7" ht="63" x14ac:dyDescent="0.25">
      <c r="A419" s="41" t="s">
        <v>557</v>
      </c>
      <c r="B419" s="7" t="s">
        <v>558</v>
      </c>
      <c r="C419" s="2"/>
      <c r="D419" s="2"/>
      <c r="E419" s="2"/>
      <c r="F419" s="2"/>
      <c r="G419" s="59" t="e">
        <f>G420+G433</f>
        <v>#REF!</v>
      </c>
    </row>
    <row r="420" spans="1:7" ht="78.75" x14ac:dyDescent="0.25">
      <c r="A420" s="41" t="s">
        <v>559</v>
      </c>
      <c r="B420" s="7" t="s">
        <v>560</v>
      </c>
      <c r="C420" s="7"/>
      <c r="D420" s="7"/>
      <c r="E420" s="3"/>
      <c r="F420" s="3"/>
      <c r="G420" s="59" t="e">
        <f>G421</f>
        <v>#REF!</v>
      </c>
    </row>
    <row r="421" spans="1:7" ht="15.75" x14ac:dyDescent="0.25">
      <c r="A421" s="73" t="s">
        <v>405</v>
      </c>
      <c r="B421" s="40" t="s">
        <v>560</v>
      </c>
      <c r="C421" s="40" t="s">
        <v>249</v>
      </c>
      <c r="D421" s="40"/>
      <c r="E421" s="2"/>
      <c r="F421" s="2"/>
      <c r="G421" s="10" t="e">
        <f>G422</f>
        <v>#REF!</v>
      </c>
    </row>
    <row r="422" spans="1:7" ht="15.75" x14ac:dyDescent="0.25">
      <c r="A422" s="73" t="s">
        <v>556</v>
      </c>
      <c r="B422" s="40" t="s">
        <v>560</v>
      </c>
      <c r="C422" s="40" t="s">
        <v>249</v>
      </c>
      <c r="D422" s="40" t="s">
        <v>230</v>
      </c>
      <c r="E422" s="2"/>
      <c r="F422" s="2"/>
      <c r="G422" s="10" t="e">
        <f>G423+G426+G429</f>
        <v>#REF!</v>
      </c>
    </row>
    <row r="423" spans="1:7" ht="31.5" x14ac:dyDescent="0.25">
      <c r="A423" s="25" t="s">
        <v>561</v>
      </c>
      <c r="B423" s="20" t="s">
        <v>562</v>
      </c>
      <c r="C423" s="40" t="s">
        <v>249</v>
      </c>
      <c r="D423" s="40" t="s">
        <v>230</v>
      </c>
      <c r="E423" s="2"/>
      <c r="F423" s="2"/>
      <c r="G423" s="10" t="e">
        <f>G424</f>
        <v>#REF!</v>
      </c>
    </row>
    <row r="424" spans="1:7" ht="51" customHeight="1" x14ac:dyDescent="0.25">
      <c r="A424" s="25" t="s">
        <v>146</v>
      </c>
      <c r="B424" s="20" t="s">
        <v>562</v>
      </c>
      <c r="C424" s="40" t="s">
        <v>249</v>
      </c>
      <c r="D424" s="40" t="s">
        <v>230</v>
      </c>
      <c r="E424" s="2">
        <v>200</v>
      </c>
      <c r="F424" s="2"/>
      <c r="G424" s="10" t="e">
        <f>G425</f>
        <v>#REF!</v>
      </c>
    </row>
    <row r="425" spans="1:7" ht="47.25" x14ac:dyDescent="0.25">
      <c r="A425" s="25" t="s">
        <v>148</v>
      </c>
      <c r="B425" s="20" t="s">
        <v>562</v>
      </c>
      <c r="C425" s="40" t="s">
        <v>249</v>
      </c>
      <c r="D425" s="40" t="s">
        <v>230</v>
      </c>
      <c r="E425" s="2">
        <v>240</v>
      </c>
      <c r="F425" s="2"/>
      <c r="G425" s="10" t="e">
        <f>'Пр.4 ведом.20'!#REF!</f>
        <v>#REF!</v>
      </c>
    </row>
    <row r="426" spans="1:7" ht="31.7" customHeight="1" x14ac:dyDescent="0.25">
      <c r="A426" s="25" t="s">
        <v>563</v>
      </c>
      <c r="B426" s="20" t="s">
        <v>564</v>
      </c>
      <c r="C426" s="40" t="s">
        <v>249</v>
      </c>
      <c r="D426" s="40" t="s">
        <v>230</v>
      </c>
      <c r="E426" s="2"/>
      <c r="F426" s="2"/>
      <c r="G426" s="10" t="e">
        <f>G427</f>
        <v>#REF!</v>
      </c>
    </row>
    <row r="427" spans="1:7" ht="47.25" x14ac:dyDescent="0.25">
      <c r="A427" s="25" t="s">
        <v>146</v>
      </c>
      <c r="B427" s="20" t="s">
        <v>564</v>
      </c>
      <c r="C427" s="40" t="s">
        <v>249</v>
      </c>
      <c r="D427" s="40" t="s">
        <v>230</v>
      </c>
      <c r="E427" s="2">
        <v>200</v>
      </c>
      <c r="F427" s="2"/>
      <c r="G427" s="10" t="e">
        <f>G428</f>
        <v>#REF!</v>
      </c>
    </row>
    <row r="428" spans="1:7" ht="47.25" x14ac:dyDescent="0.25">
      <c r="A428" s="25" t="s">
        <v>148</v>
      </c>
      <c r="B428" s="20" t="s">
        <v>564</v>
      </c>
      <c r="C428" s="40" t="s">
        <v>249</v>
      </c>
      <c r="D428" s="40" t="s">
        <v>230</v>
      </c>
      <c r="E428" s="2">
        <v>240</v>
      </c>
      <c r="F428" s="2"/>
      <c r="G428" s="10" t="e">
        <f>'Пр.4 ведом.20'!#REF!</f>
        <v>#REF!</v>
      </c>
    </row>
    <row r="429" spans="1:7" ht="31.5" x14ac:dyDescent="0.25">
      <c r="A429" s="25" t="s">
        <v>565</v>
      </c>
      <c r="B429" s="20" t="s">
        <v>566</v>
      </c>
      <c r="C429" s="40" t="s">
        <v>249</v>
      </c>
      <c r="D429" s="40" t="s">
        <v>230</v>
      </c>
      <c r="E429" s="2"/>
      <c r="F429" s="2"/>
      <c r="G429" s="10" t="e">
        <f>G430</f>
        <v>#REF!</v>
      </c>
    </row>
    <row r="430" spans="1:7" ht="47.25" x14ac:dyDescent="0.25">
      <c r="A430" s="25" t="s">
        <v>146</v>
      </c>
      <c r="B430" s="20" t="s">
        <v>566</v>
      </c>
      <c r="C430" s="40" t="s">
        <v>249</v>
      </c>
      <c r="D430" s="40" t="s">
        <v>230</v>
      </c>
      <c r="E430" s="2">
        <v>200</v>
      </c>
      <c r="F430" s="2"/>
      <c r="G430" s="10" t="e">
        <f>G431</f>
        <v>#REF!</v>
      </c>
    </row>
    <row r="431" spans="1:7" ht="47.25" x14ac:dyDescent="0.25">
      <c r="A431" s="25" t="s">
        <v>148</v>
      </c>
      <c r="B431" s="20" t="s">
        <v>566</v>
      </c>
      <c r="C431" s="40" t="s">
        <v>249</v>
      </c>
      <c r="D431" s="40" t="s">
        <v>230</v>
      </c>
      <c r="E431" s="2">
        <v>240</v>
      </c>
      <c r="F431" s="2"/>
      <c r="G431" s="10" t="e">
        <f>'Пр.4 ведом.20'!#REF!</f>
        <v>#REF!</v>
      </c>
    </row>
    <row r="432" spans="1:7" ht="47.25" x14ac:dyDescent="0.25">
      <c r="A432" s="45" t="s">
        <v>638</v>
      </c>
      <c r="B432" s="40" t="s">
        <v>560</v>
      </c>
      <c r="C432" s="40" t="s">
        <v>249</v>
      </c>
      <c r="D432" s="40" t="s">
        <v>230</v>
      </c>
      <c r="E432" s="2"/>
      <c r="F432" s="2">
        <v>908</v>
      </c>
      <c r="G432" s="10" t="e">
        <f>G420</f>
        <v>#REF!</v>
      </c>
    </row>
    <row r="433" spans="1:7" ht="63" x14ac:dyDescent="0.25">
      <c r="A433" s="23" t="s">
        <v>567</v>
      </c>
      <c r="B433" s="7" t="s">
        <v>568</v>
      </c>
      <c r="C433" s="7"/>
      <c r="D433" s="7"/>
      <c r="E433" s="3"/>
      <c r="F433" s="3"/>
      <c r="G433" s="59" t="e">
        <f>G434</f>
        <v>#REF!</v>
      </c>
    </row>
    <row r="434" spans="1:7" ht="15.75" x14ac:dyDescent="0.25">
      <c r="A434" s="73" t="s">
        <v>405</v>
      </c>
      <c r="B434" s="40" t="s">
        <v>568</v>
      </c>
      <c r="C434" s="40" t="s">
        <v>249</v>
      </c>
      <c r="D434" s="40"/>
      <c r="E434" s="2"/>
      <c r="F434" s="2"/>
      <c r="G434" s="10" t="e">
        <f>G435</f>
        <v>#REF!</v>
      </c>
    </row>
    <row r="435" spans="1:7" ht="15.75" x14ac:dyDescent="0.25">
      <c r="A435" s="73" t="s">
        <v>556</v>
      </c>
      <c r="B435" s="40" t="s">
        <v>568</v>
      </c>
      <c r="C435" s="40" t="s">
        <v>249</v>
      </c>
      <c r="D435" s="40" t="s">
        <v>230</v>
      </c>
      <c r="E435" s="2"/>
      <c r="F435" s="2"/>
      <c r="G435" s="10" t="e">
        <f>G436+G441+G444+G447</f>
        <v>#REF!</v>
      </c>
    </row>
    <row r="436" spans="1:7" ht="31.5" x14ac:dyDescent="0.25">
      <c r="A436" s="25" t="s">
        <v>565</v>
      </c>
      <c r="B436" s="20" t="s">
        <v>569</v>
      </c>
      <c r="C436" s="40" t="s">
        <v>249</v>
      </c>
      <c r="D436" s="40" t="s">
        <v>230</v>
      </c>
      <c r="E436" s="2"/>
      <c r="F436" s="2"/>
      <c r="G436" s="10" t="e">
        <f>G437+G439</f>
        <v>#REF!</v>
      </c>
    </row>
    <row r="437" spans="1:7" ht="110.25" x14ac:dyDescent="0.25">
      <c r="A437" s="25" t="s">
        <v>142</v>
      </c>
      <c r="B437" s="20" t="s">
        <v>569</v>
      </c>
      <c r="C437" s="40" t="s">
        <v>249</v>
      </c>
      <c r="D437" s="40" t="s">
        <v>230</v>
      </c>
      <c r="E437" s="2">
        <v>100</v>
      </c>
      <c r="F437" s="2"/>
      <c r="G437" s="10" t="e">
        <f>G438</f>
        <v>#REF!</v>
      </c>
    </row>
    <row r="438" spans="1:7" ht="31.5" x14ac:dyDescent="0.25">
      <c r="A438" s="46" t="s">
        <v>357</v>
      </c>
      <c r="B438" s="20" t="s">
        <v>569</v>
      </c>
      <c r="C438" s="40" t="s">
        <v>249</v>
      </c>
      <c r="D438" s="40" t="s">
        <v>230</v>
      </c>
      <c r="E438" s="2">
        <v>110</v>
      </c>
      <c r="F438" s="2"/>
      <c r="G438" s="10" t="e">
        <f>'Пр.4 ведом.20'!#REF!</f>
        <v>#REF!</v>
      </c>
    </row>
    <row r="439" spans="1:7" ht="47.25" x14ac:dyDescent="0.25">
      <c r="A439" s="25" t="s">
        <v>146</v>
      </c>
      <c r="B439" s="20" t="s">
        <v>569</v>
      </c>
      <c r="C439" s="40" t="s">
        <v>249</v>
      </c>
      <c r="D439" s="40" t="s">
        <v>230</v>
      </c>
      <c r="E439" s="2">
        <v>200</v>
      </c>
      <c r="F439" s="2"/>
      <c r="G439" s="10" t="e">
        <f>G440</f>
        <v>#REF!</v>
      </c>
    </row>
    <row r="440" spans="1:7" ht="47.25" x14ac:dyDescent="0.25">
      <c r="A440" s="25" t="s">
        <v>148</v>
      </c>
      <c r="B440" s="20" t="s">
        <v>569</v>
      </c>
      <c r="C440" s="40" t="s">
        <v>249</v>
      </c>
      <c r="D440" s="40" t="s">
        <v>230</v>
      </c>
      <c r="E440" s="2">
        <v>240</v>
      </c>
      <c r="F440" s="2"/>
      <c r="G440" s="10" t="e">
        <f>'Пр.4 ведом.20'!#REF!</f>
        <v>#REF!</v>
      </c>
    </row>
    <row r="441" spans="1:7" ht="15.75" x14ac:dyDescent="0.25">
      <c r="A441" s="25" t="s">
        <v>570</v>
      </c>
      <c r="B441" s="20" t="s">
        <v>571</v>
      </c>
      <c r="C441" s="40" t="s">
        <v>249</v>
      </c>
      <c r="D441" s="40" t="s">
        <v>230</v>
      </c>
      <c r="E441" s="2"/>
      <c r="F441" s="2"/>
      <c r="G441" s="10" t="e">
        <f>G442</f>
        <v>#REF!</v>
      </c>
    </row>
    <row r="442" spans="1:7" ht="47.25" x14ac:dyDescent="0.25">
      <c r="A442" s="25" t="s">
        <v>146</v>
      </c>
      <c r="B442" s="20" t="s">
        <v>571</v>
      </c>
      <c r="C442" s="40" t="s">
        <v>249</v>
      </c>
      <c r="D442" s="40" t="s">
        <v>230</v>
      </c>
      <c r="E442" s="2">
        <v>200</v>
      </c>
      <c r="F442" s="2"/>
      <c r="G442" s="10" t="e">
        <f>G443</f>
        <v>#REF!</v>
      </c>
    </row>
    <row r="443" spans="1:7" ht="47.25" x14ac:dyDescent="0.25">
      <c r="A443" s="25" t="s">
        <v>148</v>
      </c>
      <c r="B443" s="20" t="s">
        <v>571</v>
      </c>
      <c r="C443" s="40" t="s">
        <v>249</v>
      </c>
      <c r="D443" s="40" t="s">
        <v>230</v>
      </c>
      <c r="E443" s="2">
        <v>240</v>
      </c>
      <c r="F443" s="2"/>
      <c r="G443" s="10" t="e">
        <f>'Пр.4 ведом.20'!#REF!</f>
        <v>#REF!</v>
      </c>
    </row>
    <row r="444" spans="1:7" ht="63" x14ac:dyDescent="0.25">
      <c r="A444" s="99" t="s">
        <v>572</v>
      </c>
      <c r="B444" s="20" t="s">
        <v>573</v>
      </c>
      <c r="C444" s="40" t="s">
        <v>249</v>
      </c>
      <c r="D444" s="40" t="s">
        <v>230</v>
      </c>
      <c r="E444" s="2"/>
      <c r="F444" s="2"/>
      <c r="G444" s="10" t="e">
        <f>G445</f>
        <v>#REF!</v>
      </c>
    </row>
    <row r="445" spans="1:7" ht="47.25" x14ac:dyDescent="0.25">
      <c r="A445" s="25" t="s">
        <v>146</v>
      </c>
      <c r="B445" s="20" t="s">
        <v>573</v>
      </c>
      <c r="C445" s="40" t="s">
        <v>249</v>
      </c>
      <c r="D445" s="40" t="s">
        <v>230</v>
      </c>
      <c r="E445" s="2">
        <v>200</v>
      </c>
      <c r="F445" s="2"/>
      <c r="G445" s="10" t="e">
        <f>G446</f>
        <v>#REF!</v>
      </c>
    </row>
    <row r="446" spans="1:7" ht="47.25" x14ac:dyDescent="0.25">
      <c r="A446" s="25" t="s">
        <v>148</v>
      </c>
      <c r="B446" s="20" t="s">
        <v>573</v>
      </c>
      <c r="C446" s="40" t="s">
        <v>249</v>
      </c>
      <c r="D446" s="40" t="s">
        <v>230</v>
      </c>
      <c r="E446" s="2">
        <v>240</v>
      </c>
      <c r="F446" s="2"/>
      <c r="G446" s="10" t="e">
        <f>'Пр.4 ведом.20'!#REF!</f>
        <v>#REF!</v>
      </c>
    </row>
    <row r="447" spans="1:7" ht="31.5" x14ac:dyDescent="0.25">
      <c r="A447" s="99" t="s">
        <v>574</v>
      </c>
      <c r="B447" s="20" t="s">
        <v>575</v>
      </c>
      <c r="C447" s="40" t="s">
        <v>249</v>
      </c>
      <c r="D447" s="40" t="s">
        <v>230</v>
      </c>
      <c r="E447" s="2"/>
      <c r="F447" s="2"/>
      <c r="G447" s="10" t="e">
        <f>G448</f>
        <v>#REF!</v>
      </c>
    </row>
    <row r="448" spans="1:7" ht="47.25" x14ac:dyDescent="0.25">
      <c r="A448" s="25" t="s">
        <v>146</v>
      </c>
      <c r="B448" s="20" t="s">
        <v>575</v>
      </c>
      <c r="C448" s="40" t="s">
        <v>249</v>
      </c>
      <c r="D448" s="40" t="s">
        <v>230</v>
      </c>
      <c r="E448" s="2">
        <v>200</v>
      </c>
      <c r="F448" s="2"/>
      <c r="G448" s="10" t="e">
        <f>G449</f>
        <v>#REF!</v>
      </c>
    </row>
    <row r="449" spans="1:7" ht="47.25" x14ac:dyDescent="0.25">
      <c r="A449" s="25" t="s">
        <v>148</v>
      </c>
      <c r="B449" s="20" t="s">
        <v>575</v>
      </c>
      <c r="C449" s="40" t="s">
        <v>249</v>
      </c>
      <c r="D449" s="40" t="s">
        <v>230</v>
      </c>
      <c r="E449" s="2">
        <v>240</v>
      </c>
      <c r="F449" s="2"/>
      <c r="G449" s="10" t="e">
        <f>'Пр.4 ведом.20'!#REF!</f>
        <v>#REF!</v>
      </c>
    </row>
    <row r="450" spans="1:7" ht="47.25" x14ac:dyDescent="0.25">
      <c r="A450" s="45" t="s">
        <v>638</v>
      </c>
      <c r="B450" s="20" t="s">
        <v>568</v>
      </c>
      <c r="C450" s="40" t="s">
        <v>249</v>
      </c>
      <c r="D450" s="40" t="s">
        <v>230</v>
      </c>
      <c r="E450" s="2"/>
      <c r="F450" s="2">
        <v>908</v>
      </c>
      <c r="G450" s="10" t="e">
        <f>G433</f>
        <v>#REF!</v>
      </c>
    </row>
    <row r="451" spans="1:7" ht="78.75" x14ac:dyDescent="0.25">
      <c r="A451" s="34" t="s">
        <v>196</v>
      </c>
      <c r="B451" s="176" t="s">
        <v>197</v>
      </c>
      <c r="C451" s="7"/>
      <c r="D451" s="7"/>
      <c r="E451" s="7"/>
      <c r="F451" s="3"/>
      <c r="G451" s="59" t="e">
        <f>G452</f>
        <v>#REF!</v>
      </c>
    </row>
    <row r="452" spans="1:7" ht="15.75" x14ac:dyDescent="0.25">
      <c r="A452" s="25" t="s">
        <v>132</v>
      </c>
      <c r="B452" s="5" t="s">
        <v>197</v>
      </c>
      <c r="C452" s="40" t="s">
        <v>133</v>
      </c>
      <c r="D452" s="40"/>
      <c r="E452" s="40"/>
      <c r="F452" s="2"/>
      <c r="G452" s="10" t="e">
        <f>G453</f>
        <v>#REF!</v>
      </c>
    </row>
    <row r="453" spans="1:7" ht="31.5" x14ac:dyDescent="0.25">
      <c r="A453" s="25" t="s">
        <v>154</v>
      </c>
      <c r="B453" s="30" t="s">
        <v>197</v>
      </c>
      <c r="C453" s="40" t="s">
        <v>133</v>
      </c>
      <c r="D453" s="40" t="s">
        <v>155</v>
      </c>
      <c r="E453" s="40"/>
      <c r="F453" s="2"/>
      <c r="G453" s="10" t="e">
        <f>G454</f>
        <v>#REF!</v>
      </c>
    </row>
    <row r="454" spans="1:7" ht="47.25" x14ac:dyDescent="0.25">
      <c r="A454" s="29" t="s">
        <v>172</v>
      </c>
      <c r="B454" s="20" t="s">
        <v>198</v>
      </c>
      <c r="C454" s="40" t="s">
        <v>133</v>
      </c>
      <c r="D454" s="40" t="s">
        <v>155</v>
      </c>
      <c r="E454" s="40"/>
      <c r="F454" s="2"/>
      <c r="G454" s="10" t="e">
        <f>G455</f>
        <v>#REF!</v>
      </c>
    </row>
    <row r="455" spans="1:7" ht="47.25" x14ac:dyDescent="0.25">
      <c r="A455" s="29" t="s">
        <v>146</v>
      </c>
      <c r="B455" s="20" t="s">
        <v>198</v>
      </c>
      <c r="C455" s="40" t="s">
        <v>133</v>
      </c>
      <c r="D455" s="40" t="s">
        <v>155</v>
      </c>
      <c r="E455" s="40" t="s">
        <v>160</v>
      </c>
      <c r="F455" s="2"/>
      <c r="G455" s="10" t="e">
        <f>G456</f>
        <v>#REF!</v>
      </c>
    </row>
    <row r="456" spans="1:7" ht="78.75" x14ac:dyDescent="0.25">
      <c r="A456" s="29" t="s">
        <v>199</v>
      </c>
      <c r="B456" s="20" t="s">
        <v>198</v>
      </c>
      <c r="C456" s="40" t="s">
        <v>133</v>
      </c>
      <c r="D456" s="40" t="s">
        <v>155</v>
      </c>
      <c r="E456" s="40" t="s">
        <v>175</v>
      </c>
      <c r="F456" s="2"/>
      <c r="G456" s="10" t="e">
        <f>'Пр.4 ведом.20'!#REF!</f>
        <v>#REF!</v>
      </c>
    </row>
    <row r="457" spans="1:7" ht="31.5" x14ac:dyDescent="0.25">
      <c r="A457" s="29" t="s">
        <v>163</v>
      </c>
      <c r="B457" s="30" t="s">
        <v>197</v>
      </c>
      <c r="C457" s="40" t="s">
        <v>133</v>
      </c>
      <c r="D457" s="40" t="s">
        <v>155</v>
      </c>
      <c r="E457" s="40"/>
      <c r="F457" s="2">
        <v>902</v>
      </c>
      <c r="G457" s="10" t="e">
        <f>G451</f>
        <v>#REF!</v>
      </c>
    </row>
    <row r="458" spans="1:7" ht="94.5" x14ac:dyDescent="0.25">
      <c r="A458" s="41" t="s">
        <v>671</v>
      </c>
      <c r="B458" s="7" t="s">
        <v>533</v>
      </c>
      <c r="C458" s="7"/>
      <c r="D458" s="7"/>
      <c r="E458" s="72"/>
      <c r="F458" s="3"/>
      <c r="G458" s="59" t="e">
        <f>G459</f>
        <v>#REF!</v>
      </c>
    </row>
    <row r="459" spans="1:7" ht="15.75" x14ac:dyDescent="0.25">
      <c r="A459" s="29" t="s">
        <v>405</v>
      </c>
      <c r="B459" s="40" t="s">
        <v>533</v>
      </c>
      <c r="C459" s="40" t="s">
        <v>249</v>
      </c>
      <c r="D459" s="40"/>
      <c r="E459" s="73"/>
      <c r="F459" s="2"/>
      <c r="G459" s="10" t="e">
        <f>G460</f>
        <v>#REF!</v>
      </c>
    </row>
    <row r="460" spans="1:7" ht="15.75" x14ac:dyDescent="0.25">
      <c r="A460" s="29" t="s">
        <v>532</v>
      </c>
      <c r="B460" s="40" t="s">
        <v>533</v>
      </c>
      <c r="C460" s="40" t="s">
        <v>249</v>
      </c>
      <c r="D460" s="40" t="s">
        <v>228</v>
      </c>
      <c r="E460" s="73"/>
      <c r="F460" s="2"/>
      <c r="G460" s="10" t="e">
        <f>G465+G468+G471+G474+G477+G480+G483</f>
        <v>#REF!</v>
      </c>
    </row>
    <row r="461" spans="1:7" ht="63" hidden="1" x14ac:dyDescent="0.25">
      <c r="A461" s="35" t="s">
        <v>534</v>
      </c>
      <c r="B461" s="20" t="s">
        <v>535</v>
      </c>
      <c r="C461" s="40" t="s">
        <v>249</v>
      </c>
      <c r="D461" s="40" t="s">
        <v>228</v>
      </c>
      <c r="E461" s="73"/>
      <c r="F461" s="2"/>
      <c r="G461" s="10">
        <f>G462</f>
        <v>0</v>
      </c>
    </row>
    <row r="462" spans="1:7" ht="47.25" hidden="1" x14ac:dyDescent="0.25">
      <c r="A462" s="29" t="s">
        <v>146</v>
      </c>
      <c r="B462" s="20" t="s">
        <v>535</v>
      </c>
      <c r="C462" s="40" t="s">
        <v>249</v>
      </c>
      <c r="D462" s="40" t="s">
        <v>228</v>
      </c>
      <c r="E462" s="40" t="s">
        <v>147</v>
      </c>
      <c r="F462" s="2"/>
      <c r="G462" s="10">
        <f>G463</f>
        <v>0</v>
      </c>
    </row>
    <row r="463" spans="1:7" ht="47.25" hidden="1" x14ac:dyDescent="0.25">
      <c r="A463" s="29" t="s">
        <v>148</v>
      </c>
      <c r="B463" s="20" t="s">
        <v>535</v>
      </c>
      <c r="C463" s="40" t="s">
        <v>249</v>
      </c>
      <c r="D463" s="40" t="s">
        <v>228</v>
      </c>
      <c r="E463" s="40" t="s">
        <v>149</v>
      </c>
      <c r="F463" s="2"/>
      <c r="G463" s="10"/>
    </row>
    <row r="464" spans="1:7" ht="47.25" hidden="1" x14ac:dyDescent="0.25">
      <c r="A464" s="45" t="s">
        <v>638</v>
      </c>
      <c r="B464" s="20" t="s">
        <v>535</v>
      </c>
      <c r="C464" s="40"/>
      <c r="D464" s="40"/>
      <c r="E464" s="40"/>
      <c r="F464" s="2">
        <v>908</v>
      </c>
      <c r="G464" s="10">
        <f>G461</f>
        <v>0</v>
      </c>
    </row>
    <row r="465" spans="1:7" ht="15.75" x14ac:dyDescent="0.25">
      <c r="A465" s="99" t="s">
        <v>536</v>
      </c>
      <c r="B465" s="20" t="s">
        <v>537</v>
      </c>
      <c r="C465" s="40" t="s">
        <v>249</v>
      </c>
      <c r="D465" s="40" t="s">
        <v>228</v>
      </c>
      <c r="E465" s="40"/>
      <c r="F465" s="2"/>
      <c r="G465" s="10" t="e">
        <f>G466</f>
        <v>#REF!</v>
      </c>
    </row>
    <row r="466" spans="1:7" ht="47.25" x14ac:dyDescent="0.25">
      <c r="A466" s="31" t="s">
        <v>146</v>
      </c>
      <c r="B466" s="20" t="s">
        <v>537</v>
      </c>
      <c r="C466" s="40" t="s">
        <v>249</v>
      </c>
      <c r="D466" s="40" t="s">
        <v>228</v>
      </c>
      <c r="E466" s="40" t="s">
        <v>147</v>
      </c>
      <c r="F466" s="2"/>
      <c r="G466" s="10" t="e">
        <f>G467</f>
        <v>#REF!</v>
      </c>
    </row>
    <row r="467" spans="1:7" ht="47.25" x14ac:dyDescent="0.25">
      <c r="A467" s="31" t="s">
        <v>148</v>
      </c>
      <c r="B467" s="20" t="s">
        <v>537</v>
      </c>
      <c r="C467" s="40" t="s">
        <v>249</v>
      </c>
      <c r="D467" s="40" t="s">
        <v>228</v>
      </c>
      <c r="E467" s="40" t="s">
        <v>149</v>
      </c>
      <c r="F467" s="2"/>
      <c r="G467" s="10" t="e">
        <f>'Пр.4 ведом.20'!#REF!</f>
        <v>#REF!</v>
      </c>
    </row>
    <row r="468" spans="1:7" ht="15.75" x14ac:dyDescent="0.25">
      <c r="A468" s="99" t="s">
        <v>538</v>
      </c>
      <c r="B468" s="20" t="s">
        <v>539</v>
      </c>
      <c r="C468" s="40" t="s">
        <v>249</v>
      </c>
      <c r="D468" s="40" t="s">
        <v>228</v>
      </c>
      <c r="E468" s="40"/>
      <c r="F468" s="2"/>
      <c r="G468" s="10" t="e">
        <f>G469</f>
        <v>#REF!</v>
      </c>
    </row>
    <row r="469" spans="1:7" ht="47.25" x14ac:dyDescent="0.25">
      <c r="A469" s="31" t="s">
        <v>146</v>
      </c>
      <c r="B469" s="20" t="s">
        <v>539</v>
      </c>
      <c r="C469" s="40" t="s">
        <v>249</v>
      </c>
      <c r="D469" s="40" t="s">
        <v>228</v>
      </c>
      <c r="E469" s="40" t="s">
        <v>147</v>
      </c>
      <c r="F469" s="2"/>
      <c r="G469" s="10" t="e">
        <f>G470</f>
        <v>#REF!</v>
      </c>
    </row>
    <row r="470" spans="1:7" ht="47.25" x14ac:dyDescent="0.25">
      <c r="A470" s="31" t="s">
        <v>148</v>
      </c>
      <c r="B470" s="20" t="s">
        <v>539</v>
      </c>
      <c r="C470" s="40" t="s">
        <v>249</v>
      </c>
      <c r="D470" s="40" t="s">
        <v>228</v>
      </c>
      <c r="E470" s="40" t="s">
        <v>149</v>
      </c>
      <c r="F470" s="2"/>
      <c r="G470" s="10" t="e">
        <f>'Пр.4 ведом.20'!#REF!</f>
        <v>#REF!</v>
      </c>
    </row>
    <row r="471" spans="1:7" ht="15.75" x14ac:dyDescent="0.25">
      <c r="A471" s="99" t="s">
        <v>540</v>
      </c>
      <c r="B471" s="20" t="s">
        <v>541</v>
      </c>
      <c r="C471" s="40" t="s">
        <v>249</v>
      </c>
      <c r="D471" s="40" t="s">
        <v>228</v>
      </c>
      <c r="E471" s="40"/>
      <c r="F471" s="2"/>
      <c r="G471" s="10" t="e">
        <f>G472</f>
        <v>#REF!</v>
      </c>
    </row>
    <row r="472" spans="1:7" ht="47.25" x14ac:dyDescent="0.25">
      <c r="A472" s="31" t="s">
        <v>146</v>
      </c>
      <c r="B472" s="20" t="s">
        <v>541</v>
      </c>
      <c r="C472" s="40" t="s">
        <v>249</v>
      </c>
      <c r="D472" s="40" t="s">
        <v>228</v>
      </c>
      <c r="E472" s="40" t="s">
        <v>147</v>
      </c>
      <c r="F472" s="2"/>
      <c r="G472" s="10" t="e">
        <f>G473</f>
        <v>#REF!</v>
      </c>
    </row>
    <row r="473" spans="1:7" ht="47.25" x14ac:dyDescent="0.25">
      <c r="A473" s="31" t="s">
        <v>148</v>
      </c>
      <c r="B473" s="20" t="s">
        <v>541</v>
      </c>
      <c r="C473" s="40" t="s">
        <v>249</v>
      </c>
      <c r="D473" s="40" t="s">
        <v>228</v>
      </c>
      <c r="E473" s="40" t="s">
        <v>149</v>
      </c>
      <c r="F473" s="2"/>
      <c r="G473" s="10" t="e">
        <f>'Пр.4 ведом.20'!#REF!</f>
        <v>#REF!</v>
      </c>
    </row>
    <row r="474" spans="1:7" ht="31.5" x14ac:dyDescent="0.25">
      <c r="A474" s="99" t="s">
        <v>542</v>
      </c>
      <c r="B474" s="20" t="s">
        <v>543</v>
      </c>
      <c r="C474" s="40" t="s">
        <v>249</v>
      </c>
      <c r="D474" s="40" t="s">
        <v>228</v>
      </c>
      <c r="E474" s="40"/>
      <c r="F474" s="2"/>
      <c r="G474" s="10" t="e">
        <f>G475</f>
        <v>#REF!</v>
      </c>
    </row>
    <row r="475" spans="1:7" ht="47.25" x14ac:dyDescent="0.25">
      <c r="A475" s="31" t="s">
        <v>146</v>
      </c>
      <c r="B475" s="20" t="s">
        <v>543</v>
      </c>
      <c r="C475" s="40" t="s">
        <v>249</v>
      </c>
      <c r="D475" s="40" t="s">
        <v>228</v>
      </c>
      <c r="E475" s="40" t="s">
        <v>147</v>
      </c>
      <c r="F475" s="2"/>
      <c r="G475" s="10" t="e">
        <f>G476</f>
        <v>#REF!</v>
      </c>
    </row>
    <row r="476" spans="1:7" ht="47.25" x14ac:dyDescent="0.25">
      <c r="A476" s="31" t="s">
        <v>148</v>
      </c>
      <c r="B476" s="20" t="s">
        <v>543</v>
      </c>
      <c r="C476" s="40" t="s">
        <v>249</v>
      </c>
      <c r="D476" s="40" t="s">
        <v>228</v>
      </c>
      <c r="E476" s="40" t="s">
        <v>149</v>
      </c>
      <c r="F476" s="2"/>
      <c r="G476" s="10" t="e">
        <f>'Пр.4 ведом.20'!#REF!</f>
        <v>#REF!</v>
      </c>
    </row>
    <row r="477" spans="1:7" ht="15.75" x14ac:dyDescent="0.25">
      <c r="A477" s="99" t="s">
        <v>544</v>
      </c>
      <c r="B477" s="20" t="s">
        <v>545</v>
      </c>
      <c r="C477" s="40" t="s">
        <v>249</v>
      </c>
      <c r="D477" s="40" t="s">
        <v>228</v>
      </c>
      <c r="E477" s="40"/>
      <c r="F477" s="2"/>
      <c r="G477" s="10" t="e">
        <f>G478</f>
        <v>#REF!</v>
      </c>
    </row>
    <row r="478" spans="1:7" ht="47.25" x14ac:dyDescent="0.25">
      <c r="A478" s="31" t="s">
        <v>146</v>
      </c>
      <c r="B478" s="20" t="s">
        <v>545</v>
      </c>
      <c r="C478" s="40" t="s">
        <v>249</v>
      </c>
      <c r="D478" s="40" t="s">
        <v>228</v>
      </c>
      <c r="E478" s="40" t="s">
        <v>147</v>
      </c>
      <c r="F478" s="2"/>
      <c r="G478" s="10" t="e">
        <f>G479</f>
        <v>#REF!</v>
      </c>
    </row>
    <row r="479" spans="1:7" ht="47.25" x14ac:dyDescent="0.25">
      <c r="A479" s="31" t="s">
        <v>148</v>
      </c>
      <c r="B479" s="20" t="s">
        <v>545</v>
      </c>
      <c r="C479" s="40" t="s">
        <v>249</v>
      </c>
      <c r="D479" s="40" t="s">
        <v>228</v>
      </c>
      <c r="E479" s="40" t="s">
        <v>149</v>
      </c>
      <c r="F479" s="2"/>
      <c r="G479" s="10" t="e">
        <f>'Пр.4 ведом.20'!#REF!</f>
        <v>#REF!</v>
      </c>
    </row>
    <row r="480" spans="1:7" ht="31.5" hidden="1" x14ac:dyDescent="0.25">
      <c r="A480" s="98" t="s">
        <v>546</v>
      </c>
      <c r="B480" s="20" t="s">
        <v>547</v>
      </c>
      <c r="C480" s="40" t="s">
        <v>249</v>
      </c>
      <c r="D480" s="40" t="s">
        <v>228</v>
      </c>
      <c r="E480" s="40"/>
      <c r="F480" s="2"/>
      <c r="G480" s="10">
        <f>G481</f>
        <v>0</v>
      </c>
    </row>
    <row r="481" spans="1:7" ht="47.25" hidden="1" x14ac:dyDescent="0.25">
      <c r="A481" s="31" t="s">
        <v>146</v>
      </c>
      <c r="B481" s="20" t="s">
        <v>547</v>
      </c>
      <c r="C481" s="40" t="s">
        <v>249</v>
      </c>
      <c r="D481" s="40" t="s">
        <v>228</v>
      </c>
      <c r="E481" s="40"/>
      <c r="F481" s="2"/>
      <c r="G481" s="10">
        <f>G482</f>
        <v>0</v>
      </c>
    </row>
    <row r="482" spans="1:7" ht="47.25" hidden="1" x14ac:dyDescent="0.25">
      <c r="A482" s="31" t="s">
        <v>148</v>
      </c>
      <c r="B482" s="20" t="s">
        <v>547</v>
      </c>
      <c r="C482" s="40" t="s">
        <v>249</v>
      </c>
      <c r="D482" s="40" t="s">
        <v>228</v>
      </c>
      <c r="E482" s="40"/>
      <c r="F482" s="2"/>
      <c r="G482" s="10"/>
    </row>
    <row r="483" spans="1:7" ht="31.5" x14ac:dyDescent="0.25">
      <c r="A483" s="98" t="s">
        <v>548</v>
      </c>
      <c r="B483" s="20" t="s">
        <v>549</v>
      </c>
      <c r="C483" s="40" t="s">
        <v>249</v>
      </c>
      <c r="D483" s="40" t="s">
        <v>228</v>
      </c>
      <c r="E483" s="40"/>
      <c r="F483" s="2"/>
      <c r="G483" s="10" t="e">
        <f>G484</f>
        <v>#REF!</v>
      </c>
    </row>
    <row r="484" spans="1:7" ht="47.25" x14ac:dyDescent="0.3">
      <c r="A484" s="25" t="s">
        <v>146</v>
      </c>
      <c r="B484" s="20" t="s">
        <v>549</v>
      </c>
      <c r="C484" s="40" t="s">
        <v>249</v>
      </c>
      <c r="D484" s="40" t="s">
        <v>228</v>
      </c>
      <c r="E484" s="2">
        <v>200</v>
      </c>
      <c r="F484" s="77"/>
      <c r="G484" s="6" t="e">
        <f>G485</f>
        <v>#REF!</v>
      </c>
    </row>
    <row r="485" spans="1:7" ht="47.25" x14ac:dyDescent="0.3">
      <c r="A485" s="25" t="s">
        <v>148</v>
      </c>
      <c r="B485" s="20" t="s">
        <v>549</v>
      </c>
      <c r="C485" s="40" t="s">
        <v>249</v>
      </c>
      <c r="D485" s="40" t="s">
        <v>228</v>
      </c>
      <c r="E485" s="2">
        <v>240</v>
      </c>
      <c r="F485" s="77"/>
      <c r="G485" s="6" t="e">
        <f>'Пр.4 ведом.20'!#REF!</f>
        <v>#REF!</v>
      </c>
    </row>
    <row r="486" spans="1:7" ht="47.25" x14ac:dyDescent="0.25">
      <c r="A486" s="45" t="s">
        <v>638</v>
      </c>
      <c r="B486" s="20" t="s">
        <v>533</v>
      </c>
      <c r="C486" s="40"/>
      <c r="D486" s="40"/>
      <c r="E486" s="2"/>
      <c r="F486" s="2">
        <v>908</v>
      </c>
      <c r="G486" s="6" t="e">
        <f>G458</f>
        <v>#REF!</v>
      </c>
    </row>
    <row r="487" spans="1:7" ht="63" x14ac:dyDescent="0.25">
      <c r="A487" s="23" t="s">
        <v>349</v>
      </c>
      <c r="B487" s="24" t="s">
        <v>350</v>
      </c>
      <c r="C487" s="7"/>
      <c r="D487" s="7"/>
      <c r="E487" s="3"/>
      <c r="F487" s="3"/>
      <c r="G487" s="4" t="e">
        <f>G488+G499</f>
        <v>#REF!</v>
      </c>
    </row>
    <row r="488" spans="1:7" ht="15.75" x14ac:dyDescent="0.25">
      <c r="A488" s="25" t="s">
        <v>278</v>
      </c>
      <c r="B488" s="20" t="s">
        <v>350</v>
      </c>
      <c r="C488" s="40" t="s">
        <v>279</v>
      </c>
      <c r="D488" s="40"/>
      <c r="E488" s="2"/>
      <c r="F488" s="2"/>
      <c r="G488" s="6" t="e">
        <f>G489</f>
        <v>#REF!</v>
      </c>
    </row>
    <row r="489" spans="1:7" ht="31.5" x14ac:dyDescent="0.25">
      <c r="A489" s="25" t="s">
        <v>310</v>
      </c>
      <c r="B489" s="20" t="s">
        <v>350</v>
      </c>
      <c r="C489" s="40" t="s">
        <v>279</v>
      </c>
      <c r="D489" s="40" t="s">
        <v>234</v>
      </c>
      <c r="E489" s="2"/>
      <c r="F489" s="2"/>
      <c r="G489" s="6" t="e">
        <f>G490+G493</f>
        <v>#REF!</v>
      </c>
    </row>
    <row r="490" spans="1:7" ht="47.25" x14ac:dyDescent="0.25">
      <c r="A490" s="25" t="s">
        <v>351</v>
      </c>
      <c r="B490" s="20" t="s">
        <v>352</v>
      </c>
      <c r="C490" s="40" t="s">
        <v>279</v>
      </c>
      <c r="D490" s="40" t="s">
        <v>234</v>
      </c>
      <c r="E490" s="2"/>
      <c r="F490" s="2"/>
      <c r="G490" s="6" t="e">
        <f>G491</f>
        <v>#REF!</v>
      </c>
    </row>
    <row r="491" spans="1:7" ht="47.25" x14ac:dyDescent="0.25">
      <c r="A491" s="25" t="s">
        <v>146</v>
      </c>
      <c r="B491" s="20" t="s">
        <v>352</v>
      </c>
      <c r="C491" s="40" t="s">
        <v>279</v>
      </c>
      <c r="D491" s="40" t="s">
        <v>234</v>
      </c>
      <c r="E491" s="2">
        <v>200</v>
      </c>
      <c r="F491" s="2"/>
      <c r="G491" s="6" t="e">
        <f>G492</f>
        <v>#REF!</v>
      </c>
    </row>
    <row r="492" spans="1:7" ht="47.25" x14ac:dyDescent="0.25">
      <c r="A492" s="25" t="s">
        <v>148</v>
      </c>
      <c r="B492" s="20" t="s">
        <v>352</v>
      </c>
      <c r="C492" s="40" t="s">
        <v>279</v>
      </c>
      <c r="D492" s="40" t="s">
        <v>234</v>
      </c>
      <c r="E492" s="2">
        <v>240</v>
      </c>
      <c r="F492" s="2"/>
      <c r="G492" s="6" t="e">
        <f>'Пр.4 ведом.20'!#REF!</f>
        <v>#REF!</v>
      </c>
    </row>
    <row r="493" spans="1:7" ht="78.75" x14ac:dyDescent="0.25">
      <c r="A493" s="25" t="s">
        <v>491</v>
      </c>
      <c r="B493" s="20" t="s">
        <v>492</v>
      </c>
      <c r="C493" s="40" t="s">
        <v>279</v>
      </c>
      <c r="D493" s="40" t="s">
        <v>234</v>
      </c>
      <c r="E493" s="2"/>
      <c r="F493" s="2"/>
      <c r="G493" s="6" t="e">
        <f>G494+G496</f>
        <v>#REF!</v>
      </c>
    </row>
    <row r="494" spans="1:7" ht="110.25" x14ac:dyDescent="0.25">
      <c r="A494" s="25" t="s">
        <v>142</v>
      </c>
      <c r="B494" s="20" t="s">
        <v>492</v>
      </c>
      <c r="C494" s="40" t="s">
        <v>279</v>
      </c>
      <c r="D494" s="40" t="s">
        <v>234</v>
      </c>
      <c r="E494" s="2">
        <v>100</v>
      </c>
      <c r="F494" s="2"/>
      <c r="G494" s="6" t="e">
        <f>G495</f>
        <v>#REF!</v>
      </c>
    </row>
    <row r="495" spans="1:7" ht="31.5" x14ac:dyDescent="0.25">
      <c r="A495" s="25" t="s">
        <v>357</v>
      </c>
      <c r="B495" s="20" t="s">
        <v>492</v>
      </c>
      <c r="C495" s="40" t="s">
        <v>279</v>
      </c>
      <c r="D495" s="40" t="s">
        <v>234</v>
      </c>
      <c r="E495" s="2">
        <v>110</v>
      </c>
      <c r="F495" s="2"/>
      <c r="G495" s="6" t="e">
        <f>'Пр.4 ведом.20'!#REF!</f>
        <v>#REF!</v>
      </c>
    </row>
    <row r="496" spans="1:7" ht="47.25" x14ac:dyDescent="0.25">
      <c r="A496" s="25" t="s">
        <v>146</v>
      </c>
      <c r="B496" s="20" t="s">
        <v>492</v>
      </c>
      <c r="C496" s="40" t="s">
        <v>279</v>
      </c>
      <c r="D496" s="40" t="s">
        <v>234</v>
      </c>
      <c r="E496" s="2">
        <v>200</v>
      </c>
      <c r="F496" s="2"/>
      <c r="G496" s="6" t="e">
        <f>G497</f>
        <v>#REF!</v>
      </c>
    </row>
    <row r="497" spans="1:9" ht="47.25" x14ac:dyDescent="0.25">
      <c r="A497" s="25" t="s">
        <v>148</v>
      </c>
      <c r="B497" s="20" t="s">
        <v>492</v>
      </c>
      <c r="C497" s="40" t="s">
        <v>279</v>
      </c>
      <c r="D497" s="40" t="s">
        <v>234</v>
      </c>
      <c r="E497" s="2">
        <v>240</v>
      </c>
      <c r="F497" s="2"/>
      <c r="G497" s="6" t="e">
        <f>'Пр.4 ведом.20'!#REF!</f>
        <v>#REF!</v>
      </c>
    </row>
    <row r="498" spans="1:9" ht="47.25" x14ac:dyDescent="0.25">
      <c r="A498" s="29" t="s">
        <v>418</v>
      </c>
      <c r="B498" s="20" t="s">
        <v>350</v>
      </c>
      <c r="C498" s="40" t="s">
        <v>279</v>
      </c>
      <c r="D498" s="40" t="s">
        <v>234</v>
      </c>
      <c r="E498" s="2"/>
      <c r="F498" s="2">
        <v>906</v>
      </c>
      <c r="G498" s="6" t="e">
        <f>G490+G493</f>
        <v>#REF!</v>
      </c>
    </row>
    <row r="499" spans="1:9" ht="15.75" x14ac:dyDescent="0.25">
      <c r="A499" s="73" t="s">
        <v>313</v>
      </c>
      <c r="B499" s="20" t="s">
        <v>350</v>
      </c>
      <c r="C499" s="40" t="s">
        <v>314</v>
      </c>
      <c r="D499" s="40"/>
      <c r="E499" s="2"/>
      <c r="F499" s="2"/>
      <c r="G499" s="6" t="e">
        <f>G500</f>
        <v>#REF!</v>
      </c>
    </row>
    <row r="500" spans="1:9" ht="31.5" x14ac:dyDescent="0.25">
      <c r="A500" s="25" t="s">
        <v>348</v>
      </c>
      <c r="B500" s="20" t="s">
        <v>350</v>
      </c>
      <c r="C500" s="40" t="s">
        <v>314</v>
      </c>
      <c r="D500" s="40" t="s">
        <v>165</v>
      </c>
      <c r="E500" s="2"/>
      <c r="F500" s="2"/>
      <c r="G500" s="6" t="e">
        <f>G501+G504+G507</f>
        <v>#REF!</v>
      </c>
    </row>
    <row r="501" spans="1:9" ht="47.25" hidden="1" x14ac:dyDescent="0.25">
      <c r="A501" s="25" t="s">
        <v>351</v>
      </c>
      <c r="B501" s="20" t="s">
        <v>352</v>
      </c>
      <c r="C501" s="40" t="s">
        <v>314</v>
      </c>
      <c r="D501" s="40" t="s">
        <v>165</v>
      </c>
      <c r="E501" s="2"/>
      <c r="F501" s="2"/>
      <c r="G501" s="6" t="e">
        <f>G502</f>
        <v>#REF!</v>
      </c>
    </row>
    <row r="502" spans="1:9" ht="47.25" hidden="1" x14ac:dyDescent="0.25">
      <c r="A502" s="25" t="s">
        <v>146</v>
      </c>
      <c r="B502" s="20" t="s">
        <v>352</v>
      </c>
      <c r="C502" s="40" t="s">
        <v>314</v>
      </c>
      <c r="D502" s="40" t="s">
        <v>165</v>
      </c>
      <c r="E502" s="2">
        <v>200</v>
      </c>
      <c r="F502" s="2"/>
      <c r="G502" s="6" t="e">
        <f>G503</f>
        <v>#REF!</v>
      </c>
    </row>
    <row r="503" spans="1:9" ht="47.25" hidden="1" x14ac:dyDescent="0.25">
      <c r="A503" s="25" t="s">
        <v>148</v>
      </c>
      <c r="B503" s="20" t="s">
        <v>352</v>
      </c>
      <c r="C503" s="40" t="s">
        <v>314</v>
      </c>
      <c r="D503" s="40" t="s">
        <v>165</v>
      </c>
      <c r="E503" s="2">
        <v>240</v>
      </c>
      <c r="F503" s="2"/>
      <c r="G503" s="6" t="e">
        <f>'Пр.4 ведом.20'!#REF!</f>
        <v>#REF!</v>
      </c>
    </row>
    <row r="504" spans="1:9" ht="31.5" x14ac:dyDescent="0.25">
      <c r="A504" s="25" t="s">
        <v>353</v>
      </c>
      <c r="B504" s="20" t="s">
        <v>354</v>
      </c>
      <c r="C504" s="40" t="s">
        <v>314</v>
      </c>
      <c r="D504" s="40" t="s">
        <v>165</v>
      </c>
      <c r="E504" s="2"/>
      <c r="F504" s="2"/>
      <c r="G504" s="6" t="e">
        <f>G505</f>
        <v>#REF!</v>
      </c>
    </row>
    <row r="505" spans="1:9" ht="47.25" x14ac:dyDescent="0.25">
      <c r="A505" s="25" t="s">
        <v>146</v>
      </c>
      <c r="B505" s="20" t="s">
        <v>354</v>
      </c>
      <c r="C505" s="40" t="s">
        <v>314</v>
      </c>
      <c r="D505" s="40" t="s">
        <v>165</v>
      </c>
      <c r="E505" s="2">
        <v>200</v>
      </c>
      <c r="F505" s="2"/>
      <c r="G505" s="6" t="e">
        <f>G506</f>
        <v>#REF!</v>
      </c>
    </row>
    <row r="506" spans="1:9" ht="47.25" x14ac:dyDescent="0.25">
      <c r="A506" s="25" t="s">
        <v>148</v>
      </c>
      <c r="B506" s="20" t="s">
        <v>354</v>
      </c>
      <c r="C506" s="40" t="s">
        <v>314</v>
      </c>
      <c r="D506" s="40" t="s">
        <v>165</v>
      </c>
      <c r="E506" s="2">
        <v>240</v>
      </c>
      <c r="F506" s="2"/>
      <c r="G506" s="6" t="e">
        <f>'Пр.4 ведом.20'!#REF!</f>
        <v>#REF!</v>
      </c>
    </row>
    <row r="507" spans="1:9" ht="47.25" x14ac:dyDescent="0.25">
      <c r="A507" s="25" t="s">
        <v>694</v>
      </c>
      <c r="B507" s="20" t="s">
        <v>695</v>
      </c>
      <c r="C507" s="40" t="s">
        <v>314</v>
      </c>
      <c r="D507" s="40" t="s">
        <v>165</v>
      </c>
      <c r="E507" s="2"/>
      <c r="F507" s="2"/>
      <c r="G507" s="6" t="e">
        <f>G508</f>
        <v>#REF!</v>
      </c>
    </row>
    <row r="508" spans="1:9" ht="47.25" x14ac:dyDescent="0.25">
      <c r="A508" s="25" t="s">
        <v>146</v>
      </c>
      <c r="B508" s="20" t="s">
        <v>695</v>
      </c>
      <c r="C508" s="40" t="s">
        <v>314</v>
      </c>
      <c r="D508" s="40" t="s">
        <v>165</v>
      </c>
      <c r="E508" s="2">
        <v>200</v>
      </c>
      <c r="F508" s="2"/>
      <c r="G508" s="6" t="e">
        <f>G509</f>
        <v>#REF!</v>
      </c>
    </row>
    <row r="509" spans="1:9" ht="47.25" x14ac:dyDescent="0.25">
      <c r="A509" s="25" t="s">
        <v>148</v>
      </c>
      <c r="B509" s="20" t="s">
        <v>695</v>
      </c>
      <c r="C509" s="40" t="s">
        <v>314</v>
      </c>
      <c r="D509" s="40" t="s">
        <v>165</v>
      </c>
      <c r="E509" s="2">
        <v>240</v>
      </c>
      <c r="F509" s="2"/>
      <c r="G509" s="6" t="e">
        <f>'Пр.4 ведом.20'!#REF!</f>
        <v>#REF!</v>
      </c>
    </row>
    <row r="510" spans="1:9" ht="63" x14ac:dyDescent="0.25">
      <c r="A510" s="45" t="s">
        <v>276</v>
      </c>
      <c r="B510" s="20" t="s">
        <v>350</v>
      </c>
      <c r="C510" s="40" t="s">
        <v>314</v>
      </c>
      <c r="D510" s="40" t="s">
        <v>165</v>
      </c>
      <c r="E510" s="2"/>
      <c r="F510" s="2">
        <v>903</v>
      </c>
      <c r="G510" s="6" t="e">
        <f>G499</f>
        <v>#REF!</v>
      </c>
    </row>
    <row r="511" spans="1:9" ht="78.75" x14ac:dyDescent="0.25">
      <c r="A511" s="41" t="s">
        <v>728</v>
      </c>
      <c r="B511" s="24" t="s">
        <v>726</v>
      </c>
      <c r="C511" s="7"/>
      <c r="D511" s="7"/>
      <c r="E511" s="3"/>
      <c r="F511" s="3"/>
      <c r="G511" s="4" t="e">
        <f>G512+G521</f>
        <v>#REF!</v>
      </c>
    </row>
    <row r="512" spans="1:9" s="122" customFormat="1" ht="15.75" x14ac:dyDescent="0.25">
      <c r="A512" s="29" t="s">
        <v>132</v>
      </c>
      <c r="B512" s="20" t="s">
        <v>726</v>
      </c>
      <c r="C512" s="40" t="s">
        <v>133</v>
      </c>
      <c r="D512" s="40"/>
      <c r="E512" s="2"/>
      <c r="F512" s="2"/>
      <c r="G512" s="6" t="e">
        <f>G513</f>
        <v>#REF!</v>
      </c>
      <c r="I512" s="123"/>
    </row>
    <row r="513" spans="1:9" s="122" customFormat="1" ht="31.5" x14ac:dyDescent="0.25">
      <c r="A513" s="29" t="s">
        <v>154</v>
      </c>
      <c r="B513" s="20" t="s">
        <v>726</v>
      </c>
      <c r="C513" s="40" t="s">
        <v>133</v>
      </c>
      <c r="D513" s="40" t="s">
        <v>155</v>
      </c>
      <c r="E513" s="2"/>
      <c r="F513" s="2"/>
      <c r="G513" s="6" t="e">
        <f>G514+G517</f>
        <v>#REF!</v>
      </c>
      <c r="I513" s="123"/>
    </row>
    <row r="514" spans="1:9" ht="47.25" x14ac:dyDescent="0.25">
      <c r="A514" s="31" t="s">
        <v>172</v>
      </c>
      <c r="B514" s="20" t="s">
        <v>734</v>
      </c>
      <c r="C514" s="40" t="s">
        <v>133</v>
      </c>
      <c r="D514" s="40" t="s">
        <v>155</v>
      </c>
      <c r="E514" s="2"/>
      <c r="F514" s="2"/>
      <c r="G514" s="6" t="e">
        <f>G515</f>
        <v>#REF!</v>
      </c>
    </row>
    <row r="515" spans="1:9" ht="47.25" x14ac:dyDescent="0.25">
      <c r="A515" s="25" t="s">
        <v>146</v>
      </c>
      <c r="B515" s="20" t="s">
        <v>734</v>
      </c>
      <c r="C515" s="40" t="s">
        <v>133</v>
      </c>
      <c r="D515" s="40" t="s">
        <v>155</v>
      </c>
      <c r="E515" s="2">
        <v>200</v>
      </c>
      <c r="F515" s="2"/>
      <c r="G515" s="6" t="e">
        <f>G516</f>
        <v>#REF!</v>
      </c>
    </row>
    <row r="516" spans="1:9" ht="47.25" x14ac:dyDescent="0.25">
      <c r="A516" s="25" t="s">
        <v>148</v>
      </c>
      <c r="B516" s="20" t="s">
        <v>734</v>
      </c>
      <c r="C516" s="40" t="s">
        <v>133</v>
      </c>
      <c r="D516" s="40" t="s">
        <v>155</v>
      </c>
      <c r="E516" s="2">
        <v>240</v>
      </c>
      <c r="F516" s="2"/>
      <c r="G516" s="6" t="e">
        <f>'Пр.4 ведом.20'!#REF!</f>
        <v>#REF!</v>
      </c>
    </row>
    <row r="517" spans="1:9" ht="66.2" hidden="1" customHeight="1" x14ac:dyDescent="0.25">
      <c r="A517" s="29"/>
      <c r="B517" s="20" t="s">
        <v>727</v>
      </c>
      <c r="C517" s="40" t="s">
        <v>133</v>
      </c>
      <c r="D517" s="40" t="s">
        <v>155</v>
      </c>
      <c r="E517" s="2"/>
      <c r="F517" s="2"/>
      <c r="G517" s="6" t="e">
        <f>G518</f>
        <v>#REF!</v>
      </c>
    </row>
    <row r="518" spans="1:9" ht="47.25" hidden="1" x14ac:dyDescent="0.25">
      <c r="A518" s="25" t="s">
        <v>146</v>
      </c>
      <c r="B518" s="20" t="s">
        <v>727</v>
      </c>
      <c r="C518" s="40" t="s">
        <v>133</v>
      </c>
      <c r="D518" s="40" t="s">
        <v>155</v>
      </c>
      <c r="E518" s="2">
        <v>200</v>
      </c>
      <c r="F518" s="2"/>
      <c r="G518" s="6" t="e">
        <f>G519</f>
        <v>#REF!</v>
      </c>
    </row>
    <row r="519" spans="1:9" ht="47.25" hidden="1" x14ac:dyDescent="0.25">
      <c r="A519" s="25" t="s">
        <v>148</v>
      </c>
      <c r="B519" s="20" t="s">
        <v>727</v>
      </c>
      <c r="C519" s="40" t="s">
        <v>133</v>
      </c>
      <c r="D519" s="40" t="s">
        <v>155</v>
      </c>
      <c r="E519" s="2">
        <v>240</v>
      </c>
      <c r="F519" s="2"/>
      <c r="G519" s="6" t="e">
        <f>'Пр.4 ведом.20'!#REF!</f>
        <v>#REF!</v>
      </c>
    </row>
    <row r="520" spans="1:9" ht="31.5" x14ac:dyDescent="0.25">
      <c r="A520" s="29" t="s">
        <v>163</v>
      </c>
      <c r="B520" s="20" t="s">
        <v>726</v>
      </c>
      <c r="C520" s="40" t="s">
        <v>133</v>
      </c>
      <c r="D520" s="40" t="s">
        <v>155</v>
      </c>
      <c r="E520" s="2"/>
      <c r="F520" s="2">
        <v>902</v>
      </c>
      <c r="G520" s="6" t="e">
        <f>G511</f>
        <v>#REF!</v>
      </c>
    </row>
    <row r="521" spans="1:9" s="122" customFormat="1" ht="15.75" x14ac:dyDescent="0.25">
      <c r="A521" s="25" t="s">
        <v>313</v>
      </c>
      <c r="B521" s="20" t="s">
        <v>726</v>
      </c>
      <c r="C521" s="40" t="s">
        <v>314</v>
      </c>
      <c r="D521" s="40"/>
      <c r="E521" s="2"/>
      <c r="F521" s="2"/>
      <c r="G521" s="6" t="e">
        <f>G522</f>
        <v>#REF!</v>
      </c>
      <c r="I521" s="123"/>
    </row>
    <row r="522" spans="1:9" ht="31.5" x14ac:dyDescent="0.25">
      <c r="A522" s="41" t="s">
        <v>348</v>
      </c>
      <c r="B522" s="20" t="s">
        <v>726</v>
      </c>
      <c r="C522" s="40" t="s">
        <v>314</v>
      </c>
      <c r="D522" s="40" t="s">
        <v>165</v>
      </c>
      <c r="E522" s="2"/>
      <c r="F522" s="2"/>
      <c r="G522" s="6" t="e">
        <f>G523</f>
        <v>#REF!</v>
      </c>
    </row>
    <row r="523" spans="1:9" ht="47.25" x14ac:dyDescent="0.25">
      <c r="A523" s="31" t="s">
        <v>172</v>
      </c>
      <c r="B523" s="20" t="s">
        <v>734</v>
      </c>
      <c r="C523" s="40" t="s">
        <v>314</v>
      </c>
      <c r="D523" s="40" t="s">
        <v>165</v>
      </c>
      <c r="E523" s="2"/>
      <c r="F523" s="2"/>
      <c r="G523" s="6" t="e">
        <f>G524</f>
        <v>#REF!</v>
      </c>
    </row>
    <row r="524" spans="1:9" ht="47.25" x14ac:dyDescent="0.25">
      <c r="A524" s="25" t="s">
        <v>146</v>
      </c>
      <c r="B524" s="20" t="s">
        <v>734</v>
      </c>
      <c r="C524" s="40" t="s">
        <v>314</v>
      </c>
      <c r="D524" s="40" t="s">
        <v>165</v>
      </c>
      <c r="E524" s="2">
        <v>200</v>
      </c>
      <c r="F524" s="2"/>
      <c r="G524" s="6" t="e">
        <f>G525</f>
        <v>#REF!</v>
      </c>
    </row>
    <row r="525" spans="1:9" ht="47.25" x14ac:dyDescent="0.25">
      <c r="A525" s="25" t="s">
        <v>148</v>
      </c>
      <c r="B525" s="20" t="s">
        <v>734</v>
      </c>
      <c r="C525" s="40" t="s">
        <v>314</v>
      </c>
      <c r="D525" s="40" t="s">
        <v>165</v>
      </c>
      <c r="E525" s="2">
        <v>240</v>
      </c>
      <c r="F525" s="2"/>
      <c r="G525" s="6" t="e">
        <f>'Пр.4 ведом.20'!#REF!</f>
        <v>#REF!</v>
      </c>
    </row>
    <row r="526" spans="1:9" ht="63" x14ac:dyDescent="0.25">
      <c r="A526" s="45" t="s">
        <v>276</v>
      </c>
      <c r="B526" s="20" t="s">
        <v>726</v>
      </c>
      <c r="C526" s="40" t="s">
        <v>314</v>
      </c>
      <c r="D526" s="40" t="s">
        <v>165</v>
      </c>
      <c r="E526" s="2"/>
      <c r="F526" s="2">
        <v>903</v>
      </c>
      <c r="G526" s="6" t="e">
        <f>G522</f>
        <v>#REF!</v>
      </c>
    </row>
    <row r="527" spans="1:9" ht="78.75" x14ac:dyDescent="0.25">
      <c r="A527" s="23" t="s">
        <v>730</v>
      </c>
      <c r="B527" s="24" t="s">
        <v>732</v>
      </c>
      <c r="C527" s="7"/>
      <c r="D527" s="7"/>
      <c r="E527" s="3"/>
      <c r="F527" s="3"/>
      <c r="G527" s="4" t="e">
        <f>G528</f>
        <v>#REF!</v>
      </c>
    </row>
    <row r="528" spans="1:9" ht="15.75" x14ac:dyDescent="0.25">
      <c r="A528" s="25" t="s">
        <v>405</v>
      </c>
      <c r="B528" s="20" t="s">
        <v>732</v>
      </c>
      <c r="C528" s="40" t="s">
        <v>249</v>
      </c>
      <c r="D528" s="40"/>
      <c r="E528" s="2"/>
      <c r="F528" s="2"/>
      <c r="G528" s="6" t="e">
        <f>G529</f>
        <v>#REF!</v>
      </c>
    </row>
    <row r="529" spans="1:7" ht="15.75" x14ac:dyDescent="0.25">
      <c r="A529" s="25" t="s">
        <v>556</v>
      </c>
      <c r="B529" s="20" t="s">
        <v>732</v>
      </c>
      <c r="C529" s="40" t="s">
        <v>249</v>
      </c>
      <c r="D529" s="40" t="s">
        <v>230</v>
      </c>
      <c r="E529" s="2"/>
      <c r="F529" s="2"/>
      <c r="G529" s="6" t="e">
        <f>G530</f>
        <v>#REF!</v>
      </c>
    </row>
    <row r="530" spans="1:7" ht="31.5" x14ac:dyDescent="0.25">
      <c r="A530" s="127" t="s">
        <v>731</v>
      </c>
      <c r="B530" s="20" t="s">
        <v>733</v>
      </c>
      <c r="C530" s="40" t="s">
        <v>249</v>
      </c>
      <c r="D530" s="40" t="s">
        <v>230</v>
      </c>
      <c r="E530" s="2"/>
      <c r="F530" s="2"/>
      <c r="G530" s="6" t="e">
        <f>G531</f>
        <v>#REF!</v>
      </c>
    </row>
    <row r="531" spans="1:7" ht="47.25" x14ac:dyDescent="0.25">
      <c r="A531" s="25" t="s">
        <v>146</v>
      </c>
      <c r="B531" s="20" t="s">
        <v>733</v>
      </c>
      <c r="C531" s="40" t="s">
        <v>249</v>
      </c>
      <c r="D531" s="40" t="s">
        <v>230</v>
      </c>
      <c r="E531" s="2">
        <v>200</v>
      </c>
      <c r="F531" s="2"/>
      <c r="G531" s="6" t="e">
        <f>G532</f>
        <v>#REF!</v>
      </c>
    </row>
    <row r="532" spans="1:7" ht="47.25" x14ac:dyDescent="0.25">
      <c r="A532" s="25" t="s">
        <v>148</v>
      </c>
      <c r="B532" s="20" t="s">
        <v>733</v>
      </c>
      <c r="C532" s="40" t="s">
        <v>249</v>
      </c>
      <c r="D532" s="40" t="s">
        <v>230</v>
      </c>
      <c r="E532" s="2">
        <v>240</v>
      </c>
      <c r="F532" s="2"/>
      <c r="G532" s="6" t="e">
        <f>'Пр.4 ведом.20'!#REF!</f>
        <v>#REF!</v>
      </c>
    </row>
    <row r="533" spans="1:7" ht="47.25" x14ac:dyDescent="0.25">
      <c r="A533" s="45" t="s">
        <v>638</v>
      </c>
      <c r="B533" s="20" t="s">
        <v>732</v>
      </c>
      <c r="C533" s="40" t="s">
        <v>249</v>
      </c>
      <c r="D533" s="40" t="s">
        <v>230</v>
      </c>
      <c r="E533" s="2"/>
      <c r="F533" s="2">
        <v>908</v>
      </c>
      <c r="G533" s="6" t="e">
        <f>G527</f>
        <v>#REF!</v>
      </c>
    </row>
    <row r="534" spans="1:7" ht="15.75" x14ac:dyDescent="0.25">
      <c r="A534" s="72" t="s">
        <v>672</v>
      </c>
      <c r="B534" s="72"/>
      <c r="C534" s="72"/>
      <c r="D534" s="78"/>
      <c r="E534" s="78"/>
      <c r="F534" s="78"/>
      <c r="G534" s="121" t="e">
        <f>G10+G19+G102+G217+G224+G242+G249+G271+G326+G409+G419+G451+G458+G487+G511+G527</f>
        <v>#REF!</v>
      </c>
    </row>
  </sheetData>
  <mergeCells count="1">
    <mergeCell ref="A5:G5"/>
  </mergeCells>
  <pageMargins left="0.39370078740157483" right="0.39370078740157483" top="1.1811023622047245" bottom="0.39370078740157483" header="0.31496062992125984" footer="0.31496062992125984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4"/>
  <sheetViews>
    <sheetView view="pageBreakPreview" topLeftCell="A959" zoomScale="80" zoomScaleNormal="100" zoomScaleSheetLayoutView="80" workbookViewId="0">
      <selection activeCell="M976" sqref="M976"/>
    </sheetView>
  </sheetViews>
  <sheetFormatPr defaultRowHeight="15" x14ac:dyDescent="0.25"/>
  <cols>
    <col min="1" max="1" width="56.28515625" style="1" customWidth="1"/>
    <col min="2" max="2" width="17.42578125" style="1" customWidth="1"/>
    <col min="3" max="3" width="8.28515625" style="1" customWidth="1"/>
    <col min="4" max="4" width="7.28515625" customWidth="1"/>
    <col min="5" max="5" width="8.7109375" customWidth="1"/>
    <col min="6" max="6" width="9.140625" style="1"/>
    <col min="7" max="7" width="15.85546875" style="222" customWidth="1"/>
    <col min="8" max="8" width="13.140625" style="222" hidden="1" customWidth="1"/>
    <col min="9" max="9" width="0" hidden="1" customWidth="1"/>
  </cols>
  <sheetData>
    <row r="1" spans="1:8" ht="15.75" x14ac:dyDescent="0.25">
      <c r="A1" s="222"/>
      <c r="B1" s="222"/>
      <c r="C1" s="222"/>
      <c r="D1" s="222"/>
      <c r="E1" s="222"/>
      <c r="F1" s="419" t="s">
        <v>123</v>
      </c>
      <c r="G1" s="419"/>
    </row>
    <row r="2" spans="1:8" ht="15.75" x14ac:dyDescent="0.25">
      <c r="A2" s="222"/>
      <c r="B2" s="222"/>
      <c r="C2" s="222"/>
      <c r="D2" s="222"/>
      <c r="E2" s="222"/>
      <c r="F2" s="419" t="s">
        <v>606</v>
      </c>
      <c r="G2" s="419"/>
    </row>
    <row r="3" spans="1:8" ht="15.75" x14ac:dyDescent="0.25">
      <c r="A3" s="222"/>
      <c r="B3" s="222"/>
      <c r="C3" s="222"/>
      <c r="D3" s="222"/>
      <c r="E3" s="222"/>
      <c r="F3" s="408" t="s">
        <v>1531</v>
      </c>
      <c r="G3" s="408"/>
    </row>
    <row r="4" spans="1:8" s="221" customFormat="1" ht="15.75" x14ac:dyDescent="0.25">
      <c r="A4" s="222"/>
      <c r="B4" s="222"/>
      <c r="C4" s="222"/>
      <c r="D4" s="222"/>
      <c r="E4" s="222"/>
      <c r="F4" s="62"/>
      <c r="G4" s="130"/>
      <c r="H4" s="222"/>
    </row>
    <row r="5" spans="1:8" ht="38.25" customHeight="1" x14ac:dyDescent="0.25">
      <c r="A5" s="413" t="s">
        <v>1356</v>
      </c>
      <c r="B5" s="413"/>
      <c r="C5" s="413"/>
      <c r="D5" s="413"/>
      <c r="E5" s="413"/>
      <c r="F5" s="413"/>
      <c r="G5" s="413"/>
    </row>
    <row r="6" spans="1:8" ht="16.5" x14ac:dyDescent="0.25">
      <c r="A6" s="276"/>
      <c r="B6" s="276"/>
      <c r="C6" s="276"/>
      <c r="D6" s="276"/>
      <c r="E6" s="276"/>
      <c r="F6" s="276"/>
    </row>
    <row r="7" spans="1:8" ht="15.75" x14ac:dyDescent="0.25">
      <c r="A7" s="62"/>
      <c r="B7" s="62"/>
      <c r="C7" s="62"/>
      <c r="D7" s="62"/>
      <c r="E7" s="64"/>
      <c r="F7" s="64"/>
      <c r="G7" s="195" t="s">
        <v>1</v>
      </c>
    </row>
    <row r="8" spans="1:8" ht="31.5" x14ac:dyDescent="0.25">
      <c r="A8" s="66" t="s">
        <v>607</v>
      </c>
      <c r="B8" s="66" t="s">
        <v>632</v>
      </c>
      <c r="C8" s="66" t="s">
        <v>633</v>
      </c>
      <c r="D8" s="66" t="s">
        <v>634</v>
      </c>
      <c r="E8" s="66" t="s">
        <v>635</v>
      </c>
      <c r="F8" s="66" t="s">
        <v>636</v>
      </c>
      <c r="G8" s="180" t="s">
        <v>1192</v>
      </c>
    </row>
    <row r="9" spans="1:8" ht="47.25" x14ac:dyDescent="0.25">
      <c r="A9" s="58" t="s">
        <v>1178</v>
      </c>
      <c r="B9" s="7" t="s">
        <v>525</v>
      </c>
      <c r="C9" s="7"/>
      <c r="D9" s="7"/>
      <c r="E9" s="7"/>
      <c r="F9" s="7"/>
      <c r="G9" s="4">
        <f>G10+G17</f>
        <v>3446</v>
      </c>
      <c r="H9" s="222">
        <v>4766.6000000000004</v>
      </c>
    </row>
    <row r="10" spans="1:8" s="221" customFormat="1" ht="31.5" hidden="1" x14ac:dyDescent="0.25">
      <c r="A10" s="34" t="s">
        <v>1148</v>
      </c>
      <c r="B10" s="7" t="s">
        <v>1092</v>
      </c>
      <c r="C10" s="40"/>
      <c r="D10" s="40"/>
      <c r="E10" s="40"/>
      <c r="F10" s="40"/>
      <c r="G10" s="6">
        <f>G13</f>
        <v>0</v>
      </c>
      <c r="H10" s="222"/>
    </row>
    <row r="11" spans="1:8" ht="15.75" hidden="1" x14ac:dyDescent="0.25">
      <c r="A11" s="29" t="s">
        <v>247</v>
      </c>
      <c r="B11" s="40" t="s">
        <v>1092</v>
      </c>
      <c r="C11" s="40" t="s">
        <v>165</v>
      </c>
      <c r="D11" s="40"/>
      <c r="E11" s="40"/>
      <c r="F11" s="40"/>
      <c r="G11" s="6">
        <f t="shared" ref="G11" si="0">G12</f>
        <v>0</v>
      </c>
    </row>
    <row r="12" spans="1:8" ht="15.75" hidden="1" x14ac:dyDescent="0.25">
      <c r="A12" s="29" t="s">
        <v>523</v>
      </c>
      <c r="B12" s="40" t="s">
        <v>1092</v>
      </c>
      <c r="C12" s="40" t="s">
        <v>165</v>
      </c>
      <c r="D12" s="40" t="s">
        <v>234</v>
      </c>
      <c r="E12" s="40"/>
      <c r="F12" s="40"/>
      <c r="G12" s="6">
        <f>G13</f>
        <v>0</v>
      </c>
    </row>
    <row r="13" spans="1:8" s="221" customFormat="1" ht="15.75" hidden="1" x14ac:dyDescent="0.25">
      <c r="A13" s="29" t="s">
        <v>1150</v>
      </c>
      <c r="B13" s="40" t="s">
        <v>1149</v>
      </c>
      <c r="C13" s="40" t="s">
        <v>165</v>
      </c>
      <c r="D13" s="40" t="s">
        <v>234</v>
      </c>
      <c r="E13" s="40"/>
      <c r="F13" s="40"/>
      <c r="G13" s="6">
        <f>G14</f>
        <v>0</v>
      </c>
      <c r="H13" s="222"/>
    </row>
    <row r="14" spans="1:8" s="221" customFormat="1" ht="31.5" hidden="1" x14ac:dyDescent="0.25">
      <c r="A14" s="25" t="s">
        <v>146</v>
      </c>
      <c r="B14" s="40" t="s">
        <v>1149</v>
      </c>
      <c r="C14" s="40" t="s">
        <v>165</v>
      </c>
      <c r="D14" s="40" t="s">
        <v>234</v>
      </c>
      <c r="E14" s="40" t="s">
        <v>147</v>
      </c>
      <c r="F14" s="40"/>
      <c r="G14" s="6">
        <f>G15</f>
        <v>0</v>
      </c>
      <c r="H14" s="222"/>
    </row>
    <row r="15" spans="1:8" s="221" customFormat="1" ht="31.5" hidden="1" x14ac:dyDescent="0.25">
      <c r="A15" s="25" t="s">
        <v>148</v>
      </c>
      <c r="B15" s="40" t="s">
        <v>1149</v>
      </c>
      <c r="C15" s="40" t="s">
        <v>165</v>
      </c>
      <c r="D15" s="40" t="s">
        <v>234</v>
      </c>
      <c r="E15" s="40" t="s">
        <v>149</v>
      </c>
      <c r="F15" s="40"/>
      <c r="G15" s="6">
        <f>'Пр.4 ведом.20'!G911</f>
        <v>0</v>
      </c>
      <c r="H15" s="222"/>
    </row>
    <row r="16" spans="1:8" s="221" customFormat="1" ht="31.5" hidden="1" x14ac:dyDescent="0.25">
      <c r="A16" s="45" t="s">
        <v>638</v>
      </c>
      <c r="B16" s="40" t="s">
        <v>1149</v>
      </c>
      <c r="C16" s="40" t="s">
        <v>165</v>
      </c>
      <c r="D16" s="40" t="s">
        <v>234</v>
      </c>
      <c r="E16" s="40" t="s">
        <v>149</v>
      </c>
      <c r="F16" s="40" t="s">
        <v>639</v>
      </c>
      <c r="G16" s="6">
        <f>G15</f>
        <v>0</v>
      </c>
      <c r="H16" s="222"/>
    </row>
    <row r="17" spans="1:9" s="221" customFormat="1" ht="31.5" x14ac:dyDescent="0.25">
      <c r="A17" s="34" t="s">
        <v>1237</v>
      </c>
      <c r="B17" s="24" t="s">
        <v>1093</v>
      </c>
      <c r="C17" s="40"/>
      <c r="D17" s="40"/>
      <c r="E17" s="40"/>
      <c r="F17" s="40"/>
      <c r="G17" s="6">
        <f>G18</f>
        <v>3446</v>
      </c>
      <c r="H17" s="222"/>
    </row>
    <row r="18" spans="1:9" s="221" customFormat="1" ht="15.75" x14ac:dyDescent="0.25">
      <c r="A18" s="29" t="s">
        <v>247</v>
      </c>
      <c r="B18" s="40" t="s">
        <v>1093</v>
      </c>
      <c r="C18" s="40" t="s">
        <v>165</v>
      </c>
      <c r="D18" s="40"/>
      <c r="E18" s="40"/>
      <c r="F18" s="40"/>
      <c r="G18" s="6">
        <f>G19</f>
        <v>3446</v>
      </c>
      <c r="H18" s="222"/>
    </row>
    <row r="19" spans="1:9" s="221" customFormat="1" ht="15.75" x14ac:dyDescent="0.25">
      <c r="A19" s="29" t="s">
        <v>523</v>
      </c>
      <c r="B19" s="40" t="s">
        <v>1093</v>
      </c>
      <c r="C19" s="40" t="s">
        <v>165</v>
      </c>
      <c r="D19" s="40" t="s">
        <v>234</v>
      </c>
      <c r="E19" s="40"/>
      <c r="F19" s="40"/>
      <c r="G19" s="6">
        <f>G20</f>
        <v>3446</v>
      </c>
      <c r="H19" s="222"/>
    </row>
    <row r="20" spans="1:9" ht="15.75" x14ac:dyDescent="0.25">
      <c r="A20" s="29" t="s">
        <v>526</v>
      </c>
      <c r="B20" s="40" t="s">
        <v>1151</v>
      </c>
      <c r="C20" s="40" t="s">
        <v>165</v>
      </c>
      <c r="D20" s="40" t="s">
        <v>234</v>
      </c>
      <c r="E20" s="40"/>
      <c r="F20" s="40"/>
      <c r="G20" s="6">
        <f>G23+G26+G22</f>
        <v>3446</v>
      </c>
    </row>
    <row r="21" spans="1:9" s="221" customFormat="1" ht="78.75" x14ac:dyDescent="0.25">
      <c r="A21" s="25" t="s">
        <v>142</v>
      </c>
      <c r="B21" s="40" t="s">
        <v>1151</v>
      </c>
      <c r="C21" s="40" t="s">
        <v>165</v>
      </c>
      <c r="D21" s="40" t="s">
        <v>234</v>
      </c>
      <c r="E21" s="40" t="s">
        <v>143</v>
      </c>
      <c r="F21" s="40"/>
      <c r="G21" s="6">
        <f>G22</f>
        <v>1791.3</v>
      </c>
      <c r="H21" s="222"/>
    </row>
    <row r="22" spans="1:9" s="221" customFormat="1" ht="15.75" x14ac:dyDescent="0.25">
      <c r="A22" s="25" t="s">
        <v>357</v>
      </c>
      <c r="B22" s="40" t="s">
        <v>1151</v>
      </c>
      <c r="C22" s="40" t="s">
        <v>165</v>
      </c>
      <c r="D22" s="40" t="s">
        <v>234</v>
      </c>
      <c r="E22" s="40" t="s">
        <v>224</v>
      </c>
      <c r="F22" s="40"/>
      <c r="G22" s="6">
        <f>'Пр.4 ведом.20'!G915</f>
        <v>1791.3</v>
      </c>
      <c r="H22" s="222"/>
    </row>
    <row r="23" spans="1:9" ht="31.5" x14ac:dyDescent="0.25">
      <c r="A23" s="29" t="s">
        <v>146</v>
      </c>
      <c r="B23" s="40" t="s">
        <v>1151</v>
      </c>
      <c r="C23" s="40" t="s">
        <v>165</v>
      </c>
      <c r="D23" s="40" t="s">
        <v>234</v>
      </c>
      <c r="E23" s="40" t="s">
        <v>147</v>
      </c>
      <c r="F23" s="40"/>
      <c r="G23" s="6">
        <f t="shared" ref="G23" si="1">G24</f>
        <v>1654.7</v>
      </c>
    </row>
    <row r="24" spans="1:9" ht="31.5" x14ac:dyDescent="0.25">
      <c r="A24" s="29" t="s">
        <v>148</v>
      </c>
      <c r="B24" s="40" t="s">
        <v>1151</v>
      </c>
      <c r="C24" s="40" t="s">
        <v>165</v>
      </c>
      <c r="D24" s="40" t="s">
        <v>234</v>
      </c>
      <c r="E24" s="40" t="s">
        <v>149</v>
      </c>
      <c r="F24" s="40"/>
      <c r="G24" s="6">
        <f>'Пр.4 ведом.20'!G917</f>
        <v>1654.7</v>
      </c>
    </row>
    <row r="25" spans="1:9" s="221" customFormat="1" ht="31.5" x14ac:dyDescent="0.25">
      <c r="A25" s="45" t="s">
        <v>638</v>
      </c>
      <c r="B25" s="40" t="s">
        <v>1151</v>
      </c>
      <c r="C25" s="40" t="s">
        <v>165</v>
      </c>
      <c r="D25" s="40" t="s">
        <v>234</v>
      </c>
      <c r="E25" s="40" t="s">
        <v>149</v>
      </c>
      <c r="F25" s="40" t="s">
        <v>639</v>
      </c>
      <c r="G25" s="6">
        <f>G24</f>
        <v>1654.7</v>
      </c>
      <c r="H25" s="222"/>
    </row>
    <row r="26" spans="1:9" ht="15.75" hidden="1" x14ac:dyDescent="0.25">
      <c r="A26" s="25" t="s">
        <v>150</v>
      </c>
      <c r="B26" s="40" t="s">
        <v>1151</v>
      </c>
      <c r="C26" s="40" t="s">
        <v>165</v>
      </c>
      <c r="D26" s="40" t="s">
        <v>234</v>
      </c>
      <c r="E26" s="40" t="s">
        <v>160</v>
      </c>
      <c r="F26" s="40"/>
      <c r="G26" s="6">
        <f t="shared" ref="G26" si="2">G27</f>
        <v>0</v>
      </c>
    </row>
    <row r="27" spans="1:9" ht="15.75" hidden="1" x14ac:dyDescent="0.25">
      <c r="A27" s="25" t="s">
        <v>152</v>
      </c>
      <c r="B27" s="40" t="s">
        <v>1151</v>
      </c>
      <c r="C27" s="40" t="s">
        <v>165</v>
      </c>
      <c r="D27" s="40" t="s">
        <v>234</v>
      </c>
      <c r="E27" s="40" t="s">
        <v>153</v>
      </c>
      <c r="F27" s="40"/>
      <c r="G27" s="6">
        <f>'Пр.4 ведом.20'!G919</f>
        <v>0</v>
      </c>
    </row>
    <row r="28" spans="1:9" ht="31.5" hidden="1" x14ac:dyDescent="0.25">
      <c r="A28" s="45" t="s">
        <v>638</v>
      </c>
      <c r="B28" s="40" t="s">
        <v>1151</v>
      </c>
      <c r="C28" s="40" t="s">
        <v>165</v>
      </c>
      <c r="D28" s="40" t="s">
        <v>234</v>
      </c>
      <c r="E28" s="40" t="s">
        <v>153</v>
      </c>
      <c r="F28" s="40" t="s">
        <v>639</v>
      </c>
      <c r="G28" s="6">
        <f>G27</f>
        <v>0</v>
      </c>
    </row>
    <row r="29" spans="1:9" ht="47.25" x14ac:dyDescent="0.25">
      <c r="A29" s="58" t="s">
        <v>358</v>
      </c>
      <c r="B29" s="7" t="s">
        <v>359</v>
      </c>
      <c r="C29" s="7"/>
      <c r="D29" s="7"/>
      <c r="E29" s="7"/>
      <c r="F29" s="7"/>
      <c r="G29" s="59">
        <f>G30+G59+G67+G75+G93+G101+G109+G150</f>
        <v>3427.8999999999996</v>
      </c>
      <c r="H29" s="222">
        <v>4043</v>
      </c>
      <c r="I29" s="22">
        <f>H29-G29</f>
        <v>615.10000000000036</v>
      </c>
    </row>
    <row r="30" spans="1:9" ht="31.5" x14ac:dyDescent="0.25">
      <c r="A30" s="58" t="s">
        <v>640</v>
      </c>
      <c r="B30" s="7" t="s">
        <v>361</v>
      </c>
      <c r="C30" s="7"/>
      <c r="D30" s="7"/>
      <c r="E30" s="7"/>
      <c r="F30" s="7"/>
      <c r="G30" s="59">
        <f>G32+G42+G52</f>
        <v>760</v>
      </c>
    </row>
    <row r="31" spans="1:9" s="221" customFormat="1" ht="47.25" x14ac:dyDescent="0.25">
      <c r="A31" s="238" t="s">
        <v>1196</v>
      </c>
      <c r="B31" s="24" t="s">
        <v>950</v>
      </c>
      <c r="C31" s="7"/>
      <c r="D31" s="7"/>
      <c r="E31" s="40"/>
      <c r="F31" s="40"/>
      <c r="G31" s="59">
        <f>G32</f>
        <v>280</v>
      </c>
      <c r="H31" s="222"/>
    </row>
    <row r="32" spans="1:9" ht="15.75" x14ac:dyDescent="0.25">
      <c r="A32" s="45" t="s">
        <v>278</v>
      </c>
      <c r="B32" s="40" t="s">
        <v>950</v>
      </c>
      <c r="C32" s="40" t="s">
        <v>279</v>
      </c>
      <c r="D32" s="40"/>
      <c r="E32" s="40"/>
      <c r="F32" s="40"/>
      <c r="G32" s="10">
        <f t="shared" ref="G32" si="3">G33</f>
        <v>280</v>
      </c>
    </row>
    <row r="33" spans="1:8" ht="15.75" x14ac:dyDescent="0.25">
      <c r="A33" s="45" t="s">
        <v>481</v>
      </c>
      <c r="B33" s="40" t="s">
        <v>950</v>
      </c>
      <c r="C33" s="40" t="s">
        <v>279</v>
      </c>
      <c r="D33" s="40" t="s">
        <v>279</v>
      </c>
      <c r="E33" s="40"/>
      <c r="F33" s="40"/>
      <c r="G33" s="10">
        <f>G34+G38</f>
        <v>280</v>
      </c>
    </row>
    <row r="34" spans="1:8" s="221" customFormat="1" ht="31.5" x14ac:dyDescent="0.25">
      <c r="A34" s="99" t="s">
        <v>1202</v>
      </c>
      <c r="B34" s="20" t="s">
        <v>951</v>
      </c>
      <c r="C34" s="40" t="s">
        <v>279</v>
      </c>
      <c r="D34" s="40" t="s">
        <v>279</v>
      </c>
      <c r="E34" s="40"/>
      <c r="F34" s="40"/>
      <c r="G34" s="10">
        <f>G35</f>
        <v>280</v>
      </c>
      <c r="H34" s="222"/>
    </row>
    <row r="35" spans="1:8" s="221" customFormat="1" ht="78.75" x14ac:dyDescent="0.25">
      <c r="A35" s="25" t="s">
        <v>142</v>
      </c>
      <c r="B35" s="20" t="s">
        <v>951</v>
      </c>
      <c r="C35" s="40" t="s">
        <v>279</v>
      </c>
      <c r="D35" s="40" t="s">
        <v>279</v>
      </c>
      <c r="E35" s="40" t="s">
        <v>143</v>
      </c>
      <c r="F35" s="40"/>
      <c r="G35" s="10">
        <f>G36</f>
        <v>280</v>
      </c>
      <c r="H35" s="222"/>
    </row>
    <row r="36" spans="1:8" s="221" customFormat="1" ht="15.75" x14ac:dyDescent="0.25">
      <c r="A36" s="25" t="s">
        <v>357</v>
      </c>
      <c r="B36" s="20" t="s">
        <v>951</v>
      </c>
      <c r="C36" s="40" t="s">
        <v>279</v>
      </c>
      <c r="D36" s="40" t="s">
        <v>279</v>
      </c>
      <c r="E36" s="40" t="s">
        <v>224</v>
      </c>
      <c r="F36" s="40"/>
      <c r="G36" s="10">
        <f>'Пр.3 Рд,пр, ЦС,ВР 20'!F733</f>
        <v>280</v>
      </c>
      <c r="H36" s="222"/>
    </row>
    <row r="37" spans="1:8" s="221" customFormat="1" ht="47.25" x14ac:dyDescent="0.25">
      <c r="A37" s="45" t="s">
        <v>276</v>
      </c>
      <c r="B37" s="20" t="s">
        <v>951</v>
      </c>
      <c r="C37" s="40" t="s">
        <v>279</v>
      </c>
      <c r="D37" s="40" t="s">
        <v>279</v>
      </c>
      <c r="E37" s="40" t="s">
        <v>224</v>
      </c>
      <c r="F37" s="40" t="s">
        <v>642</v>
      </c>
      <c r="G37" s="6">
        <f>G36</f>
        <v>280</v>
      </c>
      <c r="H37" s="222"/>
    </row>
    <row r="38" spans="1:8" s="221" customFormat="1" ht="15.75" hidden="1" x14ac:dyDescent="0.25">
      <c r="A38" s="25" t="s">
        <v>1197</v>
      </c>
      <c r="B38" s="20" t="s">
        <v>1221</v>
      </c>
      <c r="C38" s="40" t="s">
        <v>279</v>
      </c>
      <c r="D38" s="40" t="s">
        <v>279</v>
      </c>
      <c r="E38" s="40"/>
      <c r="F38" s="40"/>
      <c r="G38" s="10">
        <f>G39</f>
        <v>0</v>
      </c>
      <c r="H38" s="222"/>
    </row>
    <row r="39" spans="1:8" s="221" customFormat="1" ht="31.5" hidden="1" x14ac:dyDescent="0.25">
      <c r="A39" s="25" t="s">
        <v>146</v>
      </c>
      <c r="B39" s="20" t="s">
        <v>1221</v>
      </c>
      <c r="C39" s="40" t="s">
        <v>279</v>
      </c>
      <c r="D39" s="40" t="s">
        <v>279</v>
      </c>
      <c r="E39" s="40" t="s">
        <v>147</v>
      </c>
      <c r="F39" s="40"/>
      <c r="G39" s="10">
        <f>G40</f>
        <v>0</v>
      </c>
      <c r="H39" s="222"/>
    </row>
    <row r="40" spans="1:8" s="221" customFormat="1" ht="31.5" hidden="1" x14ac:dyDescent="0.25">
      <c r="A40" s="25" t="s">
        <v>148</v>
      </c>
      <c r="B40" s="20" t="s">
        <v>1221</v>
      </c>
      <c r="C40" s="40" t="s">
        <v>279</v>
      </c>
      <c r="D40" s="40" t="s">
        <v>279</v>
      </c>
      <c r="E40" s="40" t="s">
        <v>149</v>
      </c>
      <c r="F40" s="40"/>
      <c r="G40" s="10">
        <f>'Пр.3 Рд,пр, ЦС,ВР 20'!F736</f>
        <v>0</v>
      </c>
      <c r="H40" s="222"/>
    </row>
    <row r="41" spans="1:8" s="221" customFormat="1" ht="47.25" hidden="1" x14ac:dyDescent="0.25">
      <c r="A41" s="45" t="s">
        <v>276</v>
      </c>
      <c r="B41" s="20" t="s">
        <v>1221</v>
      </c>
      <c r="C41" s="40" t="s">
        <v>279</v>
      </c>
      <c r="D41" s="40" t="s">
        <v>279</v>
      </c>
      <c r="E41" s="40" t="s">
        <v>149</v>
      </c>
      <c r="F41" s="40" t="s">
        <v>642</v>
      </c>
      <c r="G41" s="6">
        <f>G40</f>
        <v>0</v>
      </c>
      <c r="H41" s="222"/>
    </row>
    <row r="42" spans="1:8" s="221" customFormat="1" ht="63" x14ac:dyDescent="0.25">
      <c r="A42" s="23" t="s">
        <v>1198</v>
      </c>
      <c r="B42" s="24" t="s">
        <v>952</v>
      </c>
      <c r="C42" s="40"/>
      <c r="D42" s="40"/>
      <c r="E42" s="40"/>
      <c r="F42" s="40"/>
      <c r="G42" s="59">
        <f>G43</f>
        <v>455</v>
      </c>
      <c r="H42" s="222"/>
    </row>
    <row r="43" spans="1:8" s="221" customFormat="1" ht="15.75" x14ac:dyDescent="0.25">
      <c r="A43" s="45" t="s">
        <v>278</v>
      </c>
      <c r="B43" s="40" t="s">
        <v>952</v>
      </c>
      <c r="C43" s="40" t="s">
        <v>279</v>
      </c>
      <c r="D43" s="40"/>
      <c r="E43" s="40"/>
      <c r="F43" s="40"/>
      <c r="G43" s="10">
        <f>G44</f>
        <v>455</v>
      </c>
      <c r="H43" s="222"/>
    </row>
    <row r="44" spans="1:8" s="221" customFormat="1" ht="15.75" x14ac:dyDescent="0.25">
      <c r="A44" s="45" t="s">
        <v>481</v>
      </c>
      <c r="B44" s="40" t="s">
        <v>952</v>
      </c>
      <c r="C44" s="40" t="s">
        <v>279</v>
      </c>
      <c r="D44" s="40" t="s">
        <v>279</v>
      </c>
      <c r="E44" s="40"/>
      <c r="F44" s="40"/>
      <c r="G44" s="10">
        <f>G45+G49</f>
        <v>455</v>
      </c>
      <c r="H44" s="222"/>
    </row>
    <row r="45" spans="1:8" ht="15.75" x14ac:dyDescent="0.25">
      <c r="A45" s="25" t="s">
        <v>1199</v>
      </c>
      <c r="B45" s="20" t="s">
        <v>970</v>
      </c>
      <c r="C45" s="40" t="s">
        <v>279</v>
      </c>
      <c r="D45" s="40" t="s">
        <v>279</v>
      </c>
      <c r="E45" s="40"/>
      <c r="F45" s="40"/>
      <c r="G45" s="10">
        <f>G46</f>
        <v>40</v>
      </c>
    </row>
    <row r="46" spans="1:8" ht="78.75" x14ac:dyDescent="0.25">
      <c r="A46" s="25" t="s">
        <v>142</v>
      </c>
      <c r="B46" s="20" t="s">
        <v>970</v>
      </c>
      <c r="C46" s="40" t="s">
        <v>279</v>
      </c>
      <c r="D46" s="40" t="s">
        <v>279</v>
      </c>
      <c r="E46" s="40" t="s">
        <v>143</v>
      </c>
      <c r="F46" s="40"/>
      <c r="G46" s="10">
        <f t="shared" ref="G46" si="4">G47</f>
        <v>40</v>
      </c>
    </row>
    <row r="47" spans="1:8" ht="15.75" x14ac:dyDescent="0.25">
      <c r="A47" s="25" t="s">
        <v>357</v>
      </c>
      <c r="B47" s="20" t="s">
        <v>970</v>
      </c>
      <c r="C47" s="40" t="s">
        <v>279</v>
      </c>
      <c r="D47" s="40" t="s">
        <v>279</v>
      </c>
      <c r="E47" s="40" t="s">
        <v>224</v>
      </c>
      <c r="F47" s="40"/>
      <c r="G47" s="10">
        <f>'Пр.3 Рд,пр, ЦС,ВР 20'!F740</f>
        <v>40</v>
      </c>
    </row>
    <row r="48" spans="1:8" s="221" customFormat="1" ht="47.25" x14ac:dyDescent="0.25">
      <c r="A48" s="45" t="s">
        <v>276</v>
      </c>
      <c r="B48" s="20" t="s">
        <v>970</v>
      </c>
      <c r="C48" s="40" t="s">
        <v>279</v>
      </c>
      <c r="D48" s="40" t="s">
        <v>279</v>
      </c>
      <c r="E48" s="40" t="s">
        <v>224</v>
      </c>
      <c r="F48" s="40" t="s">
        <v>642</v>
      </c>
      <c r="G48" s="6">
        <f>G47</f>
        <v>40</v>
      </c>
      <c r="H48" s="222"/>
    </row>
    <row r="49" spans="1:8" ht="31.5" x14ac:dyDescent="0.25">
      <c r="A49" s="25" t="s">
        <v>146</v>
      </c>
      <c r="B49" s="20" t="s">
        <v>970</v>
      </c>
      <c r="C49" s="40" t="s">
        <v>279</v>
      </c>
      <c r="D49" s="40" t="s">
        <v>279</v>
      </c>
      <c r="E49" s="40" t="s">
        <v>147</v>
      </c>
      <c r="F49" s="40"/>
      <c r="G49" s="10">
        <f t="shared" ref="G49" si="5">G50</f>
        <v>415</v>
      </c>
    </row>
    <row r="50" spans="1:8" ht="31.5" x14ac:dyDescent="0.25">
      <c r="A50" s="25" t="s">
        <v>148</v>
      </c>
      <c r="B50" s="20" t="s">
        <v>970</v>
      </c>
      <c r="C50" s="40" t="s">
        <v>279</v>
      </c>
      <c r="D50" s="40" t="s">
        <v>279</v>
      </c>
      <c r="E50" s="40" t="s">
        <v>149</v>
      </c>
      <c r="F50" s="40"/>
      <c r="G50" s="6">
        <f>'Пр.3 Рд,пр, ЦС,ВР 20'!F742</f>
        <v>415</v>
      </c>
    </row>
    <row r="51" spans="1:8" s="221" customFormat="1" ht="47.25" x14ac:dyDescent="0.25">
      <c r="A51" s="45" t="s">
        <v>276</v>
      </c>
      <c r="B51" s="20" t="s">
        <v>970</v>
      </c>
      <c r="C51" s="40" t="s">
        <v>279</v>
      </c>
      <c r="D51" s="40" t="s">
        <v>279</v>
      </c>
      <c r="E51" s="40" t="s">
        <v>149</v>
      </c>
      <c r="F51" s="40" t="s">
        <v>642</v>
      </c>
      <c r="G51" s="6">
        <f>G50</f>
        <v>415</v>
      </c>
      <c r="H51" s="222"/>
    </row>
    <row r="52" spans="1:8" ht="33" customHeight="1" x14ac:dyDescent="0.25">
      <c r="A52" s="23" t="s">
        <v>1204</v>
      </c>
      <c r="B52" s="24" t="s">
        <v>1200</v>
      </c>
      <c r="C52" s="40"/>
      <c r="D52" s="40"/>
      <c r="E52" s="40"/>
      <c r="F52" s="40"/>
      <c r="G52" s="4">
        <f>G55</f>
        <v>25</v>
      </c>
    </row>
    <row r="53" spans="1:8" s="221" customFormat="1" ht="16.5" customHeight="1" x14ac:dyDescent="0.25">
      <c r="A53" s="45" t="s">
        <v>278</v>
      </c>
      <c r="B53" s="40" t="s">
        <v>1200</v>
      </c>
      <c r="C53" s="40" t="s">
        <v>279</v>
      </c>
      <c r="D53" s="40"/>
      <c r="E53" s="40"/>
      <c r="F53" s="40"/>
      <c r="G53" s="10">
        <f>G54</f>
        <v>25</v>
      </c>
      <c r="H53" s="222"/>
    </row>
    <row r="54" spans="1:8" s="221" customFormat="1" ht="18.75" customHeight="1" x14ac:dyDescent="0.25">
      <c r="A54" s="45" t="s">
        <v>481</v>
      </c>
      <c r="B54" s="40" t="s">
        <v>1200</v>
      </c>
      <c r="C54" s="40" t="s">
        <v>279</v>
      </c>
      <c r="D54" s="40" t="s">
        <v>279</v>
      </c>
      <c r="E54" s="40"/>
      <c r="F54" s="40"/>
      <c r="G54" s="10">
        <f>G55</f>
        <v>25</v>
      </c>
      <c r="H54" s="222"/>
    </row>
    <row r="55" spans="1:8" ht="47.25" x14ac:dyDescent="0.25">
      <c r="A55" s="264" t="s">
        <v>1201</v>
      </c>
      <c r="B55" s="20" t="s">
        <v>1222</v>
      </c>
      <c r="C55" s="40" t="s">
        <v>279</v>
      </c>
      <c r="D55" s="40" t="s">
        <v>279</v>
      </c>
      <c r="E55" s="20"/>
      <c r="F55" s="40"/>
      <c r="G55" s="6">
        <f t="shared" ref="G55" si="6">G56</f>
        <v>25</v>
      </c>
    </row>
    <row r="56" spans="1:8" ht="15.75" x14ac:dyDescent="0.25">
      <c r="A56" s="25" t="s">
        <v>263</v>
      </c>
      <c r="B56" s="20" t="s">
        <v>1222</v>
      </c>
      <c r="C56" s="40" t="s">
        <v>279</v>
      </c>
      <c r="D56" s="40" t="s">
        <v>279</v>
      </c>
      <c r="E56" s="20" t="s">
        <v>264</v>
      </c>
      <c r="F56" s="40"/>
      <c r="G56" s="6">
        <f>G57</f>
        <v>25</v>
      </c>
    </row>
    <row r="57" spans="1:8" ht="32.25" customHeight="1" x14ac:dyDescent="0.25">
      <c r="A57" s="25" t="s">
        <v>1492</v>
      </c>
      <c r="B57" s="20" t="s">
        <v>1222</v>
      </c>
      <c r="C57" s="40" t="s">
        <v>279</v>
      </c>
      <c r="D57" s="40" t="s">
        <v>279</v>
      </c>
      <c r="E57" s="20" t="s">
        <v>1491</v>
      </c>
      <c r="F57" s="40"/>
      <c r="G57" s="10">
        <f>'Пр.3 Рд,пр, ЦС,ВР 20'!F746</f>
        <v>25</v>
      </c>
    </row>
    <row r="58" spans="1:8" s="221" customFormat="1" ht="47.25" x14ac:dyDescent="0.25">
      <c r="A58" s="45" t="s">
        <v>276</v>
      </c>
      <c r="B58" s="20" t="s">
        <v>1222</v>
      </c>
      <c r="C58" s="40" t="s">
        <v>279</v>
      </c>
      <c r="D58" s="40" t="s">
        <v>279</v>
      </c>
      <c r="E58" s="40" t="s">
        <v>1491</v>
      </c>
      <c r="F58" s="40" t="s">
        <v>642</v>
      </c>
      <c r="G58" s="6">
        <f>G57</f>
        <v>25</v>
      </c>
      <c r="H58" s="222"/>
    </row>
    <row r="59" spans="1:8" ht="31.5" x14ac:dyDescent="0.25">
      <c r="A59" s="58" t="s">
        <v>643</v>
      </c>
      <c r="B59" s="7" t="s">
        <v>368</v>
      </c>
      <c r="C59" s="7"/>
      <c r="D59" s="7"/>
      <c r="E59" s="7"/>
      <c r="F59" s="7"/>
      <c r="G59" s="59">
        <f>G60</f>
        <v>169.20000000000002</v>
      </c>
    </row>
    <row r="60" spans="1:8" s="221" customFormat="1" ht="31.5" x14ac:dyDescent="0.25">
      <c r="A60" s="23" t="s">
        <v>974</v>
      </c>
      <c r="B60" s="24" t="s">
        <v>973</v>
      </c>
      <c r="C60" s="7"/>
      <c r="D60" s="7"/>
      <c r="E60" s="7"/>
      <c r="F60" s="7"/>
      <c r="G60" s="59">
        <f>G61</f>
        <v>169.20000000000002</v>
      </c>
      <c r="H60" s="222"/>
    </row>
    <row r="61" spans="1:8" ht="15.75" x14ac:dyDescent="0.25">
      <c r="A61" s="45" t="s">
        <v>258</v>
      </c>
      <c r="B61" s="40" t="s">
        <v>973</v>
      </c>
      <c r="C61" s="40" t="s">
        <v>259</v>
      </c>
      <c r="D61" s="40"/>
      <c r="E61" s="40"/>
      <c r="F61" s="40"/>
      <c r="G61" s="10">
        <f t="shared" ref="G61:G64" si="7">G62</f>
        <v>169.20000000000002</v>
      </c>
    </row>
    <row r="62" spans="1:8" ht="15.75" x14ac:dyDescent="0.25">
      <c r="A62" s="45" t="s">
        <v>267</v>
      </c>
      <c r="B62" s="40" t="s">
        <v>973</v>
      </c>
      <c r="C62" s="40" t="s">
        <v>259</v>
      </c>
      <c r="D62" s="40" t="s">
        <v>230</v>
      </c>
      <c r="E62" s="40"/>
      <c r="F62" s="40"/>
      <c r="G62" s="10">
        <f>G63</f>
        <v>169.20000000000002</v>
      </c>
    </row>
    <row r="63" spans="1:8" ht="31.5" x14ac:dyDescent="0.25">
      <c r="A63" s="25" t="s">
        <v>867</v>
      </c>
      <c r="B63" s="20" t="s">
        <v>975</v>
      </c>
      <c r="C63" s="40" t="s">
        <v>259</v>
      </c>
      <c r="D63" s="40" t="s">
        <v>230</v>
      </c>
      <c r="E63" s="40"/>
      <c r="F63" s="40"/>
      <c r="G63" s="10">
        <f t="shared" si="7"/>
        <v>169.20000000000002</v>
      </c>
    </row>
    <row r="64" spans="1:8" ht="15.75" x14ac:dyDescent="0.25">
      <c r="A64" s="29" t="s">
        <v>263</v>
      </c>
      <c r="B64" s="20" t="s">
        <v>975</v>
      </c>
      <c r="C64" s="40" t="s">
        <v>259</v>
      </c>
      <c r="D64" s="40" t="s">
        <v>230</v>
      </c>
      <c r="E64" s="40" t="s">
        <v>264</v>
      </c>
      <c r="F64" s="40"/>
      <c r="G64" s="10">
        <f t="shared" si="7"/>
        <v>169.20000000000002</v>
      </c>
    </row>
    <row r="65" spans="1:8" ht="31.5" x14ac:dyDescent="0.25">
      <c r="A65" s="29" t="s">
        <v>265</v>
      </c>
      <c r="B65" s="20" t="s">
        <v>975</v>
      </c>
      <c r="C65" s="40" t="s">
        <v>259</v>
      </c>
      <c r="D65" s="40" t="s">
        <v>230</v>
      </c>
      <c r="E65" s="40" t="s">
        <v>266</v>
      </c>
      <c r="F65" s="40"/>
      <c r="G65" s="10">
        <f>'Пр.4 ведом.20'!G450</f>
        <v>169.20000000000002</v>
      </c>
    </row>
    <row r="66" spans="1:8" ht="47.25" x14ac:dyDescent="0.25">
      <c r="A66" s="45" t="s">
        <v>276</v>
      </c>
      <c r="B66" s="20" t="s">
        <v>975</v>
      </c>
      <c r="C66" s="40" t="s">
        <v>259</v>
      </c>
      <c r="D66" s="40" t="s">
        <v>230</v>
      </c>
      <c r="E66" s="40" t="s">
        <v>266</v>
      </c>
      <c r="F66" s="40" t="s">
        <v>642</v>
      </c>
      <c r="G66" s="10">
        <f t="shared" ref="G66" si="8">G59</f>
        <v>169.20000000000002</v>
      </c>
    </row>
    <row r="67" spans="1:8" ht="31.5" x14ac:dyDescent="0.25">
      <c r="A67" s="58" t="s">
        <v>644</v>
      </c>
      <c r="B67" s="7" t="s">
        <v>371</v>
      </c>
      <c r="C67" s="7"/>
      <c r="D67" s="7"/>
      <c r="E67" s="7"/>
      <c r="F67" s="7"/>
      <c r="G67" s="59">
        <f t="shared" ref="G67" si="9">G69</f>
        <v>420</v>
      </c>
    </row>
    <row r="68" spans="1:8" s="221" customFormat="1" ht="31.5" x14ac:dyDescent="0.25">
      <c r="A68" s="23" t="s">
        <v>1146</v>
      </c>
      <c r="B68" s="24" t="s">
        <v>976</v>
      </c>
      <c r="C68" s="40"/>
      <c r="D68" s="40"/>
      <c r="E68" s="40"/>
      <c r="F68" s="40"/>
      <c r="G68" s="10">
        <f>G69</f>
        <v>420</v>
      </c>
      <c r="H68" s="222"/>
    </row>
    <row r="69" spans="1:8" ht="15.75" x14ac:dyDescent="0.25">
      <c r="A69" s="45" t="s">
        <v>258</v>
      </c>
      <c r="B69" s="40" t="s">
        <v>976</v>
      </c>
      <c r="C69" s="40" t="s">
        <v>259</v>
      </c>
      <c r="D69" s="40"/>
      <c r="E69" s="40"/>
      <c r="F69" s="40"/>
      <c r="G69" s="10">
        <f t="shared" ref="G69:G72" si="10">G70</f>
        <v>420</v>
      </c>
    </row>
    <row r="70" spans="1:8" ht="15.75" x14ac:dyDescent="0.25">
      <c r="A70" s="45" t="s">
        <v>267</v>
      </c>
      <c r="B70" s="40" t="s">
        <v>976</v>
      </c>
      <c r="C70" s="40" t="s">
        <v>259</v>
      </c>
      <c r="D70" s="40" t="s">
        <v>230</v>
      </c>
      <c r="E70" s="40"/>
      <c r="F70" s="40"/>
      <c r="G70" s="10">
        <f>G71</f>
        <v>420</v>
      </c>
    </row>
    <row r="71" spans="1:8" ht="31.5" x14ac:dyDescent="0.25">
      <c r="A71" s="29" t="s">
        <v>172</v>
      </c>
      <c r="B71" s="20" t="s">
        <v>977</v>
      </c>
      <c r="C71" s="40" t="s">
        <v>259</v>
      </c>
      <c r="D71" s="40" t="s">
        <v>230</v>
      </c>
      <c r="E71" s="40"/>
      <c r="F71" s="40"/>
      <c r="G71" s="10">
        <f t="shared" si="10"/>
        <v>420</v>
      </c>
    </row>
    <row r="72" spans="1:8" ht="15.75" x14ac:dyDescent="0.25">
      <c r="A72" s="29" t="s">
        <v>263</v>
      </c>
      <c r="B72" s="20" t="s">
        <v>977</v>
      </c>
      <c r="C72" s="40" t="s">
        <v>259</v>
      </c>
      <c r="D72" s="40" t="s">
        <v>230</v>
      </c>
      <c r="E72" s="40" t="s">
        <v>264</v>
      </c>
      <c r="F72" s="40"/>
      <c r="G72" s="10">
        <f t="shared" si="10"/>
        <v>420</v>
      </c>
    </row>
    <row r="73" spans="1:8" ht="31.5" x14ac:dyDescent="0.25">
      <c r="A73" s="29" t="s">
        <v>363</v>
      </c>
      <c r="B73" s="20" t="s">
        <v>977</v>
      </c>
      <c r="C73" s="40" t="s">
        <v>259</v>
      </c>
      <c r="D73" s="40" t="s">
        <v>230</v>
      </c>
      <c r="E73" s="40" t="s">
        <v>364</v>
      </c>
      <c r="F73" s="40"/>
      <c r="G73" s="10">
        <f>'Пр.4 ведом.20'!G455</f>
        <v>420</v>
      </c>
    </row>
    <row r="74" spans="1:8" ht="47.25" x14ac:dyDescent="0.25">
      <c r="A74" s="45" t="s">
        <v>276</v>
      </c>
      <c r="B74" s="20" t="s">
        <v>977</v>
      </c>
      <c r="C74" s="40" t="s">
        <v>259</v>
      </c>
      <c r="D74" s="40" t="s">
        <v>230</v>
      </c>
      <c r="E74" s="40" t="s">
        <v>364</v>
      </c>
      <c r="F74" s="40" t="s">
        <v>642</v>
      </c>
      <c r="G74" s="10">
        <f t="shared" ref="G74" si="11">G67</f>
        <v>420</v>
      </c>
    </row>
    <row r="75" spans="1:8" ht="15.75" x14ac:dyDescent="0.25">
      <c r="A75" s="58" t="s">
        <v>646</v>
      </c>
      <c r="B75" s="7" t="s">
        <v>374</v>
      </c>
      <c r="C75" s="7"/>
      <c r="D75" s="7"/>
      <c r="E75" s="7"/>
      <c r="F75" s="7"/>
      <c r="G75" s="59">
        <f>G77+G83</f>
        <v>1110</v>
      </c>
    </row>
    <row r="76" spans="1:8" s="221" customFormat="1" ht="31.5" x14ac:dyDescent="0.25">
      <c r="A76" s="23" t="s">
        <v>1205</v>
      </c>
      <c r="B76" s="24" t="s">
        <v>979</v>
      </c>
      <c r="C76" s="40"/>
      <c r="D76" s="40"/>
      <c r="E76" s="40"/>
      <c r="F76" s="40"/>
      <c r="G76" s="10">
        <f>G77</f>
        <v>630</v>
      </c>
      <c r="H76" s="222"/>
    </row>
    <row r="77" spans="1:8" ht="15.75" x14ac:dyDescent="0.25">
      <c r="A77" s="45" t="s">
        <v>258</v>
      </c>
      <c r="B77" s="40" t="s">
        <v>979</v>
      </c>
      <c r="C77" s="40" t="s">
        <v>259</v>
      </c>
      <c r="D77" s="40"/>
      <c r="E77" s="40"/>
      <c r="F77" s="40"/>
      <c r="G77" s="10">
        <f t="shared" ref="G77" si="12">G78</f>
        <v>630</v>
      </c>
    </row>
    <row r="78" spans="1:8" ht="15.75" x14ac:dyDescent="0.25">
      <c r="A78" s="45" t="s">
        <v>267</v>
      </c>
      <c r="B78" s="40" t="s">
        <v>979</v>
      </c>
      <c r="C78" s="40" t="s">
        <v>259</v>
      </c>
      <c r="D78" s="40" t="s">
        <v>230</v>
      </c>
      <c r="E78" s="40"/>
      <c r="F78" s="40"/>
      <c r="G78" s="10">
        <f>G79</f>
        <v>630</v>
      </c>
    </row>
    <row r="79" spans="1:8" ht="47.25" x14ac:dyDescent="0.25">
      <c r="A79" s="99" t="s">
        <v>1206</v>
      </c>
      <c r="B79" s="20" t="s">
        <v>980</v>
      </c>
      <c r="C79" s="40" t="s">
        <v>259</v>
      </c>
      <c r="D79" s="40" t="s">
        <v>230</v>
      </c>
      <c r="E79" s="40"/>
      <c r="F79" s="40"/>
      <c r="G79" s="10">
        <f>G80</f>
        <v>630</v>
      </c>
    </row>
    <row r="80" spans="1:8" ht="15.75" x14ac:dyDescent="0.25">
      <c r="A80" s="25" t="s">
        <v>263</v>
      </c>
      <c r="B80" s="20" t="s">
        <v>980</v>
      </c>
      <c r="C80" s="40" t="s">
        <v>259</v>
      </c>
      <c r="D80" s="40" t="s">
        <v>230</v>
      </c>
      <c r="E80" s="40" t="s">
        <v>264</v>
      </c>
      <c r="F80" s="40"/>
      <c r="G80" s="10">
        <f t="shared" ref="G80" si="13">G81</f>
        <v>630</v>
      </c>
    </row>
    <row r="81" spans="1:8" ht="31.5" x14ac:dyDescent="0.25">
      <c r="A81" s="25" t="s">
        <v>363</v>
      </c>
      <c r="B81" s="20" t="s">
        <v>980</v>
      </c>
      <c r="C81" s="40" t="s">
        <v>259</v>
      </c>
      <c r="D81" s="40" t="s">
        <v>230</v>
      </c>
      <c r="E81" s="40" t="s">
        <v>364</v>
      </c>
      <c r="F81" s="40"/>
      <c r="G81" s="10">
        <f>'Пр.3 Рд,пр, ЦС,ВР 20'!F912</f>
        <v>630</v>
      </c>
    </row>
    <row r="82" spans="1:8" s="221" customFormat="1" ht="47.25" x14ac:dyDescent="0.25">
      <c r="A82" s="45" t="s">
        <v>276</v>
      </c>
      <c r="B82" s="20" t="s">
        <v>980</v>
      </c>
      <c r="C82" s="40" t="s">
        <v>259</v>
      </c>
      <c r="D82" s="40" t="s">
        <v>230</v>
      </c>
      <c r="E82" s="40" t="s">
        <v>364</v>
      </c>
      <c r="F82" s="40" t="s">
        <v>642</v>
      </c>
      <c r="G82" s="10">
        <f>G81</f>
        <v>630</v>
      </c>
      <c r="H82" s="222"/>
    </row>
    <row r="83" spans="1:8" ht="31.5" x14ac:dyDescent="0.25">
      <c r="A83" s="23" t="s">
        <v>978</v>
      </c>
      <c r="B83" s="24" t="s">
        <v>981</v>
      </c>
      <c r="C83" s="7"/>
      <c r="D83" s="7"/>
      <c r="E83" s="7"/>
      <c r="F83" s="7"/>
      <c r="G83" s="59">
        <f>G86+G90</f>
        <v>480</v>
      </c>
    </row>
    <row r="84" spans="1:8" s="221" customFormat="1" ht="15.75" x14ac:dyDescent="0.25">
      <c r="A84" s="45" t="s">
        <v>258</v>
      </c>
      <c r="B84" s="40" t="s">
        <v>981</v>
      </c>
      <c r="C84" s="40" t="s">
        <v>259</v>
      </c>
      <c r="D84" s="40"/>
      <c r="E84" s="40"/>
      <c r="F84" s="40"/>
      <c r="G84" s="10">
        <f t="shared" ref="G84" si="14">G85</f>
        <v>270</v>
      </c>
      <c r="H84" s="222"/>
    </row>
    <row r="85" spans="1:8" s="221" customFormat="1" ht="15.75" x14ac:dyDescent="0.25">
      <c r="A85" s="45" t="s">
        <v>267</v>
      </c>
      <c r="B85" s="40" t="s">
        <v>981</v>
      </c>
      <c r="C85" s="40" t="s">
        <v>259</v>
      </c>
      <c r="D85" s="40" t="s">
        <v>230</v>
      </c>
      <c r="E85" s="40"/>
      <c r="F85" s="40"/>
      <c r="G85" s="10">
        <f>G86</f>
        <v>270</v>
      </c>
      <c r="H85" s="222"/>
    </row>
    <row r="86" spans="1:8" ht="31.5" x14ac:dyDescent="0.25">
      <c r="A86" s="25" t="s">
        <v>1147</v>
      </c>
      <c r="B86" s="20" t="s">
        <v>982</v>
      </c>
      <c r="C86" s="40" t="s">
        <v>259</v>
      </c>
      <c r="D86" s="40" t="s">
        <v>230</v>
      </c>
      <c r="E86" s="40"/>
      <c r="F86" s="40"/>
      <c r="G86" s="10">
        <f>G87</f>
        <v>270</v>
      </c>
    </row>
    <row r="87" spans="1:8" s="221" customFormat="1" ht="31.5" x14ac:dyDescent="0.25">
      <c r="A87" s="25" t="s">
        <v>146</v>
      </c>
      <c r="B87" s="20" t="s">
        <v>982</v>
      </c>
      <c r="C87" s="40" t="s">
        <v>259</v>
      </c>
      <c r="D87" s="40" t="s">
        <v>230</v>
      </c>
      <c r="E87" s="40" t="s">
        <v>147</v>
      </c>
      <c r="F87" s="40"/>
      <c r="G87" s="10">
        <f>G88</f>
        <v>270</v>
      </c>
      <c r="H87" s="222"/>
    </row>
    <row r="88" spans="1:8" s="221" customFormat="1" ht="31.5" x14ac:dyDescent="0.25">
      <c r="A88" s="25" t="s">
        <v>148</v>
      </c>
      <c r="B88" s="20" t="s">
        <v>982</v>
      </c>
      <c r="C88" s="40" t="s">
        <v>259</v>
      </c>
      <c r="D88" s="40" t="s">
        <v>230</v>
      </c>
      <c r="E88" s="40" t="s">
        <v>149</v>
      </c>
      <c r="F88" s="40"/>
      <c r="G88" s="10">
        <f>'Пр.3 Рд,пр, ЦС,ВР 20'!F916</f>
        <v>270</v>
      </c>
      <c r="H88" s="222"/>
    </row>
    <row r="89" spans="1:8" ht="47.25" x14ac:dyDescent="0.25">
      <c r="A89" s="45" t="s">
        <v>276</v>
      </c>
      <c r="B89" s="20" t="s">
        <v>982</v>
      </c>
      <c r="C89" s="40" t="s">
        <v>259</v>
      </c>
      <c r="D89" s="40" t="s">
        <v>230</v>
      </c>
      <c r="E89" s="40" t="s">
        <v>149</v>
      </c>
      <c r="F89" s="40" t="s">
        <v>642</v>
      </c>
      <c r="G89" s="10">
        <f>G88</f>
        <v>270</v>
      </c>
    </row>
    <row r="90" spans="1:8" s="221" customFormat="1" ht="15.75" x14ac:dyDescent="0.25">
      <c r="A90" s="25" t="s">
        <v>263</v>
      </c>
      <c r="B90" s="20" t="s">
        <v>982</v>
      </c>
      <c r="C90" s="40" t="s">
        <v>259</v>
      </c>
      <c r="D90" s="40" t="s">
        <v>230</v>
      </c>
      <c r="E90" s="40" t="s">
        <v>264</v>
      </c>
      <c r="F90" s="40"/>
      <c r="G90" s="10">
        <f>G91</f>
        <v>210</v>
      </c>
      <c r="H90" s="222"/>
    </row>
    <row r="91" spans="1:8" s="221" customFormat="1" ht="31.5" x14ac:dyDescent="0.25">
      <c r="A91" s="25" t="s">
        <v>363</v>
      </c>
      <c r="B91" s="20" t="s">
        <v>982</v>
      </c>
      <c r="C91" s="40" t="s">
        <v>259</v>
      </c>
      <c r="D91" s="40" t="s">
        <v>230</v>
      </c>
      <c r="E91" s="40" t="s">
        <v>364</v>
      </c>
      <c r="F91" s="40"/>
      <c r="G91" s="10">
        <f>G92</f>
        <v>210</v>
      </c>
      <c r="H91" s="222"/>
    </row>
    <row r="92" spans="1:8" s="221" customFormat="1" ht="47.25" x14ac:dyDescent="0.25">
      <c r="A92" s="45" t="s">
        <v>276</v>
      </c>
      <c r="B92" s="20" t="s">
        <v>982</v>
      </c>
      <c r="C92" s="40" t="s">
        <v>259</v>
      </c>
      <c r="D92" s="40" t="s">
        <v>230</v>
      </c>
      <c r="E92" s="40" t="s">
        <v>364</v>
      </c>
      <c r="F92" s="40" t="s">
        <v>642</v>
      </c>
      <c r="G92" s="10">
        <f>'Пр.4 ведом.20'!G466</f>
        <v>210</v>
      </c>
      <c r="H92" s="222"/>
    </row>
    <row r="93" spans="1:8" ht="31.5" x14ac:dyDescent="0.25">
      <c r="A93" s="58" t="s">
        <v>648</v>
      </c>
      <c r="B93" s="7" t="s">
        <v>377</v>
      </c>
      <c r="C93" s="7"/>
      <c r="D93" s="7"/>
      <c r="E93" s="7"/>
      <c r="F93" s="7"/>
      <c r="G93" s="59">
        <f t="shared" ref="G93" si="15">G95</f>
        <v>250</v>
      </c>
    </row>
    <row r="94" spans="1:8" s="221" customFormat="1" ht="47.25" x14ac:dyDescent="0.25">
      <c r="A94" s="23" t="s">
        <v>1208</v>
      </c>
      <c r="B94" s="24" t="s">
        <v>984</v>
      </c>
      <c r="C94" s="7"/>
      <c r="D94" s="7"/>
      <c r="E94" s="7"/>
      <c r="F94" s="7"/>
      <c r="G94" s="59">
        <f>G95</f>
        <v>250</v>
      </c>
      <c r="H94" s="222"/>
    </row>
    <row r="95" spans="1:8" ht="15.75" x14ac:dyDescent="0.25">
      <c r="A95" s="45" t="s">
        <v>258</v>
      </c>
      <c r="B95" s="40" t="s">
        <v>984</v>
      </c>
      <c r="C95" s="40" t="s">
        <v>259</v>
      </c>
      <c r="D95" s="40"/>
      <c r="E95" s="40"/>
      <c r="F95" s="40"/>
      <c r="G95" s="10">
        <f t="shared" ref="G95:G98" si="16">G96</f>
        <v>250</v>
      </c>
    </row>
    <row r="96" spans="1:8" ht="21.75" customHeight="1" x14ac:dyDescent="0.25">
      <c r="A96" s="45" t="s">
        <v>267</v>
      </c>
      <c r="B96" s="40" t="s">
        <v>984</v>
      </c>
      <c r="C96" s="40" t="s">
        <v>259</v>
      </c>
      <c r="D96" s="40" t="s">
        <v>230</v>
      </c>
      <c r="E96" s="40"/>
      <c r="F96" s="40"/>
      <c r="G96" s="10">
        <f>G97</f>
        <v>250</v>
      </c>
    </row>
    <row r="97" spans="1:8" ht="47.25" x14ac:dyDescent="0.25">
      <c r="A97" s="25" t="s">
        <v>1207</v>
      </c>
      <c r="B97" s="20" t="s">
        <v>983</v>
      </c>
      <c r="C97" s="40" t="s">
        <v>259</v>
      </c>
      <c r="D97" s="40" t="s">
        <v>230</v>
      </c>
      <c r="E97" s="40"/>
      <c r="F97" s="40"/>
      <c r="G97" s="10">
        <f t="shared" si="16"/>
        <v>250</v>
      </c>
    </row>
    <row r="98" spans="1:8" ht="15.75" x14ac:dyDescent="0.25">
      <c r="A98" s="25" t="s">
        <v>263</v>
      </c>
      <c r="B98" s="20" t="s">
        <v>983</v>
      </c>
      <c r="C98" s="40" t="s">
        <v>259</v>
      </c>
      <c r="D98" s="40" t="s">
        <v>230</v>
      </c>
      <c r="E98" s="40" t="s">
        <v>264</v>
      </c>
      <c r="F98" s="40"/>
      <c r="G98" s="10">
        <f t="shared" si="16"/>
        <v>250</v>
      </c>
    </row>
    <row r="99" spans="1:8" ht="31.5" x14ac:dyDescent="0.25">
      <c r="A99" s="25" t="s">
        <v>363</v>
      </c>
      <c r="B99" s="20" t="s">
        <v>983</v>
      </c>
      <c r="C99" s="40" t="s">
        <v>259</v>
      </c>
      <c r="D99" s="40" t="s">
        <v>230</v>
      </c>
      <c r="E99" s="40" t="s">
        <v>364</v>
      </c>
      <c r="F99" s="40"/>
      <c r="G99" s="10">
        <f>'Пр.4 ведом.20'!G471</f>
        <v>250</v>
      </c>
    </row>
    <row r="100" spans="1:8" ht="47.25" x14ac:dyDescent="0.25">
      <c r="A100" s="45" t="s">
        <v>276</v>
      </c>
      <c r="B100" s="20" t="s">
        <v>983</v>
      </c>
      <c r="C100" s="40" t="s">
        <v>259</v>
      </c>
      <c r="D100" s="40" t="s">
        <v>230</v>
      </c>
      <c r="E100" s="40" t="s">
        <v>364</v>
      </c>
      <c r="F100" s="40" t="s">
        <v>642</v>
      </c>
      <c r="G100" s="10">
        <f t="shared" ref="G100" si="17">G93</f>
        <v>250</v>
      </c>
    </row>
    <row r="101" spans="1:8" ht="47.25" x14ac:dyDescent="0.25">
      <c r="A101" s="58" t="s">
        <v>379</v>
      </c>
      <c r="B101" s="7" t="s">
        <v>380</v>
      </c>
      <c r="C101" s="7"/>
      <c r="D101" s="7"/>
      <c r="E101" s="7"/>
      <c r="F101" s="7"/>
      <c r="G101" s="59">
        <f t="shared" ref="G101" si="18">G103</f>
        <v>260</v>
      </c>
    </row>
    <row r="102" spans="1:8" s="221" customFormat="1" ht="31.5" x14ac:dyDescent="0.25">
      <c r="A102" s="23" t="s">
        <v>1145</v>
      </c>
      <c r="B102" s="24" t="s">
        <v>964</v>
      </c>
      <c r="C102" s="7"/>
      <c r="D102" s="7"/>
      <c r="E102" s="7"/>
      <c r="F102" s="7"/>
      <c r="G102" s="59">
        <f>G103</f>
        <v>260</v>
      </c>
      <c r="H102" s="222"/>
    </row>
    <row r="103" spans="1:8" ht="15.75" x14ac:dyDescent="0.25">
      <c r="A103" s="45" t="s">
        <v>313</v>
      </c>
      <c r="B103" s="40" t="s">
        <v>964</v>
      </c>
      <c r="C103" s="40" t="s">
        <v>314</v>
      </c>
      <c r="D103" s="40"/>
      <c r="E103" s="40"/>
      <c r="F103" s="40"/>
      <c r="G103" s="10">
        <f>G104</f>
        <v>260</v>
      </c>
    </row>
    <row r="104" spans="1:8" ht="15.75" x14ac:dyDescent="0.25">
      <c r="A104" s="45" t="s">
        <v>348</v>
      </c>
      <c r="B104" s="40" t="s">
        <v>964</v>
      </c>
      <c r="C104" s="40" t="s">
        <v>314</v>
      </c>
      <c r="D104" s="40" t="s">
        <v>165</v>
      </c>
      <c r="E104" s="40"/>
      <c r="F104" s="40"/>
      <c r="G104" s="10">
        <f>G105</f>
        <v>260</v>
      </c>
    </row>
    <row r="105" spans="1:8" ht="37.5" customHeight="1" x14ac:dyDescent="0.25">
      <c r="A105" s="29" t="s">
        <v>172</v>
      </c>
      <c r="B105" s="20" t="s">
        <v>1223</v>
      </c>
      <c r="C105" s="40" t="s">
        <v>314</v>
      </c>
      <c r="D105" s="40" t="s">
        <v>165</v>
      </c>
      <c r="E105" s="40"/>
      <c r="F105" s="40"/>
      <c r="G105" s="10">
        <f t="shared" ref="G105:G106" si="19">G106</f>
        <v>260</v>
      </c>
    </row>
    <row r="106" spans="1:8" ht="31.5" x14ac:dyDescent="0.25">
      <c r="A106" s="29" t="s">
        <v>146</v>
      </c>
      <c r="B106" s="20" t="s">
        <v>1223</v>
      </c>
      <c r="C106" s="40" t="s">
        <v>314</v>
      </c>
      <c r="D106" s="40" t="s">
        <v>165</v>
      </c>
      <c r="E106" s="40" t="s">
        <v>147</v>
      </c>
      <c r="F106" s="40"/>
      <c r="G106" s="10">
        <f t="shared" si="19"/>
        <v>260</v>
      </c>
    </row>
    <row r="107" spans="1:8" ht="31.5" x14ac:dyDescent="0.25">
      <c r="A107" s="29" t="s">
        <v>148</v>
      </c>
      <c r="B107" s="20" t="s">
        <v>1223</v>
      </c>
      <c r="C107" s="40" t="s">
        <v>314</v>
      </c>
      <c r="D107" s="40" t="s">
        <v>165</v>
      </c>
      <c r="E107" s="40" t="s">
        <v>149</v>
      </c>
      <c r="F107" s="40"/>
      <c r="G107" s="10">
        <f>'Пр.4 ведом.20'!G442</f>
        <v>260</v>
      </c>
    </row>
    <row r="108" spans="1:8" ht="47.25" x14ac:dyDescent="0.25">
      <c r="A108" s="45" t="s">
        <v>276</v>
      </c>
      <c r="B108" s="20" t="s">
        <v>1223</v>
      </c>
      <c r="C108" s="40" t="s">
        <v>314</v>
      </c>
      <c r="D108" s="40" t="s">
        <v>165</v>
      </c>
      <c r="E108" s="40" t="s">
        <v>149</v>
      </c>
      <c r="F108" s="40" t="s">
        <v>642</v>
      </c>
      <c r="G108" s="10">
        <f t="shared" ref="G108" si="20">G101</f>
        <v>260</v>
      </c>
    </row>
    <row r="109" spans="1:8" ht="47.25" x14ac:dyDescent="0.25">
      <c r="A109" s="41" t="s">
        <v>382</v>
      </c>
      <c r="B109" s="7" t="s">
        <v>383</v>
      </c>
      <c r="C109" s="7"/>
      <c r="D109" s="7"/>
      <c r="E109" s="7"/>
      <c r="F109" s="7"/>
      <c r="G109" s="59">
        <f>G110+G121+G132+G143</f>
        <v>270</v>
      </c>
    </row>
    <row r="110" spans="1:8" s="221" customFormat="1" ht="47.25" hidden="1" x14ac:dyDescent="0.25">
      <c r="A110" s="242" t="s">
        <v>1211</v>
      </c>
      <c r="B110" s="24" t="s">
        <v>935</v>
      </c>
      <c r="C110" s="7"/>
      <c r="D110" s="7"/>
      <c r="E110" s="7"/>
      <c r="F110" s="7"/>
      <c r="G110" s="59">
        <f>G111</f>
        <v>0</v>
      </c>
      <c r="H110" s="222"/>
    </row>
    <row r="111" spans="1:8" ht="15.75" hidden="1" x14ac:dyDescent="0.25">
      <c r="A111" s="45" t="s">
        <v>247</v>
      </c>
      <c r="B111" s="40" t="s">
        <v>935</v>
      </c>
      <c r="C111" s="40" t="s">
        <v>165</v>
      </c>
      <c r="D111" s="40"/>
      <c r="E111" s="40"/>
      <c r="F111" s="40"/>
      <c r="G111" s="10">
        <f t="shared" ref="G111" si="21">G112</f>
        <v>0</v>
      </c>
    </row>
    <row r="112" spans="1:8" ht="18" hidden="1" customHeight="1" x14ac:dyDescent="0.25">
      <c r="A112" s="45" t="s">
        <v>252</v>
      </c>
      <c r="B112" s="40" t="s">
        <v>935</v>
      </c>
      <c r="C112" s="40" t="s">
        <v>165</v>
      </c>
      <c r="D112" s="40" t="s">
        <v>253</v>
      </c>
      <c r="E112" s="40"/>
      <c r="F112" s="40"/>
      <c r="G112" s="10">
        <f>G113+G117</f>
        <v>0</v>
      </c>
    </row>
    <row r="113" spans="1:8" ht="31.7" hidden="1" customHeight="1" x14ac:dyDescent="0.25">
      <c r="A113" s="25" t="s">
        <v>390</v>
      </c>
      <c r="B113" s="20" t="s">
        <v>1212</v>
      </c>
      <c r="C113" s="40" t="s">
        <v>165</v>
      </c>
      <c r="D113" s="40" t="s">
        <v>253</v>
      </c>
      <c r="E113" s="40"/>
      <c r="F113" s="40"/>
      <c r="G113" s="10">
        <f t="shared" ref="G113" si="22">G114</f>
        <v>0</v>
      </c>
    </row>
    <row r="114" spans="1:8" ht="22.7" hidden="1" customHeight="1" x14ac:dyDescent="0.25">
      <c r="A114" s="25" t="s">
        <v>263</v>
      </c>
      <c r="B114" s="20" t="s">
        <v>1212</v>
      </c>
      <c r="C114" s="40" t="s">
        <v>165</v>
      </c>
      <c r="D114" s="40" t="s">
        <v>253</v>
      </c>
      <c r="E114" s="40" t="s">
        <v>264</v>
      </c>
      <c r="F114" s="40"/>
      <c r="G114" s="10">
        <f>G115</f>
        <v>0</v>
      </c>
    </row>
    <row r="115" spans="1:8" ht="31.5" hidden="1" x14ac:dyDescent="0.25">
      <c r="A115" s="25" t="s">
        <v>265</v>
      </c>
      <c r="B115" s="20" t="s">
        <v>1212</v>
      </c>
      <c r="C115" s="40" t="s">
        <v>165</v>
      </c>
      <c r="D115" s="40" t="s">
        <v>253</v>
      </c>
      <c r="E115" s="40" t="s">
        <v>266</v>
      </c>
      <c r="F115" s="40"/>
      <c r="G115" s="10">
        <f>'Пр.3 Рд,пр, ЦС,ВР 20'!F295</f>
        <v>0</v>
      </c>
    </row>
    <row r="116" spans="1:8" s="221" customFormat="1" ht="47.25" hidden="1" x14ac:dyDescent="0.25">
      <c r="A116" s="45" t="s">
        <v>276</v>
      </c>
      <c r="B116" s="20" t="s">
        <v>1212</v>
      </c>
      <c r="C116" s="40" t="s">
        <v>165</v>
      </c>
      <c r="D116" s="40" t="s">
        <v>253</v>
      </c>
      <c r="E116" s="40" t="s">
        <v>266</v>
      </c>
      <c r="F116" s="40" t="s">
        <v>642</v>
      </c>
      <c r="G116" s="10">
        <f>G115</f>
        <v>0</v>
      </c>
      <c r="H116" s="222"/>
    </row>
    <row r="117" spans="1:8" ht="54.75" hidden="1" customHeight="1" x14ac:dyDescent="0.25">
      <c r="A117" s="25" t="s">
        <v>390</v>
      </c>
      <c r="B117" s="20" t="s">
        <v>1213</v>
      </c>
      <c r="C117" s="40" t="s">
        <v>165</v>
      </c>
      <c r="D117" s="40" t="s">
        <v>253</v>
      </c>
      <c r="E117" s="40"/>
      <c r="F117" s="40"/>
      <c r="G117" s="10">
        <f>G118</f>
        <v>0</v>
      </c>
    </row>
    <row r="118" spans="1:8" ht="15.75" hidden="1" x14ac:dyDescent="0.25">
      <c r="A118" s="25" t="s">
        <v>263</v>
      </c>
      <c r="B118" s="20" t="s">
        <v>1213</v>
      </c>
      <c r="C118" s="40" t="s">
        <v>165</v>
      </c>
      <c r="D118" s="40" t="s">
        <v>253</v>
      </c>
      <c r="E118" s="40" t="s">
        <v>264</v>
      </c>
      <c r="F118" s="40"/>
      <c r="G118" s="10">
        <f>G119</f>
        <v>0</v>
      </c>
    </row>
    <row r="119" spans="1:8" ht="31.5" hidden="1" x14ac:dyDescent="0.25">
      <c r="A119" s="25" t="s">
        <v>265</v>
      </c>
      <c r="B119" s="20" t="s">
        <v>1213</v>
      </c>
      <c r="C119" s="40" t="s">
        <v>165</v>
      </c>
      <c r="D119" s="40" t="s">
        <v>253</v>
      </c>
      <c r="E119" s="40" t="s">
        <v>266</v>
      </c>
      <c r="F119" s="40"/>
      <c r="G119" s="10">
        <f>'Пр.3 Рд,пр, ЦС,ВР 20'!F298</f>
        <v>0</v>
      </c>
    </row>
    <row r="120" spans="1:8" s="221" customFormat="1" ht="47.25" hidden="1" x14ac:dyDescent="0.25">
      <c r="A120" s="45" t="s">
        <v>276</v>
      </c>
      <c r="B120" s="20" t="s">
        <v>1213</v>
      </c>
      <c r="C120" s="40" t="s">
        <v>165</v>
      </c>
      <c r="D120" s="40" t="s">
        <v>253</v>
      </c>
      <c r="E120" s="40" t="s">
        <v>266</v>
      </c>
      <c r="F120" s="40" t="s">
        <v>642</v>
      </c>
      <c r="G120" s="10">
        <f>G119</f>
        <v>0</v>
      </c>
      <c r="H120" s="222"/>
    </row>
    <row r="121" spans="1:8" ht="31.5" x14ac:dyDescent="0.25">
      <c r="A121" s="23" t="s">
        <v>1209</v>
      </c>
      <c r="B121" s="24" t="s">
        <v>936</v>
      </c>
      <c r="C121" s="7"/>
      <c r="D121" s="7"/>
      <c r="E121" s="7"/>
      <c r="F121" s="7"/>
      <c r="G121" s="59">
        <f>G124+G128</f>
        <v>260</v>
      </c>
    </row>
    <row r="122" spans="1:8" s="221" customFormat="1" ht="15.75" x14ac:dyDescent="0.25">
      <c r="A122" s="45" t="s">
        <v>247</v>
      </c>
      <c r="B122" s="40" t="s">
        <v>936</v>
      </c>
      <c r="C122" s="40" t="s">
        <v>165</v>
      </c>
      <c r="D122" s="40"/>
      <c r="E122" s="40"/>
      <c r="F122" s="40"/>
      <c r="G122" s="10">
        <f t="shared" ref="G122" si="23">G123</f>
        <v>260</v>
      </c>
      <c r="H122" s="222"/>
    </row>
    <row r="123" spans="1:8" s="221" customFormat="1" ht="15.75" x14ac:dyDescent="0.25">
      <c r="A123" s="45" t="s">
        <v>252</v>
      </c>
      <c r="B123" s="40" t="s">
        <v>936</v>
      </c>
      <c r="C123" s="40" t="s">
        <v>165</v>
      </c>
      <c r="D123" s="40" t="s">
        <v>253</v>
      </c>
      <c r="E123" s="40"/>
      <c r="F123" s="40"/>
      <c r="G123" s="10">
        <f>G124+G128</f>
        <v>260</v>
      </c>
      <c r="H123" s="222"/>
    </row>
    <row r="124" spans="1:8" s="221" customFormat="1" ht="31.5" x14ac:dyDescent="0.25">
      <c r="A124" s="25" t="s">
        <v>1210</v>
      </c>
      <c r="B124" s="20" t="s">
        <v>1214</v>
      </c>
      <c r="C124" s="40" t="s">
        <v>165</v>
      </c>
      <c r="D124" s="40" t="s">
        <v>253</v>
      </c>
      <c r="E124" s="40"/>
      <c r="F124" s="40"/>
      <c r="G124" s="10">
        <f>G125</f>
        <v>60</v>
      </c>
      <c r="H124" s="222"/>
    </row>
    <row r="125" spans="1:8" s="221" customFormat="1" ht="31.5" x14ac:dyDescent="0.25">
      <c r="A125" s="25" t="s">
        <v>287</v>
      </c>
      <c r="B125" s="20" t="s">
        <v>1214</v>
      </c>
      <c r="C125" s="40" t="s">
        <v>165</v>
      </c>
      <c r="D125" s="40" t="s">
        <v>253</v>
      </c>
      <c r="E125" s="40" t="s">
        <v>288</v>
      </c>
      <c r="F125" s="40"/>
      <c r="G125" s="10">
        <f>G126</f>
        <v>60</v>
      </c>
      <c r="H125" s="222"/>
    </row>
    <row r="126" spans="1:8" s="221" customFormat="1" ht="63" x14ac:dyDescent="0.25">
      <c r="A126" s="25" t="s">
        <v>1292</v>
      </c>
      <c r="B126" s="20" t="s">
        <v>1214</v>
      </c>
      <c r="C126" s="40" t="s">
        <v>165</v>
      </c>
      <c r="D126" s="40" t="s">
        <v>253</v>
      </c>
      <c r="E126" s="40" t="s">
        <v>387</v>
      </c>
      <c r="F126" s="40"/>
      <c r="G126" s="10">
        <f>'Пр.3 Рд,пр, ЦС,ВР 20'!F302</f>
        <v>60</v>
      </c>
      <c r="H126" s="222"/>
    </row>
    <row r="127" spans="1:8" s="221" customFormat="1" ht="47.25" x14ac:dyDescent="0.25">
      <c r="A127" s="45" t="s">
        <v>276</v>
      </c>
      <c r="B127" s="20" t="s">
        <v>1214</v>
      </c>
      <c r="C127" s="40" t="s">
        <v>165</v>
      </c>
      <c r="D127" s="40" t="s">
        <v>253</v>
      </c>
      <c r="E127" s="40" t="s">
        <v>387</v>
      </c>
      <c r="F127" s="40" t="s">
        <v>642</v>
      </c>
      <c r="G127" s="10">
        <f>G126</f>
        <v>60</v>
      </c>
      <c r="H127" s="222"/>
    </row>
    <row r="128" spans="1:8" s="221" customFormat="1" ht="110.25" x14ac:dyDescent="0.25">
      <c r="A128" s="25" t="s">
        <v>388</v>
      </c>
      <c r="B128" s="20" t="s">
        <v>1215</v>
      </c>
      <c r="C128" s="40" t="s">
        <v>165</v>
      </c>
      <c r="D128" s="40" t="s">
        <v>253</v>
      </c>
      <c r="E128" s="40"/>
      <c r="F128" s="40"/>
      <c r="G128" s="10">
        <f>G129</f>
        <v>200</v>
      </c>
      <c r="H128" s="222"/>
    </row>
    <row r="129" spans="1:8" s="221" customFormat="1" ht="31.5" x14ac:dyDescent="0.25">
      <c r="A129" s="25" t="s">
        <v>287</v>
      </c>
      <c r="B129" s="20" t="s">
        <v>1215</v>
      </c>
      <c r="C129" s="40" t="s">
        <v>165</v>
      </c>
      <c r="D129" s="40" t="s">
        <v>253</v>
      </c>
      <c r="E129" s="40" t="s">
        <v>288</v>
      </c>
      <c r="F129" s="40"/>
      <c r="G129" s="10">
        <f>G130</f>
        <v>200</v>
      </c>
      <c r="H129" s="222"/>
    </row>
    <row r="130" spans="1:8" s="221" customFormat="1" ht="63" x14ac:dyDescent="0.25">
      <c r="A130" s="25" t="s">
        <v>1292</v>
      </c>
      <c r="B130" s="20" t="s">
        <v>1215</v>
      </c>
      <c r="C130" s="40" t="s">
        <v>165</v>
      </c>
      <c r="D130" s="40" t="s">
        <v>253</v>
      </c>
      <c r="E130" s="40" t="s">
        <v>387</v>
      </c>
      <c r="F130" s="40"/>
      <c r="G130" s="10">
        <f>'Пр.3 Рд,пр, ЦС,ВР 20'!F305</f>
        <v>200</v>
      </c>
      <c r="H130" s="222"/>
    </row>
    <row r="131" spans="1:8" s="221" customFormat="1" ht="47.25" x14ac:dyDescent="0.25">
      <c r="A131" s="45" t="s">
        <v>276</v>
      </c>
      <c r="B131" s="20" t="s">
        <v>1215</v>
      </c>
      <c r="C131" s="40" t="s">
        <v>165</v>
      </c>
      <c r="D131" s="40" t="s">
        <v>253</v>
      </c>
      <c r="E131" s="40" t="s">
        <v>387</v>
      </c>
      <c r="F131" s="40" t="s">
        <v>642</v>
      </c>
      <c r="G131" s="10">
        <f>G130</f>
        <v>200</v>
      </c>
      <c r="H131" s="222"/>
    </row>
    <row r="132" spans="1:8" s="221" customFormat="1" ht="31.5" hidden="1" x14ac:dyDescent="0.25">
      <c r="A132" s="23" t="s">
        <v>1143</v>
      </c>
      <c r="B132" s="24" t="s">
        <v>937</v>
      </c>
      <c r="C132" s="7"/>
      <c r="D132" s="7"/>
      <c r="E132" s="7"/>
      <c r="F132" s="7"/>
      <c r="G132" s="59">
        <f>G135+G139</f>
        <v>0</v>
      </c>
      <c r="H132" s="222"/>
    </row>
    <row r="133" spans="1:8" s="221" customFormat="1" ht="15.75" hidden="1" x14ac:dyDescent="0.25">
      <c r="A133" s="45" t="s">
        <v>247</v>
      </c>
      <c r="B133" s="40" t="s">
        <v>937</v>
      </c>
      <c r="C133" s="40" t="s">
        <v>165</v>
      </c>
      <c r="D133" s="40"/>
      <c r="E133" s="40"/>
      <c r="F133" s="40"/>
      <c r="G133" s="10">
        <f t="shared" ref="G133" si="24">G134</f>
        <v>0</v>
      </c>
      <c r="H133" s="222"/>
    </row>
    <row r="134" spans="1:8" s="221" customFormat="1" ht="15.75" hidden="1" x14ac:dyDescent="0.25">
      <c r="A134" s="45" t="s">
        <v>252</v>
      </c>
      <c r="B134" s="40" t="s">
        <v>937</v>
      </c>
      <c r="C134" s="40" t="s">
        <v>165</v>
      </c>
      <c r="D134" s="40" t="s">
        <v>253</v>
      </c>
      <c r="E134" s="40"/>
      <c r="F134" s="40"/>
      <c r="G134" s="10">
        <f>G135+G139</f>
        <v>0</v>
      </c>
      <c r="H134" s="222"/>
    </row>
    <row r="135" spans="1:8" s="221" customFormat="1" ht="31.5" hidden="1" x14ac:dyDescent="0.25">
      <c r="A135" s="286" t="s">
        <v>1218</v>
      </c>
      <c r="B135" s="20" t="s">
        <v>1216</v>
      </c>
      <c r="C135" s="40" t="s">
        <v>165</v>
      </c>
      <c r="D135" s="40" t="s">
        <v>253</v>
      </c>
      <c r="E135" s="40"/>
      <c r="F135" s="40"/>
      <c r="G135" s="10">
        <f>G136</f>
        <v>0</v>
      </c>
      <c r="H135" s="222"/>
    </row>
    <row r="136" spans="1:8" s="221" customFormat="1" ht="31.5" hidden="1" x14ac:dyDescent="0.25">
      <c r="A136" s="25" t="s">
        <v>146</v>
      </c>
      <c r="B136" s="20" t="s">
        <v>1216</v>
      </c>
      <c r="C136" s="40" t="s">
        <v>165</v>
      </c>
      <c r="D136" s="40" t="s">
        <v>253</v>
      </c>
      <c r="E136" s="40" t="s">
        <v>147</v>
      </c>
      <c r="F136" s="40"/>
      <c r="G136" s="10">
        <f>G137</f>
        <v>0</v>
      </c>
      <c r="H136" s="222"/>
    </row>
    <row r="137" spans="1:8" s="221" customFormat="1" ht="31.5" hidden="1" x14ac:dyDescent="0.25">
      <c r="A137" s="25" t="s">
        <v>148</v>
      </c>
      <c r="B137" s="20" t="s">
        <v>1216</v>
      </c>
      <c r="C137" s="40" t="s">
        <v>165</v>
      </c>
      <c r="D137" s="40" t="s">
        <v>253</v>
      </c>
      <c r="E137" s="40" t="s">
        <v>149</v>
      </c>
      <c r="F137" s="40"/>
      <c r="G137" s="10">
        <f>'Пр.3 Рд,пр, ЦС,ВР 20'!F309</f>
        <v>0</v>
      </c>
      <c r="H137" s="222"/>
    </row>
    <row r="138" spans="1:8" s="221" customFormat="1" ht="47.25" hidden="1" x14ac:dyDescent="0.25">
      <c r="A138" s="45" t="s">
        <v>276</v>
      </c>
      <c r="B138" s="20" t="s">
        <v>1216</v>
      </c>
      <c r="C138" s="40" t="s">
        <v>165</v>
      </c>
      <c r="D138" s="40" t="s">
        <v>253</v>
      </c>
      <c r="E138" s="40" t="s">
        <v>149</v>
      </c>
      <c r="F138" s="9" t="s">
        <v>642</v>
      </c>
      <c r="G138" s="10">
        <f>G137</f>
        <v>0</v>
      </c>
      <c r="H138" s="222"/>
    </row>
    <row r="139" spans="1:8" s="221" customFormat="1" ht="31.5" hidden="1" x14ac:dyDescent="0.25">
      <c r="A139" s="25" t="s">
        <v>392</v>
      </c>
      <c r="B139" s="20" t="s">
        <v>1217</v>
      </c>
      <c r="C139" s="40" t="s">
        <v>165</v>
      </c>
      <c r="D139" s="40" t="s">
        <v>253</v>
      </c>
      <c r="E139" s="40"/>
      <c r="F139" s="40"/>
      <c r="G139" s="10">
        <f>G140</f>
        <v>0</v>
      </c>
      <c r="H139" s="222"/>
    </row>
    <row r="140" spans="1:8" s="221" customFormat="1" ht="31.5" hidden="1" x14ac:dyDescent="0.25">
      <c r="A140" s="25" t="s">
        <v>146</v>
      </c>
      <c r="B140" s="20" t="s">
        <v>1217</v>
      </c>
      <c r="C140" s="40" t="s">
        <v>165</v>
      </c>
      <c r="D140" s="40" t="s">
        <v>253</v>
      </c>
      <c r="E140" s="40" t="s">
        <v>147</v>
      </c>
      <c r="F140" s="40"/>
      <c r="G140" s="10">
        <f>G141</f>
        <v>0</v>
      </c>
      <c r="H140" s="222"/>
    </row>
    <row r="141" spans="1:8" s="221" customFormat="1" ht="31.5" hidden="1" x14ac:dyDescent="0.25">
      <c r="A141" s="25" t="s">
        <v>148</v>
      </c>
      <c r="B141" s="20" t="s">
        <v>1217</v>
      </c>
      <c r="C141" s="40" t="s">
        <v>165</v>
      </c>
      <c r="D141" s="40" t="s">
        <v>253</v>
      </c>
      <c r="E141" s="40" t="s">
        <v>149</v>
      </c>
      <c r="F141" s="40"/>
      <c r="G141" s="10">
        <f>'Пр.3 Рд,пр, ЦС,ВР 20'!F312</f>
        <v>0</v>
      </c>
      <c r="H141" s="222"/>
    </row>
    <row r="142" spans="1:8" ht="47.25" hidden="1" x14ac:dyDescent="0.25">
      <c r="A142" s="45" t="s">
        <v>276</v>
      </c>
      <c r="B142" s="20" t="s">
        <v>1217</v>
      </c>
      <c r="C142" s="40" t="s">
        <v>165</v>
      </c>
      <c r="D142" s="40" t="s">
        <v>253</v>
      </c>
      <c r="E142" s="40" t="s">
        <v>149</v>
      </c>
      <c r="F142" s="9" t="s">
        <v>642</v>
      </c>
      <c r="G142" s="10">
        <f>G141</f>
        <v>0</v>
      </c>
    </row>
    <row r="143" spans="1:8" s="221" customFormat="1" ht="31.5" x14ac:dyDescent="0.25">
      <c r="A143" s="239" t="s">
        <v>1310</v>
      </c>
      <c r="B143" s="24" t="s">
        <v>1309</v>
      </c>
      <c r="C143" s="7"/>
      <c r="D143" s="7"/>
      <c r="E143" s="7"/>
      <c r="F143" s="7"/>
      <c r="G143" s="59">
        <f>G144</f>
        <v>10</v>
      </c>
      <c r="H143" s="222"/>
    </row>
    <row r="144" spans="1:8" s="221" customFormat="1" ht="15.75" x14ac:dyDescent="0.25">
      <c r="A144" s="45" t="s">
        <v>247</v>
      </c>
      <c r="B144" s="40" t="s">
        <v>1309</v>
      </c>
      <c r="C144" s="40" t="s">
        <v>165</v>
      </c>
      <c r="D144" s="40"/>
      <c r="E144" s="40"/>
      <c r="F144" s="40"/>
      <c r="G144" s="10">
        <f t="shared" ref="G144" si="25">G145</f>
        <v>10</v>
      </c>
      <c r="H144" s="222"/>
    </row>
    <row r="145" spans="1:8" s="221" customFormat="1" ht="15.75" x14ac:dyDescent="0.25">
      <c r="A145" s="45" t="s">
        <v>252</v>
      </c>
      <c r="B145" s="40" t="s">
        <v>1309</v>
      </c>
      <c r="C145" s="40" t="s">
        <v>165</v>
      </c>
      <c r="D145" s="40" t="s">
        <v>253</v>
      </c>
      <c r="E145" s="40"/>
      <c r="F145" s="40"/>
      <c r="G145" s="10">
        <f>G146</f>
        <v>10</v>
      </c>
      <c r="H145" s="222"/>
    </row>
    <row r="146" spans="1:8" s="221" customFormat="1" ht="31.5" x14ac:dyDescent="0.25">
      <c r="A146" s="264" t="s">
        <v>1311</v>
      </c>
      <c r="B146" s="20" t="s">
        <v>1364</v>
      </c>
      <c r="C146" s="40" t="s">
        <v>165</v>
      </c>
      <c r="D146" s="40" t="s">
        <v>253</v>
      </c>
      <c r="E146" s="40"/>
      <c r="F146" s="40"/>
      <c r="G146" s="10">
        <f>G147</f>
        <v>10</v>
      </c>
      <c r="H146" s="222"/>
    </row>
    <row r="147" spans="1:8" s="221" customFormat="1" ht="31.5" x14ac:dyDescent="0.25">
      <c r="A147" s="25" t="s">
        <v>146</v>
      </c>
      <c r="B147" s="20" t="s">
        <v>1364</v>
      </c>
      <c r="C147" s="40" t="s">
        <v>165</v>
      </c>
      <c r="D147" s="40" t="s">
        <v>253</v>
      </c>
      <c r="E147" s="40" t="s">
        <v>147</v>
      </c>
      <c r="F147" s="40"/>
      <c r="G147" s="10">
        <f>G148</f>
        <v>10</v>
      </c>
      <c r="H147" s="222"/>
    </row>
    <row r="148" spans="1:8" s="221" customFormat="1" ht="31.5" x14ac:dyDescent="0.25">
      <c r="A148" s="25" t="s">
        <v>148</v>
      </c>
      <c r="B148" s="20" t="s">
        <v>1364</v>
      </c>
      <c r="C148" s="40" t="s">
        <v>165</v>
      </c>
      <c r="D148" s="40" t="s">
        <v>253</v>
      </c>
      <c r="E148" s="40" t="s">
        <v>149</v>
      </c>
      <c r="F148" s="40"/>
      <c r="G148" s="10">
        <f>'Пр.4 ведом.20'!G272</f>
        <v>10</v>
      </c>
      <c r="H148" s="222"/>
    </row>
    <row r="149" spans="1:8" s="221" customFormat="1" ht="47.25" x14ac:dyDescent="0.25">
      <c r="A149" s="45" t="s">
        <v>276</v>
      </c>
      <c r="B149" s="20" t="s">
        <v>1364</v>
      </c>
      <c r="C149" s="40" t="s">
        <v>165</v>
      </c>
      <c r="D149" s="40" t="s">
        <v>253</v>
      </c>
      <c r="E149" s="40" t="s">
        <v>149</v>
      </c>
      <c r="F149" s="9" t="s">
        <v>642</v>
      </c>
      <c r="G149" s="10">
        <f>G148</f>
        <v>10</v>
      </c>
      <c r="H149" s="222"/>
    </row>
    <row r="150" spans="1:8" ht="80.45" customHeight="1" x14ac:dyDescent="0.25">
      <c r="A150" s="41" t="s">
        <v>395</v>
      </c>
      <c r="B150" s="7" t="s">
        <v>396</v>
      </c>
      <c r="C150" s="7"/>
      <c r="D150" s="7"/>
      <c r="E150" s="7"/>
      <c r="F150" s="8"/>
      <c r="G150" s="59">
        <f>G151</f>
        <v>188.7</v>
      </c>
    </row>
    <row r="151" spans="1:8" s="221" customFormat="1" ht="59.25" customHeight="1" x14ac:dyDescent="0.25">
      <c r="A151" s="284" t="s">
        <v>1219</v>
      </c>
      <c r="B151" s="7" t="s">
        <v>931</v>
      </c>
      <c r="C151" s="7"/>
      <c r="D151" s="7"/>
      <c r="E151" s="7"/>
      <c r="F151" s="8"/>
      <c r="G151" s="59">
        <f>G152</f>
        <v>188.7</v>
      </c>
      <c r="H151" s="222"/>
    </row>
    <row r="152" spans="1:8" ht="15.75" x14ac:dyDescent="0.25">
      <c r="A152" s="45" t="s">
        <v>132</v>
      </c>
      <c r="B152" s="40" t="s">
        <v>931</v>
      </c>
      <c r="C152" s="40" t="s">
        <v>133</v>
      </c>
      <c r="D152" s="40"/>
      <c r="E152" s="40"/>
      <c r="F152" s="9"/>
      <c r="G152" s="10">
        <f t="shared" ref="G152:G155" si="26">G153</f>
        <v>188.7</v>
      </c>
    </row>
    <row r="153" spans="1:8" ht="21.2" customHeight="1" x14ac:dyDescent="0.25">
      <c r="A153" s="45" t="s">
        <v>154</v>
      </c>
      <c r="B153" s="40" t="s">
        <v>931</v>
      </c>
      <c r="C153" s="40" t="s">
        <v>133</v>
      </c>
      <c r="D153" s="40" t="s">
        <v>155</v>
      </c>
      <c r="E153" s="40"/>
      <c r="F153" s="9"/>
      <c r="G153" s="10">
        <f>G154+G158</f>
        <v>188.7</v>
      </c>
    </row>
    <row r="154" spans="1:8" ht="31.5" x14ac:dyDescent="0.25">
      <c r="A154" s="99" t="s">
        <v>1220</v>
      </c>
      <c r="B154" s="40" t="s">
        <v>932</v>
      </c>
      <c r="C154" s="40" t="s">
        <v>133</v>
      </c>
      <c r="D154" s="40" t="s">
        <v>155</v>
      </c>
      <c r="E154" s="40"/>
      <c r="F154" s="9"/>
      <c r="G154" s="10">
        <f t="shared" si="26"/>
        <v>188.7</v>
      </c>
    </row>
    <row r="155" spans="1:8" ht="31.5" x14ac:dyDescent="0.25">
      <c r="A155" s="29" t="s">
        <v>146</v>
      </c>
      <c r="B155" s="40" t="s">
        <v>932</v>
      </c>
      <c r="C155" s="40" t="s">
        <v>133</v>
      </c>
      <c r="D155" s="40" t="s">
        <v>155</v>
      </c>
      <c r="E155" s="40" t="s">
        <v>147</v>
      </c>
      <c r="F155" s="9"/>
      <c r="G155" s="10">
        <f t="shared" si="26"/>
        <v>188.7</v>
      </c>
    </row>
    <row r="156" spans="1:8" ht="31.5" x14ac:dyDescent="0.25">
      <c r="A156" s="29" t="s">
        <v>148</v>
      </c>
      <c r="B156" s="40" t="s">
        <v>932</v>
      </c>
      <c r="C156" s="40" t="s">
        <v>133</v>
      </c>
      <c r="D156" s="40" t="s">
        <v>155</v>
      </c>
      <c r="E156" s="40" t="s">
        <v>149</v>
      </c>
      <c r="F156" s="9"/>
      <c r="G156" s="10">
        <f>'Пр.3 Рд,пр, ЦС,ВР 20'!F166</f>
        <v>188.7</v>
      </c>
    </row>
    <row r="157" spans="1:8" s="221" customFormat="1" ht="47.25" x14ac:dyDescent="0.25">
      <c r="A157" s="45" t="s">
        <v>276</v>
      </c>
      <c r="B157" s="40" t="s">
        <v>932</v>
      </c>
      <c r="C157" s="40" t="s">
        <v>133</v>
      </c>
      <c r="D157" s="40" t="s">
        <v>155</v>
      </c>
      <c r="E157" s="40" t="s">
        <v>149</v>
      </c>
      <c r="F157" s="9" t="s">
        <v>642</v>
      </c>
      <c r="G157" s="10">
        <f>G156</f>
        <v>188.7</v>
      </c>
      <c r="H157" s="222"/>
    </row>
    <row r="158" spans="1:8" s="221" customFormat="1" ht="47.25" hidden="1" x14ac:dyDescent="0.25">
      <c r="A158" s="35" t="s">
        <v>934</v>
      </c>
      <c r="B158" s="20" t="s">
        <v>933</v>
      </c>
      <c r="C158" s="40" t="s">
        <v>133</v>
      </c>
      <c r="D158" s="40" t="s">
        <v>155</v>
      </c>
      <c r="E158" s="40"/>
      <c r="F158" s="9"/>
      <c r="G158" s="10">
        <f>G159</f>
        <v>0</v>
      </c>
      <c r="H158" s="222"/>
    </row>
    <row r="159" spans="1:8" s="221" customFormat="1" ht="31.5" hidden="1" x14ac:dyDescent="0.25">
      <c r="A159" s="25" t="s">
        <v>146</v>
      </c>
      <c r="B159" s="20" t="s">
        <v>933</v>
      </c>
      <c r="C159" s="40" t="s">
        <v>133</v>
      </c>
      <c r="D159" s="40" t="s">
        <v>155</v>
      </c>
      <c r="E159" s="40" t="s">
        <v>147</v>
      </c>
      <c r="F159" s="9"/>
      <c r="G159" s="10">
        <f>G160</f>
        <v>0</v>
      </c>
      <c r="H159" s="222"/>
    </row>
    <row r="160" spans="1:8" s="221" customFormat="1" ht="31.5" hidden="1" x14ac:dyDescent="0.25">
      <c r="A160" s="25" t="s">
        <v>148</v>
      </c>
      <c r="B160" s="20" t="s">
        <v>933</v>
      </c>
      <c r="C160" s="40" t="s">
        <v>133</v>
      </c>
      <c r="D160" s="40" t="s">
        <v>155</v>
      </c>
      <c r="E160" s="40" t="s">
        <v>149</v>
      </c>
      <c r="F160" s="9"/>
      <c r="G160" s="10">
        <f>'Пр.3 Рд,пр, ЦС,ВР 20'!F169</f>
        <v>0</v>
      </c>
      <c r="H160" s="222"/>
    </row>
    <row r="161" spans="1:9" ht="47.25" hidden="1" x14ac:dyDescent="0.25">
      <c r="A161" s="45" t="s">
        <v>276</v>
      </c>
      <c r="B161" s="20" t="s">
        <v>933</v>
      </c>
      <c r="C161" s="40" t="s">
        <v>133</v>
      </c>
      <c r="D161" s="40" t="s">
        <v>155</v>
      </c>
      <c r="E161" s="40" t="s">
        <v>149</v>
      </c>
      <c r="F161" s="9" t="s">
        <v>642</v>
      </c>
      <c r="G161" s="10">
        <f>G160</f>
        <v>0</v>
      </c>
    </row>
    <row r="162" spans="1:9" ht="47.25" x14ac:dyDescent="0.25">
      <c r="A162" s="58" t="s">
        <v>441</v>
      </c>
      <c r="B162" s="7" t="s">
        <v>421</v>
      </c>
      <c r="C162" s="7"/>
      <c r="D162" s="7"/>
      <c r="E162" s="7"/>
      <c r="F162" s="7"/>
      <c r="G162" s="59">
        <f>G163+G258+G311+G382+G390</f>
        <v>340831.55900000007</v>
      </c>
      <c r="H162" s="222">
        <v>269740.2</v>
      </c>
      <c r="I162" s="22">
        <f>H162-G162</f>
        <v>-71091.359000000055</v>
      </c>
    </row>
    <row r="163" spans="1:9" ht="31.5" x14ac:dyDescent="0.25">
      <c r="A163" s="41" t="s">
        <v>422</v>
      </c>
      <c r="B163" s="7" t="s">
        <v>423</v>
      </c>
      <c r="C163" s="7"/>
      <c r="D163" s="7"/>
      <c r="E163" s="7"/>
      <c r="F163" s="7"/>
      <c r="G163" s="59">
        <f>G164+G193</f>
        <v>312870.40000000002</v>
      </c>
    </row>
    <row r="164" spans="1:9" s="221" customFormat="1" ht="31.5" x14ac:dyDescent="0.25">
      <c r="A164" s="23" t="s">
        <v>1026</v>
      </c>
      <c r="B164" s="24" t="s">
        <v>1004</v>
      </c>
      <c r="C164" s="7"/>
      <c r="D164" s="7"/>
      <c r="E164" s="7"/>
      <c r="F164" s="7"/>
      <c r="G164" s="59">
        <f>G165</f>
        <v>72971</v>
      </c>
      <c r="H164" s="222"/>
    </row>
    <row r="165" spans="1:9" ht="15.75" x14ac:dyDescent="0.25">
      <c r="A165" s="29" t="s">
        <v>278</v>
      </c>
      <c r="B165" s="40" t="s">
        <v>1004</v>
      </c>
      <c r="C165" s="40" t="s">
        <v>279</v>
      </c>
      <c r="D165" s="40"/>
      <c r="E165" s="40"/>
      <c r="F165" s="40"/>
      <c r="G165" s="10">
        <f>G166+G175+G188</f>
        <v>72971</v>
      </c>
    </row>
    <row r="166" spans="1:9" ht="15.75" x14ac:dyDescent="0.25">
      <c r="A166" s="45" t="s">
        <v>419</v>
      </c>
      <c r="B166" s="40" t="s">
        <v>1004</v>
      </c>
      <c r="C166" s="40" t="s">
        <v>279</v>
      </c>
      <c r="D166" s="40" t="s">
        <v>133</v>
      </c>
      <c r="E166" s="40"/>
      <c r="F166" s="40"/>
      <c r="G166" s="10">
        <f>G167+G171</f>
        <v>13017</v>
      </c>
    </row>
    <row r="167" spans="1:9" ht="47.25" x14ac:dyDescent="0.25">
      <c r="A167" s="25" t="s">
        <v>1061</v>
      </c>
      <c r="B167" s="20" t="s">
        <v>1060</v>
      </c>
      <c r="C167" s="40" t="s">
        <v>279</v>
      </c>
      <c r="D167" s="40" t="s">
        <v>133</v>
      </c>
      <c r="E167" s="40"/>
      <c r="F167" s="40"/>
      <c r="G167" s="10">
        <f t="shared" ref="G167:G168" si="27">G168</f>
        <v>8823.6999999999989</v>
      </c>
    </row>
    <row r="168" spans="1:9" ht="31.5" x14ac:dyDescent="0.25">
      <c r="A168" s="25" t="s">
        <v>287</v>
      </c>
      <c r="B168" s="20" t="s">
        <v>1060</v>
      </c>
      <c r="C168" s="40" t="s">
        <v>279</v>
      </c>
      <c r="D168" s="40" t="s">
        <v>133</v>
      </c>
      <c r="E168" s="40" t="s">
        <v>288</v>
      </c>
      <c r="F168" s="40"/>
      <c r="G168" s="10">
        <f t="shared" si="27"/>
        <v>8823.6999999999989</v>
      </c>
    </row>
    <row r="169" spans="1:9" ht="15.75" x14ac:dyDescent="0.25">
      <c r="A169" s="25" t="s">
        <v>289</v>
      </c>
      <c r="B169" s="20" t="s">
        <v>1060</v>
      </c>
      <c r="C169" s="40" t="s">
        <v>279</v>
      </c>
      <c r="D169" s="40" t="s">
        <v>133</v>
      </c>
      <c r="E169" s="40" t="s">
        <v>290</v>
      </c>
      <c r="F169" s="40"/>
      <c r="G169" s="6">
        <f>'Пр.3 Рд,пр, ЦС,ВР 20'!F500</f>
        <v>8823.6999999999989</v>
      </c>
    </row>
    <row r="170" spans="1:9" s="221" customFormat="1" ht="31.5" x14ac:dyDescent="0.25">
      <c r="A170" s="29" t="s">
        <v>418</v>
      </c>
      <c r="B170" s="20" t="s">
        <v>1060</v>
      </c>
      <c r="C170" s="40" t="s">
        <v>279</v>
      </c>
      <c r="D170" s="40" t="s">
        <v>133</v>
      </c>
      <c r="E170" s="40" t="s">
        <v>290</v>
      </c>
      <c r="F170" s="40" t="s">
        <v>651</v>
      </c>
      <c r="G170" s="10">
        <f>G169</f>
        <v>8823.6999999999989</v>
      </c>
      <c r="H170" s="222"/>
    </row>
    <row r="171" spans="1:9" s="221" customFormat="1" ht="47.25" x14ac:dyDescent="0.25">
      <c r="A171" s="25" t="s">
        <v>1238</v>
      </c>
      <c r="B171" s="20" t="s">
        <v>1062</v>
      </c>
      <c r="C171" s="40" t="s">
        <v>279</v>
      </c>
      <c r="D171" s="40" t="s">
        <v>133</v>
      </c>
      <c r="E171" s="40"/>
      <c r="F171" s="40"/>
      <c r="G171" s="6">
        <f>G172</f>
        <v>4193.3</v>
      </c>
      <c r="H171" s="222"/>
    </row>
    <row r="172" spans="1:9" s="221" customFormat="1" ht="31.5" x14ac:dyDescent="0.25">
      <c r="A172" s="25" t="s">
        <v>287</v>
      </c>
      <c r="B172" s="20" t="s">
        <v>1062</v>
      </c>
      <c r="C172" s="40" t="s">
        <v>279</v>
      </c>
      <c r="D172" s="40" t="s">
        <v>133</v>
      </c>
      <c r="E172" s="40" t="s">
        <v>288</v>
      </c>
      <c r="F172" s="40"/>
      <c r="G172" s="6">
        <f>G173</f>
        <v>4193.3</v>
      </c>
      <c r="H172" s="222"/>
    </row>
    <row r="173" spans="1:9" s="221" customFormat="1" ht="15.75" x14ac:dyDescent="0.25">
      <c r="A173" s="25" t="s">
        <v>289</v>
      </c>
      <c r="B173" s="20" t="s">
        <v>1062</v>
      </c>
      <c r="C173" s="40" t="s">
        <v>279</v>
      </c>
      <c r="D173" s="40" t="s">
        <v>133</v>
      </c>
      <c r="E173" s="40" t="s">
        <v>290</v>
      </c>
      <c r="F173" s="40"/>
      <c r="G173" s="6">
        <f>'Пр.3 Рд,пр, ЦС,ВР 20'!F503</f>
        <v>4193.3</v>
      </c>
      <c r="H173" s="222"/>
    </row>
    <row r="174" spans="1:9" s="221" customFormat="1" ht="31.5" x14ac:dyDescent="0.25">
      <c r="A174" s="29" t="s">
        <v>418</v>
      </c>
      <c r="B174" s="20" t="s">
        <v>1062</v>
      </c>
      <c r="C174" s="40" t="s">
        <v>279</v>
      </c>
      <c r="D174" s="40" t="s">
        <v>133</v>
      </c>
      <c r="E174" s="40" t="s">
        <v>290</v>
      </c>
      <c r="F174" s="40" t="s">
        <v>651</v>
      </c>
      <c r="G174" s="10">
        <f>G173</f>
        <v>4193.3</v>
      </c>
      <c r="H174" s="222"/>
    </row>
    <row r="175" spans="1:9" s="221" customFormat="1" ht="15.75" x14ac:dyDescent="0.25">
      <c r="A175" s="29" t="s">
        <v>440</v>
      </c>
      <c r="B175" s="40" t="s">
        <v>1004</v>
      </c>
      <c r="C175" s="40" t="s">
        <v>279</v>
      </c>
      <c r="D175" s="40" t="s">
        <v>228</v>
      </c>
      <c r="E175" s="40"/>
      <c r="F175" s="40"/>
      <c r="G175" s="10">
        <f>G176+G180+G184</f>
        <v>27339</v>
      </c>
      <c r="H175" s="222"/>
    </row>
    <row r="176" spans="1:9" s="221" customFormat="1" ht="47.25" x14ac:dyDescent="0.25">
      <c r="A176" s="25" t="s">
        <v>1462</v>
      </c>
      <c r="B176" s="20" t="s">
        <v>1063</v>
      </c>
      <c r="C176" s="40" t="s">
        <v>279</v>
      </c>
      <c r="D176" s="40" t="s">
        <v>228</v>
      </c>
      <c r="E176" s="40"/>
      <c r="F176" s="40"/>
      <c r="G176" s="10">
        <f t="shared" ref="G176:G177" si="28">G177</f>
        <v>9301.4000000000015</v>
      </c>
      <c r="H176" s="222"/>
    </row>
    <row r="177" spans="1:8" s="221" customFormat="1" ht="31.5" x14ac:dyDescent="0.25">
      <c r="A177" s="25" t="s">
        <v>287</v>
      </c>
      <c r="B177" s="20" t="s">
        <v>1063</v>
      </c>
      <c r="C177" s="40" t="s">
        <v>279</v>
      </c>
      <c r="D177" s="40" t="s">
        <v>228</v>
      </c>
      <c r="E177" s="40" t="s">
        <v>288</v>
      </c>
      <c r="F177" s="40"/>
      <c r="G177" s="10">
        <f t="shared" si="28"/>
        <v>9301.4000000000015</v>
      </c>
      <c r="H177" s="222"/>
    </row>
    <row r="178" spans="1:8" s="221" customFormat="1" ht="15.75" x14ac:dyDescent="0.25">
      <c r="A178" s="25" t="s">
        <v>289</v>
      </c>
      <c r="B178" s="20" t="s">
        <v>1063</v>
      </c>
      <c r="C178" s="40" t="s">
        <v>279</v>
      </c>
      <c r="D178" s="40" t="s">
        <v>228</v>
      </c>
      <c r="E178" s="40" t="s">
        <v>290</v>
      </c>
      <c r="F178" s="40"/>
      <c r="G178" s="6">
        <f>'Пр.3 Рд,пр, ЦС,ВР 20'!F571</f>
        <v>9301.4000000000015</v>
      </c>
      <c r="H178" s="222"/>
    </row>
    <row r="179" spans="1:8" s="221" customFormat="1" ht="31.5" x14ac:dyDescent="0.25">
      <c r="A179" s="29" t="s">
        <v>418</v>
      </c>
      <c r="B179" s="20" t="s">
        <v>1063</v>
      </c>
      <c r="C179" s="40" t="s">
        <v>279</v>
      </c>
      <c r="D179" s="40" t="s">
        <v>228</v>
      </c>
      <c r="E179" s="40" t="s">
        <v>290</v>
      </c>
      <c r="F179" s="40" t="s">
        <v>651</v>
      </c>
      <c r="G179" s="10">
        <f>G178</f>
        <v>9301.4000000000015</v>
      </c>
      <c r="H179" s="222"/>
    </row>
    <row r="180" spans="1:8" s="221" customFormat="1" ht="47.25" x14ac:dyDescent="0.25">
      <c r="A180" s="25" t="s">
        <v>1067</v>
      </c>
      <c r="B180" s="20" t="s">
        <v>1064</v>
      </c>
      <c r="C180" s="40" t="s">
        <v>279</v>
      </c>
      <c r="D180" s="40" t="s">
        <v>228</v>
      </c>
      <c r="E180" s="40"/>
      <c r="F180" s="40"/>
      <c r="G180" s="6">
        <f>G181</f>
        <v>11361.7</v>
      </c>
      <c r="H180" s="222"/>
    </row>
    <row r="181" spans="1:8" s="221" customFormat="1" ht="31.5" x14ac:dyDescent="0.25">
      <c r="A181" s="25" t="s">
        <v>287</v>
      </c>
      <c r="B181" s="20" t="s">
        <v>1064</v>
      </c>
      <c r="C181" s="40" t="s">
        <v>279</v>
      </c>
      <c r="D181" s="40" t="s">
        <v>228</v>
      </c>
      <c r="E181" s="40" t="s">
        <v>288</v>
      </c>
      <c r="F181" s="40"/>
      <c r="G181" s="6">
        <f>G182</f>
        <v>11361.7</v>
      </c>
      <c r="H181" s="222"/>
    </row>
    <row r="182" spans="1:8" s="221" customFormat="1" ht="15.75" x14ac:dyDescent="0.25">
      <c r="A182" s="25" t="s">
        <v>289</v>
      </c>
      <c r="B182" s="20" t="s">
        <v>1064</v>
      </c>
      <c r="C182" s="40" t="s">
        <v>279</v>
      </c>
      <c r="D182" s="40" t="s">
        <v>228</v>
      </c>
      <c r="E182" s="40" t="s">
        <v>290</v>
      </c>
      <c r="F182" s="40"/>
      <c r="G182" s="6">
        <f>'Пр.3 Рд,пр, ЦС,ВР 20'!F574</f>
        <v>11361.7</v>
      </c>
      <c r="H182" s="222"/>
    </row>
    <row r="183" spans="1:8" s="221" customFormat="1" ht="31.5" x14ac:dyDescent="0.25">
      <c r="A183" s="29" t="s">
        <v>418</v>
      </c>
      <c r="B183" s="20" t="s">
        <v>1064</v>
      </c>
      <c r="C183" s="40" t="s">
        <v>279</v>
      </c>
      <c r="D183" s="40" t="s">
        <v>228</v>
      </c>
      <c r="E183" s="40" t="s">
        <v>290</v>
      </c>
      <c r="F183" s="40" t="s">
        <v>651</v>
      </c>
      <c r="G183" s="10">
        <f>G182</f>
        <v>11361.7</v>
      </c>
      <c r="H183" s="222"/>
    </row>
    <row r="184" spans="1:8" s="221" customFormat="1" ht="47.25" x14ac:dyDescent="0.25">
      <c r="A184" s="25" t="s">
        <v>1068</v>
      </c>
      <c r="B184" s="20" t="s">
        <v>1065</v>
      </c>
      <c r="C184" s="40" t="s">
        <v>279</v>
      </c>
      <c r="D184" s="40" t="s">
        <v>228</v>
      </c>
      <c r="E184" s="40"/>
      <c r="F184" s="40"/>
      <c r="G184" s="6">
        <f>G185</f>
        <v>6675.9</v>
      </c>
      <c r="H184" s="222"/>
    </row>
    <row r="185" spans="1:8" s="221" customFormat="1" ht="31.5" x14ac:dyDescent="0.25">
      <c r="A185" s="25" t="s">
        <v>287</v>
      </c>
      <c r="B185" s="20" t="s">
        <v>1065</v>
      </c>
      <c r="C185" s="40" t="s">
        <v>279</v>
      </c>
      <c r="D185" s="40" t="s">
        <v>228</v>
      </c>
      <c r="E185" s="40" t="s">
        <v>288</v>
      </c>
      <c r="F185" s="40"/>
      <c r="G185" s="6">
        <f>G186</f>
        <v>6675.9</v>
      </c>
      <c r="H185" s="222"/>
    </row>
    <row r="186" spans="1:8" s="221" customFormat="1" ht="15.75" x14ac:dyDescent="0.25">
      <c r="A186" s="25" t="s">
        <v>289</v>
      </c>
      <c r="B186" s="20" t="s">
        <v>1065</v>
      </c>
      <c r="C186" s="40" t="s">
        <v>279</v>
      </c>
      <c r="D186" s="40" t="s">
        <v>228</v>
      </c>
      <c r="E186" s="40" t="s">
        <v>290</v>
      </c>
      <c r="F186" s="40"/>
      <c r="G186" s="6">
        <f>'Пр.3 Рд,пр, ЦС,ВР 20'!F577</f>
        <v>6675.9</v>
      </c>
      <c r="H186" s="222"/>
    </row>
    <row r="187" spans="1:8" s="221" customFormat="1" ht="31.5" x14ac:dyDescent="0.25">
      <c r="A187" s="29" t="s">
        <v>418</v>
      </c>
      <c r="B187" s="20" t="s">
        <v>1065</v>
      </c>
      <c r="C187" s="40" t="s">
        <v>279</v>
      </c>
      <c r="D187" s="40" t="s">
        <v>228</v>
      </c>
      <c r="E187" s="40" t="s">
        <v>290</v>
      </c>
      <c r="F187" s="40" t="s">
        <v>651</v>
      </c>
      <c r="G187" s="10">
        <f>G186</f>
        <v>6675.9</v>
      </c>
      <c r="H187" s="222"/>
    </row>
    <row r="188" spans="1:8" s="221" customFormat="1" ht="15.75" x14ac:dyDescent="0.25">
      <c r="A188" s="29" t="s">
        <v>280</v>
      </c>
      <c r="B188" s="40" t="s">
        <v>1004</v>
      </c>
      <c r="C188" s="40" t="s">
        <v>279</v>
      </c>
      <c r="D188" s="40" t="s">
        <v>230</v>
      </c>
      <c r="E188" s="40"/>
      <c r="F188" s="40"/>
      <c r="G188" s="6">
        <f t="shared" ref="G188" si="29">G189</f>
        <v>32614.999999999996</v>
      </c>
      <c r="H188" s="222"/>
    </row>
    <row r="189" spans="1:8" s="221" customFormat="1" ht="47.25" x14ac:dyDescent="0.25">
      <c r="A189" s="29" t="s">
        <v>285</v>
      </c>
      <c r="B189" s="20" t="s">
        <v>1049</v>
      </c>
      <c r="C189" s="40" t="s">
        <v>279</v>
      </c>
      <c r="D189" s="40" t="s">
        <v>230</v>
      </c>
      <c r="E189" s="7"/>
      <c r="F189" s="7"/>
      <c r="G189" s="10">
        <f t="shared" ref="G189:G190" si="30">G190</f>
        <v>32614.999999999996</v>
      </c>
      <c r="H189" s="222"/>
    </row>
    <row r="190" spans="1:8" s="221" customFormat="1" ht="31.5" x14ac:dyDescent="0.25">
      <c r="A190" s="29" t="s">
        <v>287</v>
      </c>
      <c r="B190" s="20" t="s">
        <v>1049</v>
      </c>
      <c r="C190" s="40" t="s">
        <v>279</v>
      </c>
      <c r="D190" s="40" t="s">
        <v>230</v>
      </c>
      <c r="E190" s="40" t="s">
        <v>288</v>
      </c>
      <c r="F190" s="40"/>
      <c r="G190" s="10">
        <f t="shared" si="30"/>
        <v>32614.999999999996</v>
      </c>
      <c r="H190" s="222"/>
    </row>
    <row r="191" spans="1:8" s="221" customFormat="1" ht="15.75" x14ac:dyDescent="0.25">
      <c r="A191" s="29" t="s">
        <v>289</v>
      </c>
      <c r="B191" s="20" t="s">
        <v>1049</v>
      </c>
      <c r="C191" s="40" t="s">
        <v>279</v>
      </c>
      <c r="D191" s="40" t="s">
        <v>230</v>
      </c>
      <c r="E191" s="40" t="s">
        <v>290</v>
      </c>
      <c r="F191" s="40"/>
      <c r="G191" s="6">
        <f>'Пр.3 Рд,пр, ЦС,ВР 20'!F659</f>
        <v>32614.999999999996</v>
      </c>
      <c r="H191" s="222"/>
    </row>
    <row r="192" spans="1:8" s="221" customFormat="1" ht="31.5" x14ac:dyDescent="0.25">
      <c r="A192" s="29" t="s">
        <v>418</v>
      </c>
      <c r="B192" s="20" t="s">
        <v>1049</v>
      </c>
      <c r="C192" s="40" t="s">
        <v>279</v>
      </c>
      <c r="D192" s="40" t="s">
        <v>230</v>
      </c>
      <c r="E192" s="40" t="s">
        <v>290</v>
      </c>
      <c r="F192" s="40" t="s">
        <v>651</v>
      </c>
      <c r="G192" s="10">
        <f>G191</f>
        <v>32614.999999999996</v>
      </c>
      <c r="H192" s="222"/>
    </row>
    <row r="193" spans="1:8" s="221" customFormat="1" ht="47.25" x14ac:dyDescent="0.25">
      <c r="A193" s="23" t="s">
        <v>969</v>
      </c>
      <c r="B193" s="24" t="s">
        <v>1019</v>
      </c>
      <c r="C193" s="7"/>
      <c r="D193" s="7"/>
      <c r="E193" s="7"/>
      <c r="F193" s="7"/>
      <c r="G193" s="4">
        <f>G194</f>
        <v>239899.40000000002</v>
      </c>
      <c r="H193" s="222"/>
    </row>
    <row r="194" spans="1:8" s="221" customFormat="1" ht="15.75" x14ac:dyDescent="0.25">
      <c r="A194" s="29" t="s">
        <v>278</v>
      </c>
      <c r="B194" s="40" t="s">
        <v>1019</v>
      </c>
      <c r="C194" s="40" t="s">
        <v>279</v>
      </c>
      <c r="D194" s="40"/>
      <c r="E194" s="40"/>
      <c r="F194" s="40"/>
      <c r="G194" s="10">
        <f>G195+G216+G241</f>
        <v>239899.40000000002</v>
      </c>
      <c r="H194" s="222"/>
    </row>
    <row r="195" spans="1:8" s="221" customFormat="1" ht="15.75" x14ac:dyDescent="0.25">
      <c r="A195" s="45" t="s">
        <v>419</v>
      </c>
      <c r="B195" s="40" t="s">
        <v>1019</v>
      </c>
      <c r="C195" s="40" t="s">
        <v>279</v>
      </c>
      <c r="D195" s="40" t="s">
        <v>133</v>
      </c>
      <c r="E195" s="40"/>
      <c r="F195" s="40"/>
      <c r="G195" s="10">
        <f>G200+G204+G208+G212+G196</f>
        <v>85840.5</v>
      </c>
      <c r="H195" s="222"/>
    </row>
    <row r="196" spans="1:8" s="361" customFormat="1" ht="94.5" x14ac:dyDescent="0.25">
      <c r="A196" s="31" t="s">
        <v>308</v>
      </c>
      <c r="B196" s="368" t="s">
        <v>1523</v>
      </c>
      <c r="C196" s="376" t="s">
        <v>279</v>
      </c>
      <c r="D196" s="376" t="s">
        <v>133</v>
      </c>
      <c r="E196" s="376"/>
      <c r="F196" s="376"/>
      <c r="G196" s="365">
        <f>G197</f>
        <v>1966.1</v>
      </c>
      <c r="H196" s="362"/>
    </row>
    <row r="197" spans="1:8" s="361" customFormat="1" ht="31.5" x14ac:dyDescent="0.25">
      <c r="A197" s="372" t="s">
        <v>287</v>
      </c>
      <c r="B197" s="368" t="s">
        <v>1523</v>
      </c>
      <c r="C197" s="376" t="s">
        <v>279</v>
      </c>
      <c r="D197" s="376" t="s">
        <v>133</v>
      </c>
      <c r="E197" s="376" t="s">
        <v>288</v>
      </c>
      <c r="F197" s="376"/>
      <c r="G197" s="365">
        <f>G198</f>
        <v>1966.1</v>
      </c>
      <c r="H197" s="362"/>
    </row>
    <row r="198" spans="1:8" s="361" customFormat="1" ht="15.75" x14ac:dyDescent="0.25">
      <c r="A198" s="372" t="s">
        <v>289</v>
      </c>
      <c r="B198" s="368" t="s">
        <v>1523</v>
      </c>
      <c r="C198" s="376" t="s">
        <v>279</v>
      </c>
      <c r="D198" s="376" t="s">
        <v>133</v>
      </c>
      <c r="E198" s="376" t="s">
        <v>290</v>
      </c>
      <c r="F198" s="376"/>
      <c r="G198" s="365">
        <f>'Пр.4 ведом.20'!G565</f>
        <v>1966.1</v>
      </c>
      <c r="H198" s="362"/>
    </row>
    <row r="199" spans="1:8" s="361" customFormat="1" ht="31.5" x14ac:dyDescent="0.25">
      <c r="A199" s="375" t="s">
        <v>418</v>
      </c>
      <c r="B199" s="376"/>
      <c r="C199" s="376" t="s">
        <v>279</v>
      </c>
      <c r="D199" s="376" t="s">
        <v>133</v>
      </c>
      <c r="E199" s="376" t="s">
        <v>290</v>
      </c>
      <c r="F199" s="376" t="s">
        <v>651</v>
      </c>
      <c r="G199" s="365">
        <f>G196</f>
        <v>1966.1</v>
      </c>
      <c r="H199" s="362"/>
    </row>
    <row r="200" spans="1:8" s="221" customFormat="1" ht="63" x14ac:dyDescent="0.25">
      <c r="A200" s="31" t="s">
        <v>304</v>
      </c>
      <c r="B200" s="20" t="s">
        <v>1018</v>
      </c>
      <c r="C200" s="40" t="s">
        <v>279</v>
      </c>
      <c r="D200" s="40" t="s">
        <v>133</v>
      </c>
      <c r="E200" s="40"/>
      <c r="F200" s="40"/>
      <c r="G200" s="6">
        <f>G201</f>
        <v>559.70000000000005</v>
      </c>
      <c r="H200" s="222"/>
    </row>
    <row r="201" spans="1:8" s="221" customFormat="1" ht="31.5" x14ac:dyDescent="0.25">
      <c r="A201" s="25" t="s">
        <v>287</v>
      </c>
      <c r="B201" s="20" t="s">
        <v>1018</v>
      </c>
      <c r="C201" s="40" t="s">
        <v>279</v>
      </c>
      <c r="D201" s="40" t="s">
        <v>133</v>
      </c>
      <c r="E201" s="40" t="s">
        <v>288</v>
      </c>
      <c r="F201" s="40"/>
      <c r="G201" s="6">
        <f>G202</f>
        <v>559.70000000000005</v>
      </c>
      <c r="H201" s="222"/>
    </row>
    <row r="202" spans="1:8" s="221" customFormat="1" ht="15.75" x14ac:dyDescent="0.25">
      <c r="A202" s="25" t="s">
        <v>289</v>
      </c>
      <c r="B202" s="20" t="s">
        <v>1018</v>
      </c>
      <c r="C202" s="40" t="s">
        <v>279</v>
      </c>
      <c r="D202" s="40" t="s">
        <v>133</v>
      </c>
      <c r="E202" s="40" t="s">
        <v>290</v>
      </c>
      <c r="F202" s="40"/>
      <c r="G202" s="6">
        <f>'Пр.3 Рд,пр, ЦС,ВР 20'!F510</f>
        <v>559.70000000000005</v>
      </c>
      <c r="H202" s="222"/>
    </row>
    <row r="203" spans="1:8" s="221" customFormat="1" ht="31.5" x14ac:dyDescent="0.25">
      <c r="A203" s="29" t="s">
        <v>418</v>
      </c>
      <c r="B203" s="20" t="s">
        <v>1018</v>
      </c>
      <c r="C203" s="40" t="s">
        <v>279</v>
      </c>
      <c r="D203" s="40" t="s">
        <v>133</v>
      </c>
      <c r="E203" s="40" t="s">
        <v>290</v>
      </c>
      <c r="F203" s="40" t="s">
        <v>651</v>
      </c>
      <c r="G203" s="10">
        <f>G202</f>
        <v>559.70000000000005</v>
      </c>
      <c r="H203" s="222"/>
    </row>
    <row r="204" spans="1:8" s="221" customFormat="1" ht="63" x14ac:dyDescent="0.25">
      <c r="A204" s="31" t="s">
        <v>306</v>
      </c>
      <c r="B204" s="20" t="s">
        <v>1021</v>
      </c>
      <c r="C204" s="40" t="s">
        <v>279</v>
      </c>
      <c r="D204" s="40" t="s">
        <v>133</v>
      </c>
      <c r="E204" s="40"/>
      <c r="F204" s="40"/>
      <c r="G204" s="6">
        <f>G205</f>
        <v>1629.3</v>
      </c>
      <c r="H204" s="222"/>
    </row>
    <row r="205" spans="1:8" s="221" customFormat="1" ht="31.5" x14ac:dyDescent="0.25">
      <c r="A205" s="25" t="s">
        <v>287</v>
      </c>
      <c r="B205" s="20" t="s">
        <v>1021</v>
      </c>
      <c r="C205" s="40" t="s">
        <v>279</v>
      </c>
      <c r="D205" s="40" t="s">
        <v>133</v>
      </c>
      <c r="E205" s="40" t="s">
        <v>288</v>
      </c>
      <c r="F205" s="40"/>
      <c r="G205" s="6">
        <f>G206</f>
        <v>1629.3</v>
      </c>
      <c r="H205" s="222"/>
    </row>
    <row r="206" spans="1:8" s="221" customFormat="1" ht="15.75" x14ac:dyDescent="0.25">
      <c r="A206" s="25" t="s">
        <v>289</v>
      </c>
      <c r="B206" s="20" t="s">
        <v>1021</v>
      </c>
      <c r="C206" s="40" t="s">
        <v>279</v>
      </c>
      <c r="D206" s="40" t="s">
        <v>133</v>
      </c>
      <c r="E206" s="40" t="s">
        <v>290</v>
      </c>
      <c r="F206" s="40"/>
      <c r="G206" s="6">
        <f>'Пр.3 Рд,пр, ЦС,ВР 20'!F513</f>
        <v>1629.3</v>
      </c>
      <c r="H206" s="222"/>
    </row>
    <row r="207" spans="1:8" s="221" customFormat="1" ht="31.5" x14ac:dyDescent="0.25">
      <c r="A207" s="29" t="s">
        <v>418</v>
      </c>
      <c r="B207" s="20" t="s">
        <v>1021</v>
      </c>
      <c r="C207" s="40" t="s">
        <v>279</v>
      </c>
      <c r="D207" s="40" t="s">
        <v>133</v>
      </c>
      <c r="E207" s="40" t="s">
        <v>290</v>
      </c>
      <c r="F207" s="40" t="s">
        <v>651</v>
      </c>
      <c r="G207" s="10">
        <f>G206</f>
        <v>1629.3</v>
      </c>
      <c r="H207" s="222"/>
    </row>
    <row r="208" spans="1:8" s="221" customFormat="1" ht="94.5" x14ac:dyDescent="0.25">
      <c r="A208" s="31" t="s">
        <v>1460</v>
      </c>
      <c r="B208" s="20" t="s">
        <v>1020</v>
      </c>
      <c r="C208" s="40" t="s">
        <v>279</v>
      </c>
      <c r="D208" s="40" t="s">
        <v>133</v>
      </c>
      <c r="E208" s="40"/>
      <c r="F208" s="40"/>
      <c r="G208" s="6">
        <f>G209</f>
        <v>80735.399999999994</v>
      </c>
      <c r="H208" s="222"/>
    </row>
    <row r="209" spans="1:8" s="221" customFormat="1" ht="31.5" x14ac:dyDescent="0.25">
      <c r="A209" s="25" t="s">
        <v>287</v>
      </c>
      <c r="B209" s="20" t="s">
        <v>1020</v>
      </c>
      <c r="C209" s="40" t="s">
        <v>279</v>
      </c>
      <c r="D209" s="40" t="s">
        <v>133</v>
      </c>
      <c r="E209" s="40" t="s">
        <v>288</v>
      </c>
      <c r="F209" s="40"/>
      <c r="G209" s="6">
        <f>G210</f>
        <v>80735.399999999994</v>
      </c>
      <c r="H209" s="222"/>
    </row>
    <row r="210" spans="1:8" s="221" customFormat="1" ht="15.75" x14ac:dyDescent="0.25">
      <c r="A210" s="25" t="s">
        <v>289</v>
      </c>
      <c r="B210" s="20" t="s">
        <v>1020</v>
      </c>
      <c r="C210" s="40" t="s">
        <v>279</v>
      </c>
      <c r="D210" s="40" t="s">
        <v>133</v>
      </c>
      <c r="E210" s="40" t="s">
        <v>290</v>
      </c>
      <c r="F210" s="40"/>
      <c r="G210" s="6">
        <f>'Пр.3 Рд,пр, ЦС,ВР 20'!F516</f>
        <v>80735.399999999994</v>
      </c>
      <c r="H210" s="222"/>
    </row>
    <row r="211" spans="1:8" s="221" customFormat="1" ht="31.5" x14ac:dyDescent="0.25">
      <c r="A211" s="29" t="s">
        <v>418</v>
      </c>
      <c r="B211" s="20" t="s">
        <v>1020</v>
      </c>
      <c r="C211" s="40" t="s">
        <v>279</v>
      </c>
      <c r="D211" s="40" t="s">
        <v>133</v>
      </c>
      <c r="E211" s="40" t="s">
        <v>290</v>
      </c>
      <c r="F211" s="40" t="s">
        <v>651</v>
      </c>
      <c r="G211" s="10">
        <f>G210</f>
        <v>80735.399999999994</v>
      </c>
      <c r="H211" s="222"/>
    </row>
    <row r="212" spans="1:8" s="221" customFormat="1" ht="94.5" x14ac:dyDescent="0.25">
      <c r="A212" s="31" t="s">
        <v>308</v>
      </c>
      <c r="B212" s="20" t="s">
        <v>1022</v>
      </c>
      <c r="C212" s="40" t="s">
        <v>279</v>
      </c>
      <c r="D212" s="40" t="s">
        <v>133</v>
      </c>
      <c r="E212" s="40"/>
      <c r="F212" s="40"/>
      <c r="G212" s="6">
        <f>G213</f>
        <v>950.00000000000045</v>
      </c>
      <c r="H212" s="222"/>
    </row>
    <row r="213" spans="1:8" s="221" customFormat="1" ht="31.5" x14ac:dyDescent="0.25">
      <c r="A213" s="25" t="s">
        <v>287</v>
      </c>
      <c r="B213" s="20" t="s">
        <v>1022</v>
      </c>
      <c r="C213" s="40" t="s">
        <v>279</v>
      </c>
      <c r="D213" s="40" t="s">
        <v>133</v>
      </c>
      <c r="E213" s="40" t="s">
        <v>288</v>
      </c>
      <c r="F213" s="40"/>
      <c r="G213" s="6">
        <f>G214</f>
        <v>950.00000000000045</v>
      </c>
      <c r="H213" s="222"/>
    </row>
    <row r="214" spans="1:8" s="221" customFormat="1" ht="15.75" x14ac:dyDescent="0.25">
      <c r="A214" s="25" t="s">
        <v>289</v>
      </c>
      <c r="B214" s="20" t="s">
        <v>1022</v>
      </c>
      <c r="C214" s="40" t="s">
        <v>279</v>
      </c>
      <c r="D214" s="40" t="s">
        <v>133</v>
      </c>
      <c r="E214" s="40" t="s">
        <v>290</v>
      </c>
      <c r="F214" s="40"/>
      <c r="G214" s="6">
        <f>'Пр.3 Рд,пр, ЦС,ВР 20'!F519</f>
        <v>950.00000000000045</v>
      </c>
      <c r="H214" s="222"/>
    </row>
    <row r="215" spans="1:8" s="221" customFormat="1" ht="31.5" x14ac:dyDescent="0.25">
      <c r="A215" s="29" t="s">
        <v>418</v>
      </c>
      <c r="B215" s="20" t="s">
        <v>1022</v>
      </c>
      <c r="C215" s="40" t="s">
        <v>279</v>
      </c>
      <c r="D215" s="40" t="s">
        <v>133</v>
      </c>
      <c r="E215" s="40" t="s">
        <v>290</v>
      </c>
      <c r="F215" s="40" t="s">
        <v>651</v>
      </c>
      <c r="G215" s="10">
        <f>G214</f>
        <v>950.00000000000045</v>
      </c>
      <c r="H215" s="222"/>
    </row>
    <row r="216" spans="1:8" ht="15.75" x14ac:dyDescent="0.25">
      <c r="A216" s="29" t="s">
        <v>440</v>
      </c>
      <c r="B216" s="40" t="s">
        <v>1019</v>
      </c>
      <c r="C216" s="40" t="s">
        <v>279</v>
      </c>
      <c r="D216" s="40" t="s">
        <v>228</v>
      </c>
      <c r="E216" s="40"/>
      <c r="F216" s="40"/>
      <c r="G216" s="10">
        <f>G221+G225+G229+G233+G237+G217</f>
        <v>152436.70000000001</v>
      </c>
    </row>
    <row r="217" spans="1:8" s="361" customFormat="1" ht="94.5" x14ac:dyDescent="0.25">
      <c r="A217" s="31" t="s">
        <v>479</v>
      </c>
      <c r="B217" s="368" t="s">
        <v>1523</v>
      </c>
      <c r="C217" s="376" t="s">
        <v>279</v>
      </c>
      <c r="D217" s="376" t="s">
        <v>228</v>
      </c>
      <c r="E217" s="376"/>
      <c r="F217" s="376"/>
      <c r="G217" s="365">
        <f>G218</f>
        <v>3821</v>
      </c>
      <c r="H217" s="362"/>
    </row>
    <row r="218" spans="1:8" s="361" customFormat="1" ht="31.5" x14ac:dyDescent="0.25">
      <c r="A218" s="372" t="s">
        <v>287</v>
      </c>
      <c r="B218" s="368" t="s">
        <v>1523</v>
      </c>
      <c r="C218" s="376" t="s">
        <v>279</v>
      </c>
      <c r="D218" s="376" t="s">
        <v>228</v>
      </c>
      <c r="E218" s="376" t="s">
        <v>288</v>
      </c>
      <c r="F218" s="376"/>
      <c r="G218" s="365">
        <f>G219</f>
        <v>3821</v>
      </c>
      <c r="H218" s="362"/>
    </row>
    <row r="219" spans="1:8" s="361" customFormat="1" ht="15.75" x14ac:dyDescent="0.25">
      <c r="A219" s="372" t="s">
        <v>289</v>
      </c>
      <c r="B219" s="368" t="s">
        <v>1523</v>
      </c>
      <c r="C219" s="376" t="s">
        <v>279</v>
      </c>
      <c r="D219" s="376" t="s">
        <v>228</v>
      </c>
      <c r="E219" s="376" t="s">
        <v>290</v>
      </c>
      <c r="F219" s="376"/>
      <c r="G219" s="365">
        <f>'Пр.4 ведом.20'!G639</f>
        <v>3821</v>
      </c>
      <c r="H219" s="362"/>
    </row>
    <row r="220" spans="1:8" s="361" customFormat="1" ht="31.5" x14ac:dyDescent="0.25">
      <c r="A220" s="375" t="s">
        <v>418</v>
      </c>
      <c r="B220" s="368" t="s">
        <v>1523</v>
      </c>
      <c r="C220" s="376" t="s">
        <v>279</v>
      </c>
      <c r="D220" s="376" t="s">
        <v>228</v>
      </c>
      <c r="E220" s="376" t="s">
        <v>290</v>
      </c>
      <c r="F220" s="376" t="s">
        <v>651</v>
      </c>
      <c r="G220" s="365">
        <f>G217</f>
        <v>3821</v>
      </c>
      <c r="H220" s="362"/>
    </row>
    <row r="221" spans="1:8" s="221" customFormat="1" ht="78.75" x14ac:dyDescent="0.25">
      <c r="A221" s="31" t="s">
        <v>1461</v>
      </c>
      <c r="B221" s="20" t="s">
        <v>1047</v>
      </c>
      <c r="C221" s="40" t="s">
        <v>279</v>
      </c>
      <c r="D221" s="40" t="s">
        <v>228</v>
      </c>
      <c r="E221" s="40"/>
      <c r="F221" s="40"/>
      <c r="G221" s="6">
        <f>G222</f>
        <v>143160</v>
      </c>
      <c r="H221" s="222"/>
    </row>
    <row r="222" spans="1:8" s="221" customFormat="1" ht="31.5" x14ac:dyDescent="0.25">
      <c r="A222" s="25" t="s">
        <v>287</v>
      </c>
      <c r="B222" s="20" t="s">
        <v>1047</v>
      </c>
      <c r="C222" s="40" t="s">
        <v>279</v>
      </c>
      <c r="D222" s="40" t="s">
        <v>228</v>
      </c>
      <c r="E222" s="40" t="s">
        <v>288</v>
      </c>
      <c r="F222" s="40"/>
      <c r="G222" s="6">
        <f>G223</f>
        <v>143160</v>
      </c>
      <c r="H222" s="222"/>
    </row>
    <row r="223" spans="1:8" s="221" customFormat="1" ht="15.75" x14ac:dyDescent="0.25">
      <c r="A223" s="25" t="s">
        <v>289</v>
      </c>
      <c r="B223" s="20" t="s">
        <v>1047</v>
      </c>
      <c r="C223" s="40" t="s">
        <v>279</v>
      </c>
      <c r="D223" s="40" t="s">
        <v>228</v>
      </c>
      <c r="E223" s="40" t="s">
        <v>290</v>
      </c>
      <c r="F223" s="40"/>
      <c r="G223" s="6">
        <f>'Пр.3 Рд,пр, ЦС,ВР 20'!F584</f>
        <v>143160</v>
      </c>
      <c r="H223" s="222"/>
    </row>
    <row r="224" spans="1:8" s="221" customFormat="1" ht="31.5" x14ac:dyDescent="0.25">
      <c r="A224" s="29" t="s">
        <v>418</v>
      </c>
      <c r="B224" s="20" t="s">
        <v>1047</v>
      </c>
      <c r="C224" s="40" t="s">
        <v>279</v>
      </c>
      <c r="D224" s="40" t="s">
        <v>228</v>
      </c>
      <c r="E224" s="40" t="s">
        <v>290</v>
      </c>
      <c r="F224" s="40" t="s">
        <v>651</v>
      </c>
      <c r="G224" s="10">
        <f>G223</f>
        <v>143160</v>
      </c>
      <c r="H224" s="222"/>
    </row>
    <row r="225" spans="1:8" s="221" customFormat="1" ht="63" x14ac:dyDescent="0.25">
      <c r="A225" s="31" t="s">
        <v>304</v>
      </c>
      <c r="B225" s="20" t="s">
        <v>1018</v>
      </c>
      <c r="C225" s="40" t="s">
        <v>279</v>
      </c>
      <c r="D225" s="40" t="s">
        <v>228</v>
      </c>
      <c r="E225" s="40"/>
      <c r="F225" s="40"/>
      <c r="G225" s="6">
        <f>G226</f>
        <v>1245.5999999999999</v>
      </c>
      <c r="H225" s="222"/>
    </row>
    <row r="226" spans="1:8" s="221" customFormat="1" ht="31.5" x14ac:dyDescent="0.25">
      <c r="A226" s="25" t="s">
        <v>287</v>
      </c>
      <c r="B226" s="20" t="s">
        <v>1018</v>
      </c>
      <c r="C226" s="40" t="s">
        <v>279</v>
      </c>
      <c r="D226" s="40" t="s">
        <v>228</v>
      </c>
      <c r="E226" s="40" t="s">
        <v>288</v>
      </c>
      <c r="F226" s="40"/>
      <c r="G226" s="6">
        <f>G227</f>
        <v>1245.5999999999999</v>
      </c>
      <c r="H226" s="222"/>
    </row>
    <row r="227" spans="1:8" s="221" customFormat="1" ht="15.75" x14ac:dyDescent="0.25">
      <c r="A227" s="25" t="s">
        <v>289</v>
      </c>
      <c r="B227" s="20" t="s">
        <v>1018</v>
      </c>
      <c r="C227" s="40" t="s">
        <v>279</v>
      </c>
      <c r="D227" s="40" t="s">
        <v>228</v>
      </c>
      <c r="E227" s="40" t="s">
        <v>290</v>
      </c>
      <c r="F227" s="40"/>
      <c r="G227" s="6">
        <f>'Пр.3 Рд,пр, ЦС,ВР 20'!F587</f>
        <v>1245.5999999999999</v>
      </c>
      <c r="H227" s="222"/>
    </row>
    <row r="228" spans="1:8" s="221" customFormat="1" ht="31.5" x14ac:dyDescent="0.25">
      <c r="A228" s="29" t="s">
        <v>418</v>
      </c>
      <c r="B228" s="20" t="s">
        <v>1018</v>
      </c>
      <c r="C228" s="40" t="s">
        <v>279</v>
      </c>
      <c r="D228" s="40" t="s">
        <v>228</v>
      </c>
      <c r="E228" s="40" t="s">
        <v>290</v>
      </c>
      <c r="F228" s="40" t="s">
        <v>651</v>
      </c>
      <c r="G228" s="10">
        <f>G227</f>
        <v>1245.5999999999999</v>
      </c>
      <c r="H228" s="222"/>
    </row>
    <row r="229" spans="1:8" s="221" customFormat="1" ht="63" x14ac:dyDescent="0.25">
      <c r="A229" s="31" t="s">
        <v>306</v>
      </c>
      <c r="B229" s="20" t="s">
        <v>1021</v>
      </c>
      <c r="C229" s="40" t="s">
        <v>279</v>
      </c>
      <c r="D229" s="40" t="s">
        <v>228</v>
      </c>
      <c r="E229" s="40"/>
      <c r="F229" s="40"/>
      <c r="G229" s="6">
        <f>G230</f>
        <v>2266.6999999999998</v>
      </c>
      <c r="H229" s="222"/>
    </row>
    <row r="230" spans="1:8" s="221" customFormat="1" ht="31.5" x14ac:dyDescent="0.25">
      <c r="A230" s="25" t="s">
        <v>287</v>
      </c>
      <c r="B230" s="20" t="s">
        <v>1021</v>
      </c>
      <c r="C230" s="40" t="s">
        <v>279</v>
      </c>
      <c r="D230" s="40" t="s">
        <v>228</v>
      </c>
      <c r="E230" s="40" t="s">
        <v>288</v>
      </c>
      <c r="F230" s="40"/>
      <c r="G230" s="6">
        <f>G231</f>
        <v>2266.6999999999998</v>
      </c>
      <c r="H230" s="222"/>
    </row>
    <row r="231" spans="1:8" s="221" customFormat="1" ht="15.75" x14ac:dyDescent="0.25">
      <c r="A231" s="25" t="s">
        <v>289</v>
      </c>
      <c r="B231" s="20" t="s">
        <v>1021</v>
      </c>
      <c r="C231" s="40" t="s">
        <v>279</v>
      </c>
      <c r="D231" s="40" t="s">
        <v>228</v>
      </c>
      <c r="E231" s="40" t="s">
        <v>290</v>
      </c>
      <c r="F231" s="40"/>
      <c r="G231" s="6">
        <f>'Пр.3 Рд,пр, ЦС,ВР 20'!F590</f>
        <v>2266.6999999999998</v>
      </c>
      <c r="H231" s="222"/>
    </row>
    <row r="232" spans="1:8" s="221" customFormat="1" ht="31.5" x14ac:dyDescent="0.25">
      <c r="A232" s="29" t="s">
        <v>418</v>
      </c>
      <c r="B232" s="20" t="s">
        <v>1021</v>
      </c>
      <c r="C232" s="40" t="s">
        <v>279</v>
      </c>
      <c r="D232" s="40" t="s">
        <v>228</v>
      </c>
      <c r="E232" s="40" t="s">
        <v>290</v>
      </c>
      <c r="F232" s="40" t="s">
        <v>651</v>
      </c>
      <c r="G232" s="10">
        <f>G231</f>
        <v>2266.6999999999998</v>
      </c>
      <c r="H232" s="222"/>
    </row>
    <row r="233" spans="1:8" s="221" customFormat="1" ht="47.25" x14ac:dyDescent="0.25">
      <c r="A233" s="31" t="s">
        <v>477</v>
      </c>
      <c r="B233" s="20" t="s">
        <v>1048</v>
      </c>
      <c r="C233" s="40" t="s">
        <v>279</v>
      </c>
      <c r="D233" s="40" t="s">
        <v>228</v>
      </c>
      <c r="E233" s="40"/>
      <c r="F233" s="40"/>
      <c r="G233" s="6">
        <f>G234</f>
        <v>923.4</v>
      </c>
      <c r="H233" s="222"/>
    </row>
    <row r="234" spans="1:8" s="221" customFormat="1" ht="31.5" x14ac:dyDescent="0.25">
      <c r="A234" s="25" t="s">
        <v>287</v>
      </c>
      <c r="B234" s="20" t="s">
        <v>1048</v>
      </c>
      <c r="C234" s="40" t="s">
        <v>279</v>
      </c>
      <c r="D234" s="40" t="s">
        <v>228</v>
      </c>
      <c r="E234" s="40" t="s">
        <v>288</v>
      </c>
      <c r="F234" s="40"/>
      <c r="G234" s="6">
        <f>G235</f>
        <v>923.4</v>
      </c>
      <c r="H234" s="222"/>
    </row>
    <row r="235" spans="1:8" s="221" customFormat="1" ht="15.75" x14ac:dyDescent="0.25">
      <c r="A235" s="25" t="s">
        <v>289</v>
      </c>
      <c r="B235" s="20" t="s">
        <v>1048</v>
      </c>
      <c r="C235" s="40" t="s">
        <v>279</v>
      </c>
      <c r="D235" s="40" t="s">
        <v>228</v>
      </c>
      <c r="E235" s="40" t="s">
        <v>290</v>
      </c>
      <c r="F235" s="40"/>
      <c r="G235" s="6">
        <f>'Пр.3 Рд,пр, ЦС,ВР 20'!F593</f>
        <v>923.4</v>
      </c>
      <c r="H235" s="222"/>
    </row>
    <row r="236" spans="1:8" s="221" customFormat="1" ht="31.5" x14ac:dyDescent="0.25">
      <c r="A236" s="29" t="s">
        <v>418</v>
      </c>
      <c r="B236" s="20" t="s">
        <v>1048</v>
      </c>
      <c r="C236" s="40" t="s">
        <v>279</v>
      </c>
      <c r="D236" s="40" t="s">
        <v>228</v>
      </c>
      <c r="E236" s="40" t="s">
        <v>290</v>
      </c>
      <c r="F236" s="40" t="s">
        <v>651</v>
      </c>
      <c r="G236" s="10">
        <f>G235</f>
        <v>923.4</v>
      </c>
      <c r="H236" s="222"/>
    </row>
    <row r="237" spans="1:8" s="221" customFormat="1" ht="94.5" x14ac:dyDescent="0.25">
      <c r="A237" s="31" t="s">
        <v>479</v>
      </c>
      <c r="B237" s="20" t="s">
        <v>1022</v>
      </c>
      <c r="C237" s="40" t="s">
        <v>279</v>
      </c>
      <c r="D237" s="40" t="s">
        <v>228</v>
      </c>
      <c r="E237" s="40"/>
      <c r="F237" s="40"/>
      <c r="G237" s="6">
        <f>G238</f>
        <v>1019.9999999999991</v>
      </c>
      <c r="H237" s="222"/>
    </row>
    <row r="238" spans="1:8" s="221" customFormat="1" ht="31.5" x14ac:dyDescent="0.25">
      <c r="A238" s="25" t="s">
        <v>287</v>
      </c>
      <c r="B238" s="20" t="s">
        <v>1022</v>
      </c>
      <c r="C238" s="40" t="s">
        <v>279</v>
      </c>
      <c r="D238" s="40" t="s">
        <v>228</v>
      </c>
      <c r="E238" s="40" t="s">
        <v>288</v>
      </c>
      <c r="F238" s="40"/>
      <c r="G238" s="6">
        <f>G239</f>
        <v>1019.9999999999991</v>
      </c>
      <c r="H238" s="222"/>
    </row>
    <row r="239" spans="1:8" s="221" customFormat="1" ht="15.75" x14ac:dyDescent="0.25">
      <c r="A239" s="25" t="s">
        <v>289</v>
      </c>
      <c r="B239" s="20" t="s">
        <v>1022</v>
      </c>
      <c r="C239" s="40" t="s">
        <v>279</v>
      </c>
      <c r="D239" s="40" t="s">
        <v>228</v>
      </c>
      <c r="E239" s="40" t="s">
        <v>290</v>
      </c>
      <c r="F239" s="40"/>
      <c r="G239" s="6">
        <f>'Пр.3 Рд,пр, ЦС,ВР 20'!F596</f>
        <v>1019.9999999999991</v>
      </c>
      <c r="H239" s="222"/>
    </row>
    <row r="240" spans="1:8" s="221" customFormat="1" ht="31.5" x14ac:dyDescent="0.25">
      <c r="A240" s="29" t="s">
        <v>418</v>
      </c>
      <c r="B240" s="20" t="s">
        <v>1022</v>
      </c>
      <c r="C240" s="40" t="s">
        <v>279</v>
      </c>
      <c r="D240" s="40" t="s">
        <v>228</v>
      </c>
      <c r="E240" s="40" t="s">
        <v>290</v>
      </c>
      <c r="F240" s="40" t="s">
        <v>651</v>
      </c>
      <c r="G240" s="10">
        <f>G239</f>
        <v>1019.9999999999991</v>
      </c>
      <c r="H240" s="222"/>
    </row>
    <row r="241" spans="1:8" ht="15.75" x14ac:dyDescent="0.25">
      <c r="A241" s="29" t="s">
        <v>280</v>
      </c>
      <c r="B241" s="40" t="s">
        <v>1019</v>
      </c>
      <c r="C241" s="40" t="s">
        <v>279</v>
      </c>
      <c r="D241" s="40" t="s">
        <v>230</v>
      </c>
      <c r="E241" s="40"/>
      <c r="F241" s="40"/>
      <c r="G241" s="6">
        <f>G246+G250+G254+G242</f>
        <v>1622.2</v>
      </c>
    </row>
    <row r="242" spans="1:8" s="361" customFormat="1" ht="94.5" x14ac:dyDescent="0.25">
      <c r="A242" s="31" t="s">
        <v>308</v>
      </c>
      <c r="B242" s="368" t="s">
        <v>1523</v>
      </c>
      <c r="C242" s="376" t="s">
        <v>279</v>
      </c>
      <c r="D242" s="376" t="s">
        <v>230</v>
      </c>
      <c r="E242" s="376"/>
      <c r="F242" s="376"/>
      <c r="G242" s="6">
        <f>G243</f>
        <v>216.9</v>
      </c>
      <c r="H242" s="362"/>
    </row>
    <row r="243" spans="1:8" s="361" customFormat="1" ht="31.5" x14ac:dyDescent="0.25">
      <c r="A243" s="372" t="s">
        <v>287</v>
      </c>
      <c r="B243" s="368" t="s">
        <v>1523</v>
      </c>
      <c r="C243" s="376" t="s">
        <v>279</v>
      </c>
      <c r="D243" s="376" t="s">
        <v>230</v>
      </c>
      <c r="E243" s="376" t="s">
        <v>288</v>
      </c>
      <c r="F243" s="376"/>
      <c r="G243" s="6">
        <f>G244</f>
        <v>216.9</v>
      </c>
      <c r="H243" s="362"/>
    </row>
    <row r="244" spans="1:8" s="361" customFormat="1" ht="15.75" x14ac:dyDescent="0.25">
      <c r="A244" s="372" t="s">
        <v>289</v>
      </c>
      <c r="B244" s="368" t="s">
        <v>1523</v>
      </c>
      <c r="C244" s="376" t="s">
        <v>279</v>
      </c>
      <c r="D244" s="376" t="s">
        <v>230</v>
      </c>
      <c r="E244" s="376" t="s">
        <v>290</v>
      </c>
      <c r="F244" s="376"/>
      <c r="G244" s="6">
        <f>'Пр.4 ведом.20'!G721</f>
        <v>216.9</v>
      </c>
      <c r="H244" s="362"/>
    </row>
    <row r="245" spans="1:8" s="361" customFormat="1" ht="31.5" x14ac:dyDescent="0.25">
      <c r="A245" s="375" t="s">
        <v>418</v>
      </c>
      <c r="B245" s="368" t="s">
        <v>1523</v>
      </c>
      <c r="C245" s="376" t="s">
        <v>279</v>
      </c>
      <c r="D245" s="376" t="s">
        <v>230</v>
      </c>
      <c r="E245" s="376" t="s">
        <v>290</v>
      </c>
      <c r="F245" s="376" t="s">
        <v>651</v>
      </c>
      <c r="G245" s="6">
        <f>G242</f>
        <v>216.9</v>
      </c>
      <c r="H245" s="362"/>
    </row>
    <row r="246" spans="1:8" s="221" customFormat="1" ht="63" x14ac:dyDescent="0.25">
      <c r="A246" s="31" t="s">
        <v>304</v>
      </c>
      <c r="B246" s="20" t="s">
        <v>1018</v>
      </c>
      <c r="C246" s="40" t="s">
        <v>279</v>
      </c>
      <c r="D246" s="40" t="s">
        <v>230</v>
      </c>
      <c r="E246" s="40"/>
      <c r="F246" s="40"/>
      <c r="G246" s="6">
        <f>G247</f>
        <v>169.3</v>
      </c>
      <c r="H246" s="222"/>
    </row>
    <row r="247" spans="1:8" s="221" customFormat="1" ht="31.5" x14ac:dyDescent="0.25">
      <c r="A247" s="25" t="s">
        <v>287</v>
      </c>
      <c r="B247" s="20" t="s">
        <v>1018</v>
      </c>
      <c r="C247" s="40" t="s">
        <v>279</v>
      </c>
      <c r="D247" s="40" t="s">
        <v>230</v>
      </c>
      <c r="E247" s="40" t="s">
        <v>288</v>
      </c>
      <c r="F247" s="40"/>
      <c r="G247" s="6">
        <f>G248</f>
        <v>169.3</v>
      </c>
      <c r="H247" s="222"/>
    </row>
    <row r="248" spans="1:8" s="221" customFormat="1" ht="15.75" x14ac:dyDescent="0.25">
      <c r="A248" s="25" t="s">
        <v>289</v>
      </c>
      <c r="B248" s="20" t="s">
        <v>1018</v>
      </c>
      <c r="C248" s="40" t="s">
        <v>279</v>
      </c>
      <c r="D248" s="40" t="s">
        <v>230</v>
      </c>
      <c r="E248" s="40" t="s">
        <v>290</v>
      </c>
      <c r="F248" s="40"/>
      <c r="G248" s="6">
        <f>'Пр.4 ведом.20'!G724</f>
        <v>169.3</v>
      </c>
      <c r="H248" s="222"/>
    </row>
    <row r="249" spans="1:8" s="221" customFormat="1" ht="31.5" x14ac:dyDescent="0.25">
      <c r="A249" s="29" t="s">
        <v>418</v>
      </c>
      <c r="B249" s="20" t="s">
        <v>1018</v>
      </c>
      <c r="C249" s="40" t="s">
        <v>279</v>
      </c>
      <c r="D249" s="40" t="s">
        <v>230</v>
      </c>
      <c r="E249" s="40" t="s">
        <v>290</v>
      </c>
      <c r="F249" s="40" t="s">
        <v>651</v>
      </c>
      <c r="G249" s="10">
        <f>G248</f>
        <v>169.3</v>
      </c>
      <c r="H249" s="222"/>
    </row>
    <row r="250" spans="1:8" s="221" customFormat="1" ht="63" x14ac:dyDescent="0.25">
      <c r="A250" s="31" t="s">
        <v>306</v>
      </c>
      <c r="B250" s="20" t="s">
        <v>1021</v>
      </c>
      <c r="C250" s="40" t="s">
        <v>279</v>
      </c>
      <c r="D250" s="40" t="s">
        <v>230</v>
      </c>
      <c r="E250" s="40"/>
      <c r="F250" s="40"/>
      <c r="G250" s="6">
        <f>G251</f>
        <v>549.5</v>
      </c>
      <c r="H250" s="222"/>
    </row>
    <row r="251" spans="1:8" s="221" customFormat="1" ht="31.5" x14ac:dyDescent="0.25">
      <c r="A251" s="25" t="s">
        <v>287</v>
      </c>
      <c r="B251" s="20" t="s">
        <v>1021</v>
      </c>
      <c r="C251" s="40" t="s">
        <v>279</v>
      </c>
      <c r="D251" s="40" t="s">
        <v>230</v>
      </c>
      <c r="E251" s="40" t="s">
        <v>288</v>
      </c>
      <c r="F251" s="40"/>
      <c r="G251" s="6">
        <f>G252</f>
        <v>549.5</v>
      </c>
      <c r="H251" s="222"/>
    </row>
    <row r="252" spans="1:8" s="221" customFormat="1" ht="15.75" x14ac:dyDescent="0.25">
      <c r="A252" s="25" t="s">
        <v>289</v>
      </c>
      <c r="B252" s="20" t="s">
        <v>1021</v>
      </c>
      <c r="C252" s="40" t="s">
        <v>279</v>
      </c>
      <c r="D252" s="40" t="s">
        <v>230</v>
      </c>
      <c r="E252" s="40" t="s">
        <v>290</v>
      </c>
      <c r="F252" s="40"/>
      <c r="G252" s="6">
        <f>'Пр.4 ведом.20'!G727</f>
        <v>549.5</v>
      </c>
      <c r="H252" s="222"/>
    </row>
    <row r="253" spans="1:8" s="221" customFormat="1" ht="31.5" x14ac:dyDescent="0.25">
      <c r="A253" s="29" t="s">
        <v>418</v>
      </c>
      <c r="B253" s="20" t="s">
        <v>1021</v>
      </c>
      <c r="C253" s="40" t="s">
        <v>279</v>
      </c>
      <c r="D253" s="40" t="s">
        <v>230</v>
      </c>
      <c r="E253" s="40" t="s">
        <v>290</v>
      </c>
      <c r="F253" s="40" t="s">
        <v>651</v>
      </c>
      <c r="G253" s="10">
        <f>G252</f>
        <v>549.5</v>
      </c>
      <c r="H253" s="222"/>
    </row>
    <row r="254" spans="1:8" s="221" customFormat="1" ht="94.5" x14ac:dyDescent="0.25">
      <c r="A254" s="31" t="s">
        <v>308</v>
      </c>
      <c r="B254" s="20" t="s">
        <v>1022</v>
      </c>
      <c r="C254" s="40" t="s">
        <v>279</v>
      </c>
      <c r="D254" s="40" t="s">
        <v>230</v>
      </c>
      <c r="E254" s="40"/>
      <c r="F254" s="40"/>
      <c r="G254" s="6">
        <f>G255</f>
        <v>686.5</v>
      </c>
      <c r="H254" s="222"/>
    </row>
    <row r="255" spans="1:8" s="221" customFormat="1" ht="31.5" x14ac:dyDescent="0.25">
      <c r="A255" s="25" t="s">
        <v>287</v>
      </c>
      <c r="B255" s="20" t="s">
        <v>1022</v>
      </c>
      <c r="C255" s="40" t="s">
        <v>279</v>
      </c>
      <c r="D255" s="40" t="s">
        <v>230</v>
      </c>
      <c r="E255" s="40" t="s">
        <v>288</v>
      </c>
      <c r="F255" s="40"/>
      <c r="G255" s="6">
        <f>G256</f>
        <v>686.5</v>
      </c>
      <c r="H255" s="222"/>
    </row>
    <row r="256" spans="1:8" s="221" customFormat="1" ht="15.75" x14ac:dyDescent="0.25">
      <c r="A256" s="25" t="s">
        <v>289</v>
      </c>
      <c r="B256" s="20" t="s">
        <v>1022</v>
      </c>
      <c r="C256" s="40" t="s">
        <v>279</v>
      </c>
      <c r="D256" s="40" t="s">
        <v>230</v>
      </c>
      <c r="E256" s="40" t="s">
        <v>290</v>
      </c>
      <c r="F256" s="40"/>
      <c r="G256" s="6">
        <f>'Пр.4 ведом.20'!G729</f>
        <v>686.5</v>
      </c>
      <c r="H256" s="222"/>
    </row>
    <row r="257" spans="1:8" s="221" customFormat="1" ht="31.5" x14ac:dyDescent="0.25">
      <c r="A257" s="29" t="s">
        <v>418</v>
      </c>
      <c r="B257" s="20" t="s">
        <v>1022</v>
      </c>
      <c r="C257" s="40" t="s">
        <v>279</v>
      </c>
      <c r="D257" s="40" t="s">
        <v>230</v>
      </c>
      <c r="E257" s="40" t="s">
        <v>290</v>
      </c>
      <c r="F257" s="40" t="s">
        <v>651</v>
      </c>
      <c r="G257" s="10">
        <f>G256</f>
        <v>686.5</v>
      </c>
      <c r="H257" s="222"/>
    </row>
    <row r="258" spans="1:8" ht="31.5" x14ac:dyDescent="0.25">
      <c r="A258" s="41" t="s">
        <v>426</v>
      </c>
      <c r="B258" s="7" t="s">
        <v>427</v>
      </c>
      <c r="C258" s="7"/>
      <c r="D258" s="7"/>
      <c r="E258" s="7"/>
      <c r="F258" s="7"/>
      <c r="G258" s="59">
        <f>G259+G274+G289+G300</f>
        <v>10997.7</v>
      </c>
    </row>
    <row r="259" spans="1:8" s="221" customFormat="1" ht="31.5" x14ac:dyDescent="0.25">
      <c r="A259" s="23" t="s">
        <v>1005</v>
      </c>
      <c r="B259" s="24" t="s">
        <v>1006</v>
      </c>
      <c r="C259" s="7"/>
      <c r="D259" s="7"/>
      <c r="E259" s="7"/>
      <c r="F259" s="7"/>
      <c r="G259" s="59">
        <f>G260</f>
        <v>4430</v>
      </c>
      <c r="H259" s="222"/>
    </row>
    <row r="260" spans="1:8" ht="15.75" x14ac:dyDescent="0.25">
      <c r="A260" s="29" t="s">
        <v>278</v>
      </c>
      <c r="B260" s="40" t="s">
        <v>1006</v>
      </c>
      <c r="C260" s="40" t="s">
        <v>279</v>
      </c>
      <c r="D260" s="40"/>
      <c r="E260" s="40"/>
      <c r="F260" s="40"/>
      <c r="G260" s="10">
        <f t="shared" ref="G260" si="31">G261</f>
        <v>4430</v>
      </c>
    </row>
    <row r="261" spans="1:8" ht="15.75" x14ac:dyDescent="0.25">
      <c r="A261" s="45" t="s">
        <v>419</v>
      </c>
      <c r="B261" s="40" t="s">
        <v>1006</v>
      </c>
      <c r="C261" s="40" t="s">
        <v>279</v>
      </c>
      <c r="D261" s="40" t="s">
        <v>133</v>
      </c>
      <c r="E261" s="40"/>
      <c r="F261" s="40"/>
      <c r="G261" s="10">
        <f>G262+G266+G270</f>
        <v>4430</v>
      </c>
    </row>
    <row r="262" spans="1:8" ht="31.5" hidden="1" x14ac:dyDescent="0.25">
      <c r="A262" s="29" t="s">
        <v>293</v>
      </c>
      <c r="B262" s="20" t="s">
        <v>1007</v>
      </c>
      <c r="C262" s="40" t="s">
        <v>279</v>
      </c>
      <c r="D262" s="40" t="s">
        <v>133</v>
      </c>
      <c r="E262" s="40"/>
      <c r="F262" s="40"/>
      <c r="G262" s="10">
        <f t="shared" ref="G262:G263" si="32">G263</f>
        <v>0</v>
      </c>
    </row>
    <row r="263" spans="1:8" ht="31.5" hidden="1" x14ac:dyDescent="0.25">
      <c r="A263" s="29" t="s">
        <v>287</v>
      </c>
      <c r="B263" s="20" t="s">
        <v>1007</v>
      </c>
      <c r="C263" s="40" t="s">
        <v>279</v>
      </c>
      <c r="D263" s="40" t="s">
        <v>133</v>
      </c>
      <c r="E263" s="40" t="s">
        <v>288</v>
      </c>
      <c r="F263" s="40"/>
      <c r="G263" s="10">
        <f t="shared" si="32"/>
        <v>0</v>
      </c>
    </row>
    <row r="264" spans="1:8" ht="15.75" hidden="1" x14ac:dyDescent="0.25">
      <c r="A264" s="29" t="s">
        <v>289</v>
      </c>
      <c r="B264" s="20" t="s">
        <v>1007</v>
      </c>
      <c r="C264" s="40" t="s">
        <v>279</v>
      </c>
      <c r="D264" s="40" t="s">
        <v>133</v>
      </c>
      <c r="E264" s="40" t="s">
        <v>290</v>
      </c>
      <c r="F264" s="40"/>
      <c r="G264" s="10">
        <f>'Пр.4 ведом.20'!G582</f>
        <v>0</v>
      </c>
    </row>
    <row r="265" spans="1:8" s="221" customFormat="1" ht="31.5" hidden="1" x14ac:dyDescent="0.25">
      <c r="A265" s="29" t="s">
        <v>418</v>
      </c>
      <c r="B265" s="20" t="s">
        <v>1007</v>
      </c>
      <c r="C265" s="40" t="s">
        <v>279</v>
      </c>
      <c r="D265" s="40" t="s">
        <v>133</v>
      </c>
      <c r="E265" s="40" t="s">
        <v>290</v>
      </c>
      <c r="F265" s="40" t="s">
        <v>651</v>
      </c>
      <c r="G265" s="10">
        <f>G264</f>
        <v>0</v>
      </c>
      <c r="H265" s="222"/>
    </row>
    <row r="266" spans="1:8" ht="31.7" hidden="1" customHeight="1" x14ac:dyDescent="0.25">
      <c r="A266" s="29" t="s">
        <v>295</v>
      </c>
      <c r="B266" s="20" t="s">
        <v>1008</v>
      </c>
      <c r="C266" s="40" t="s">
        <v>279</v>
      </c>
      <c r="D266" s="40" t="s">
        <v>133</v>
      </c>
      <c r="E266" s="40"/>
      <c r="F266" s="40"/>
      <c r="G266" s="10">
        <f t="shared" ref="G266:G267" si="33">G267</f>
        <v>0</v>
      </c>
    </row>
    <row r="267" spans="1:8" ht="31.7" hidden="1" customHeight="1" x14ac:dyDescent="0.25">
      <c r="A267" s="29" t="s">
        <v>287</v>
      </c>
      <c r="B267" s="20" t="s">
        <v>1008</v>
      </c>
      <c r="C267" s="40" t="s">
        <v>279</v>
      </c>
      <c r="D267" s="40" t="s">
        <v>133</v>
      </c>
      <c r="E267" s="40" t="s">
        <v>288</v>
      </c>
      <c r="F267" s="40"/>
      <c r="G267" s="10">
        <f t="shared" si="33"/>
        <v>0</v>
      </c>
    </row>
    <row r="268" spans="1:8" ht="15.75" hidden="1" customHeight="1" x14ac:dyDescent="0.25">
      <c r="A268" s="29" t="s">
        <v>289</v>
      </c>
      <c r="B268" s="20" t="s">
        <v>1008</v>
      </c>
      <c r="C268" s="40" t="s">
        <v>279</v>
      </c>
      <c r="D268" s="40" t="s">
        <v>133</v>
      </c>
      <c r="E268" s="40" t="s">
        <v>290</v>
      </c>
      <c r="F268" s="40"/>
      <c r="G268" s="10">
        <f>'Пр.4 ведом.20'!G585</f>
        <v>0</v>
      </c>
    </row>
    <row r="269" spans="1:8" s="221" customFormat="1" ht="15.75" hidden="1" customHeight="1" x14ac:dyDescent="0.25">
      <c r="A269" s="29" t="s">
        <v>418</v>
      </c>
      <c r="B269" s="20" t="s">
        <v>1008</v>
      </c>
      <c r="C269" s="40" t="s">
        <v>279</v>
      </c>
      <c r="D269" s="40" t="s">
        <v>133</v>
      </c>
      <c r="E269" s="40" t="s">
        <v>290</v>
      </c>
      <c r="F269" s="40" t="s">
        <v>651</v>
      </c>
      <c r="G269" s="10">
        <f>G268</f>
        <v>0</v>
      </c>
      <c r="H269" s="222"/>
    </row>
    <row r="270" spans="1:8" ht="31.5" x14ac:dyDescent="0.25">
      <c r="A270" s="29" t="s">
        <v>430</v>
      </c>
      <c r="B270" s="20" t="s">
        <v>1009</v>
      </c>
      <c r="C270" s="40" t="s">
        <v>279</v>
      </c>
      <c r="D270" s="40" t="s">
        <v>133</v>
      </c>
      <c r="E270" s="40"/>
      <c r="F270" s="40"/>
      <c r="G270" s="10">
        <f t="shared" ref="G270:G271" si="34">G271</f>
        <v>4430</v>
      </c>
    </row>
    <row r="271" spans="1:8" ht="33.75" customHeight="1" x14ac:dyDescent="0.25">
      <c r="A271" s="29" t="s">
        <v>287</v>
      </c>
      <c r="B271" s="20" t="s">
        <v>1009</v>
      </c>
      <c r="C271" s="40" t="s">
        <v>279</v>
      </c>
      <c r="D271" s="40" t="s">
        <v>133</v>
      </c>
      <c r="E271" s="40" t="s">
        <v>288</v>
      </c>
      <c r="F271" s="40"/>
      <c r="G271" s="10">
        <f t="shared" si="34"/>
        <v>4430</v>
      </c>
    </row>
    <row r="272" spans="1:8" ht="15.75" x14ac:dyDescent="0.25">
      <c r="A272" s="29" t="s">
        <v>289</v>
      </c>
      <c r="B272" s="20" t="s">
        <v>1009</v>
      </c>
      <c r="C272" s="40" t="s">
        <v>279</v>
      </c>
      <c r="D272" s="40" t="s">
        <v>133</v>
      </c>
      <c r="E272" s="40" t="s">
        <v>290</v>
      </c>
      <c r="F272" s="40"/>
      <c r="G272" s="6">
        <f>'Пр.4 ведом.20'!G588</f>
        <v>4430</v>
      </c>
    </row>
    <row r="273" spans="1:8" s="221" customFormat="1" ht="31.5" x14ac:dyDescent="0.25">
      <c r="A273" s="29" t="s">
        <v>418</v>
      </c>
      <c r="B273" s="20" t="s">
        <v>1009</v>
      </c>
      <c r="C273" s="40" t="s">
        <v>279</v>
      </c>
      <c r="D273" s="40" t="s">
        <v>133</v>
      </c>
      <c r="E273" s="40" t="s">
        <v>290</v>
      </c>
      <c r="F273" s="40" t="s">
        <v>651</v>
      </c>
      <c r="G273" s="10">
        <f>G272</f>
        <v>4430</v>
      </c>
      <c r="H273" s="222"/>
    </row>
    <row r="274" spans="1:8" s="221" customFormat="1" ht="31.5" x14ac:dyDescent="0.25">
      <c r="A274" s="246" t="s">
        <v>1075</v>
      </c>
      <c r="B274" s="24" t="s">
        <v>1010</v>
      </c>
      <c r="C274" s="7"/>
      <c r="D274" s="7"/>
      <c r="E274" s="7"/>
      <c r="F274" s="7"/>
      <c r="G274" s="4">
        <f>G275</f>
        <v>4610</v>
      </c>
      <c r="H274" s="222"/>
    </row>
    <row r="275" spans="1:8" s="221" customFormat="1" ht="15.75" x14ac:dyDescent="0.25">
      <c r="A275" s="29" t="s">
        <v>278</v>
      </c>
      <c r="B275" s="40" t="s">
        <v>1010</v>
      </c>
      <c r="C275" s="40" t="s">
        <v>279</v>
      </c>
      <c r="D275" s="40"/>
      <c r="E275" s="40"/>
      <c r="F275" s="40"/>
      <c r="G275" s="10">
        <f t="shared" ref="G275" si="35">G276</f>
        <v>4610</v>
      </c>
      <c r="H275" s="222"/>
    </row>
    <row r="276" spans="1:8" s="221" customFormat="1" ht="15.75" x14ac:dyDescent="0.25">
      <c r="A276" s="45" t="s">
        <v>419</v>
      </c>
      <c r="B276" s="40" t="s">
        <v>1010</v>
      </c>
      <c r="C276" s="40" t="s">
        <v>279</v>
      </c>
      <c r="D276" s="40" t="s">
        <v>133</v>
      </c>
      <c r="E276" s="40"/>
      <c r="F276" s="40"/>
      <c r="G276" s="10">
        <f>G277+G281+G285</f>
        <v>4610</v>
      </c>
      <c r="H276" s="222"/>
    </row>
    <row r="277" spans="1:8" ht="31.7" hidden="1" customHeight="1" x14ac:dyDescent="0.25">
      <c r="A277" s="29" t="s">
        <v>299</v>
      </c>
      <c r="B277" s="20" t="s">
        <v>1011</v>
      </c>
      <c r="C277" s="40" t="s">
        <v>279</v>
      </c>
      <c r="D277" s="40" t="s">
        <v>133</v>
      </c>
      <c r="E277" s="40"/>
      <c r="F277" s="40"/>
      <c r="G277" s="10">
        <f t="shared" ref="G277:G278" si="36">G278</f>
        <v>0</v>
      </c>
    </row>
    <row r="278" spans="1:8" ht="31.7" hidden="1" customHeight="1" x14ac:dyDescent="0.25">
      <c r="A278" s="29" t="s">
        <v>287</v>
      </c>
      <c r="B278" s="20" t="s">
        <v>1011</v>
      </c>
      <c r="C278" s="40" t="s">
        <v>279</v>
      </c>
      <c r="D278" s="40" t="s">
        <v>133</v>
      </c>
      <c r="E278" s="40" t="s">
        <v>288</v>
      </c>
      <c r="F278" s="40"/>
      <c r="G278" s="10">
        <f t="shared" si="36"/>
        <v>0</v>
      </c>
    </row>
    <row r="279" spans="1:8" ht="15.75" hidden="1" customHeight="1" x14ac:dyDescent="0.25">
      <c r="A279" s="29" t="s">
        <v>289</v>
      </c>
      <c r="B279" s="20" t="s">
        <v>1011</v>
      </c>
      <c r="C279" s="40" t="s">
        <v>279</v>
      </c>
      <c r="D279" s="40" t="s">
        <v>133</v>
      </c>
      <c r="E279" s="40" t="s">
        <v>290</v>
      </c>
      <c r="F279" s="40"/>
      <c r="G279" s="10">
        <f>'Пр.4 ведом.20'!G592</f>
        <v>0</v>
      </c>
    </row>
    <row r="280" spans="1:8" s="221" customFormat="1" ht="15.75" hidden="1" customHeight="1" x14ac:dyDescent="0.25">
      <c r="A280" s="29" t="s">
        <v>418</v>
      </c>
      <c r="B280" s="20" t="s">
        <v>1011</v>
      </c>
      <c r="C280" s="40" t="s">
        <v>279</v>
      </c>
      <c r="D280" s="40" t="s">
        <v>133</v>
      </c>
      <c r="E280" s="40" t="s">
        <v>290</v>
      </c>
      <c r="F280" s="40" t="s">
        <v>651</v>
      </c>
      <c r="G280" s="10">
        <f>G279</f>
        <v>0</v>
      </c>
      <c r="H280" s="222"/>
    </row>
    <row r="281" spans="1:8" ht="31.5" x14ac:dyDescent="0.25">
      <c r="A281" s="60" t="s">
        <v>785</v>
      </c>
      <c r="B281" s="20" t="s">
        <v>1012</v>
      </c>
      <c r="C281" s="20" t="s">
        <v>279</v>
      </c>
      <c r="D281" s="20" t="s">
        <v>133</v>
      </c>
      <c r="E281" s="20"/>
      <c r="F281" s="20"/>
      <c r="G281" s="10">
        <f t="shared" ref="G281:G282" si="37">G282</f>
        <v>2850</v>
      </c>
    </row>
    <row r="282" spans="1:8" ht="31.5" x14ac:dyDescent="0.25">
      <c r="A282" s="29" t="s">
        <v>287</v>
      </c>
      <c r="B282" s="20" t="s">
        <v>1012</v>
      </c>
      <c r="C282" s="20" t="s">
        <v>279</v>
      </c>
      <c r="D282" s="20" t="s">
        <v>133</v>
      </c>
      <c r="E282" s="20" t="s">
        <v>288</v>
      </c>
      <c r="F282" s="20"/>
      <c r="G282" s="10">
        <f t="shared" si="37"/>
        <v>2850</v>
      </c>
    </row>
    <row r="283" spans="1:8" ht="15.75" x14ac:dyDescent="0.25">
      <c r="A283" s="193" t="s">
        <v>289</v>
      </c>
      <c r="B283" s="20" t="s">
        <v>1012</v>
      </c>
      <c r="C283" s="20" t="s">
        <v>279</v>
      </c>
      <c r="D283" s="20" t="s">
        <v>133</v>
      </c>
      <c r="E283" s="20" t="s">
        <v>290</v>
      </c>
      <c r="F283" s="20"/>
      <c r="G283" s="10">
        <f>'Пр.4 ведом.20'!G595</f>
        <v>2850</v>
      </c>
    </row>
    <row r="284" spans="1:8" s="221" customFormat="1" ht="31.5" x14ac:dyDescent="0.25">
      <c r="A284" s="29" t="s">
        <v>418</v>
      </c>
      <c r="B284" s="20" t="s">
        <v>1012</v>
      </c>
      <c r="C284" s="40" t="s">
        <v>279</v>
      </c>
      <c r="D284" s="40" t="s">
        <v>133</v>
      </c>
      <c r="E284" s="40" t="s">
        <v>290</v>
      </c>
      <c r="F284" s="40" t="s">
        <v>651</v>
      </c>
      <c r="G284" s="10">
        <f>G283</f>
        <v>2850</v>
      </c>
      <c r="H284" s="222"/>
    </row>
    <row r="285" spans="1:8" ht="47.25" x14ac:dyDescent="0.25">
      <c r="A285" s="60" t="s">
        <v>786</v>
      </c>
      <c r="B285" s="20" t="s">
        <v>1013</v>
      </c>
      <c r="C285" s="20" t="s">
        <v>279</v>
      </c>
      <c r="D285" s="20" t="s">
        <v>133</v>
      </c>
      <c r="E285" s="20"/>
      <c r="F285" s="20"/>
      <c r="G285" s="10">
        <f t="shared" ref="G285:G286" si="38">G286</f>
        <v>1760</v>
      </c>
    </row>
    <row r="286" spans="1:8" ht="31.5" x14ac:dyDescent="0.25">
      <c r="A286" s="29" t="s">
        <v>287</v>
      </c>
      <c r="B286" s="20" t="s">
        <v>1013</v>
      </c>
      <c r="C286" s="20" t="s">
        <v>279</v>
      </c>
      <c r="D286" s="20" t="s">
        <v>133</v>
      </c>
      <c r="E286" s="20" t="s">
        <v>288</v>
      </c>
      <c r="F286" s="20"/>
      <c r="G286" s="10">
        <f t="shared" si="38"/>
        <v>1760</v>
      </c>
    </row>
    <row r="287" spans="1:8" ht="15.75" x14ac:dyDescent="0.25">
      <c r="A287" s="193" t="s">
        <v>289</v>
      </c>
      <c r="B287" s="20" t="s">
        <v>1013</v>
      </c>
      <c r="C287" s="20" t="s">
        <v>279</v>
      </c>
      <c r="D287" s="20" t="s">
        <v>133</v>
      </c>
      <c r="E287" s="20" t="s">
        <v>290</v>
      </c>
      <c r="F287" s="20"/>
      <c r="G287" s="10">
        <f>'Пр.4 ведом.20'!G598</f>
        <v>1760</v>
      </c>
    </row>
    <row r="288" spans="1:8" s="221" customFormat="1" ht="31.5" x14ac:dyDescent="0.25">
      <c r="A288" s="29" t="s">
        <v>418</v>
      </c>
      <c r="B288" s="20" t="s">
        <v>1013</v>
      </c>
      <c r="C288" s="40" t="s">
        <v>279</v>
      </c>
      <c r="D288" s="40" t="s">
        <v>133</v>
      </c>
      <c r="E288" s="40" t="s">
        <v>290</v>
      </c>
      <c r="F288" s="40" t="s">
        <v>651</v>
      </c>
      <c r="G288" s="10">
        <f>G287</f>
        <v>1760</v>
      </c>
      <c r="H288" s="222"/>
    </row>
    <row r="289" spans="1:8" s="221" customFormat="1" ht="63" x14ac:dyDescent="0.25">
      <c r="A289" s="23" t="s">
        <v>1014</v>
      </c>
      <c r="B289" s="24" t="s">
        <v>1015</v>
      </c>
      <c r="C289" s="24"/>
      <c r="D289" s="24"/>
      <c r="E289" s="24"/>
      <c r="F289" s="24"/>
      <c r="G289" s="59">
        <f>G290</f>
        <v>291.10000000000002</v>
      </c>
      <c r="H289" s="222"/>
    </row>
    <row r="290" spans="1:8" s="221" customFormat="1" ht="15.75" x14ac:dyDescent="0.25">
      <c r="A290" s="29" t="s">
        <v>278</v>
      </c>
      <c r="B290" s="40" t="s">
        <v>1015</v>
      </c>
      <c r="C290" s="40" t="s">
        <v>279</v>
      </c>
      <c r="D290" s="40"/>
      <c r="E290" s="40"/>
      <c r="F290" s="40"/>
      <c r="G290" s="10">
        <f t="shared" ref="G290" si="39">G291</f>
        <v>291.10000000000002</v>
      </c>
      <c r="H290" s="222"/>
    </row>
    <row r="291" spans="1:8" s="221" customFormat="1" ht="15.75" x14ac:dyDescent="0.25">
      <c r="A291" s="45" t="s">
        <v>419</v>
      </c>
      <c r="B291" s="40" t="s">
        <v>1015</v>
      </c>
      <c r="C291" s="40" t="s">
        <v>279</v>
      </c>
      <c r="D291" s="40" t="s">
        <v>133</v>
      </c>
      <c r="E291" s="40"/>
      <c r="F291" s="40"/>
      <c r="G291" s="10">
        <f>G292+G296</f>
        <v>291.10000000000002</v>
      </c>
      <c r="H291" s="222"/>
    </row>
    <row r="292" spans="1:8" ht="130.69999999999999" customHeight="1" x14ac:dyDescent="0.25">
      <c r="A292" s="25" t="s">
        <v>1468</v>
      </c>
      <c r="B292" s="20" t="s">
        <v>1016</v>
      </c>
      <c r="C292" s="20" t="s">
        <v>279</v>
      </c>
      <c r="D292" s="20" t="s">
        <v>133</v>
      </c>
      <c r="E292" s="20"/>
      <c r="F292" s="20"/>
      <c r="G292" s="10">
        <f>G293</f>
        <v>124.4</v>
      </c>
    </row>
    <row r="293" spans="1:8" ht="31.5" x14ac:dyDescent="0.25">
      <c r="A293" s="25" t="s">
        <v>287</v>
      </c>
      <c r="B293" s="20" t="s">
        <v>1016</v>
      </c>
      <c r="C293" s="20" t="s">
        <v>279</v>
      </c>
      <c r="D293" s="20" t="s">
        <v>133</v>
      </c>
      <c r="E293" s="20" t="s">
        <v>288</v>
      </c>
      <c r="F293" s="20"/>
      <c r="G293" s="10">
        <f>G294</f>
        <v>124.4</v>
      </c>
    </row>
    <row r="294" spans="1:8" ht="15.75" x14ac:dyDescent="0.25">
      <c r="A294" s="25" t="s">
        <v>289</v>
      </c>
      <c r="B294" s="20" t="s">
        <v>1016</v>
      </c>
      <c r="C294" s="20" t="s">
        <v>279</v>
      </c>
      <c r="D294" s="20" t="s">
        <v>133</v>
      </c>
      <c r="E294" s="20" t="s">
        <v>290</v>
      </c>
      <c r="F294" s="20"/>
      <c r="G294" s="10">
        <f>'Пр.4 ведом.20'!G602</f>
        <v>124.4</v>
      </c>
    </row>
    <row r="295" spans="1:8" s="221" customFormat="1" ht="31.5" x14ac:dyDescent="0.25">
      <c r="A295" s="29" t="s">
        <v>418</v>
      </c>
      <c r="B295" s="20" t="s">
        <v>1016</v>
      </c>
      <c r="C295" s="40" t="s">
        <v>279</v>
      </c>
      <c r="D295" s="40" t="s">
        <v>133</v>
      </c>
      <c r="E295" s="40" t="s">
        <v>290</v>
      </c>
      <c r="F295" s="40" t="s">
        <v>651</v>
      </c>
      <c r="G295" s="10">
        <f>G294</f>
        <v>124.4</v>
      </c>
      <c r="H295" s="222"/>
    </row>
    <row r="296" spans="1:8" s="221" customFormat="1" ht="126" x14ac:dyDescent="0.25">
      <c r="A296" s="25" t="s">
        <v>438</v>
      </c>
      <c r="B296" s="20" t="s">
        <v>1017</v>
      </c>
      <c r="C296" s="20" t="s">
        <v>279</v>
      </c>
      <c r="D296" s="20" t="s">
        <v>133</v>
      </c>
      <c r="E296" s="20"/>
      <c r="F296" s="20"/>
      <c r="G296" s="10">
        <f>G297</f>
        <v>166.7</v>
      </c>
      <c r="H296" s="222"/>
    </row>
    <row r="297" spans="1:8" s="221" customFormat="1" ht="31.5" x14ac:dyDescent="0.25">
      <c r="A297" s="25" t="s">
        <v>287</v>
      </c>
      <c r="B297" s="20" t="s">
        <v>1017</v>
      </c>
      <c r="C297" s="20" t="s">
        <v>279</v>
      </c>
      <c r="D297" s="20" t="s">
        <v>133</v>
      </c>
      <c r="E297" s="20" t="s">
        <v>288</v>
      </c>
      <c r="F297" s="20"/>
      <c r="G297" s="10">
        <f>G298</f>
        <v>166.7</v>
      </c>
      <c r="H297" s="222"/>
    </row>
    <row r="298" spans="1:8" s="221" customFormat="1" ht="15.75" x14ac:dyDescent="0.25">
      <c r="A298" s="25" t="s">
        <v>289</v>
      </c>
      <c r="B298" s="20" t="s">
        <v>1017</v>
      </c>
      <c r="C298" s="20" t="s">
        <v>279</v>
      </c>
      <c r="D298" s="20" t="s">
        <v>133</v>
      </c>
      <c r="E298" s="20" t="s">
        <v>290</v>
      </c>
      <c r="F298" s="20"/>
      <c r="G298" s="10">
        <f>'Пр.3 Рд,пр, ЦС,ВР 20'!F547</f>
        <v>166.7</v>
      </c>
      <c r="H298" s="222"/>
    </row>
    <row r="299" spans="1:8" s="221" customFormat="1" ht="31.5" x14ac:dyDescent="0.25">
      <c r="A299" s="29" t="s">
        <v>418</v>
      </c>
      <c r="B299" s="20" t="s">
        <v>1017</v>
      </c>
      <c r="C299" s="40" t="s">
        <v>279</v>
      </c>
      <c r="D299" s="40" t="s">
        <v>133</v>
      </c>
      <c r="E299" s="40" t="s">
        <v>290</v>
      </c>
      <c r="F299" s="40" t="s">
        <v>651</v>
      </c>
      <c r="G299" s="10">
        <f>G298</f>
        <v>166.7</v>
      </c>
      <c r="H299" s="222"/>
    </row>
    <row r="300" spans="1:8" s="221" customFormat="1" ht="94.5" x14ac:dyDescent="0.25">
      <c r="A300" s="23" t="s">
        <v>1405</v>
      </c>
      <c r="B300" s="24" t="s">
        <v>1403</v>
      </c>
      <c r="C300" s="24"/>
      <c r="D300" s="24"/>
      <c r="E300" s="40"/>
      <c r="F300" s="40"/>
      <c r="G300" s="59">
        <f>G301</f>
        <v>1666.6</v>
      </c>
      <c r="H300" s="222"/>
    </row>
    <row r="301" spans="1:8" s="221" customFormat="1" ht="15.75" x14ac:dyDescent="0.25">
      <c r="A301" s="29" t="s">
        <v>278</v>
      </c>
      <c r="B301" s="20" t="s">
        <v>1403</v>
      </c>
      <c r="C301" s="20" t="s">
        <v>279</v>
      </c>
      <c r="D301" s="20"/>
      <c r="E301" s="40"/>
      <c r="F301" s="40"/>
      <c r="G301" s="10">
        <f>G302</f>
        <v>1666.6</v>
      </c>
      <c r="H301" s="222"/>
    </row>
    <row r="302" spans="1:8" s="221" customFormat="1" ht="15.75" x14ac:dyDescent="0.25">
      <c r="A302" s="45" t="s">
        <v>419</v>
      </c>
      <c r="B302" s="20" t="s">
        <v>1403</v>
      </c>
      <c r="C302" s="20" t="s">
        <v>279</v>
      </c>
      <c r="D302" s="20" t="s">
        <v>133</v>
      </c>
      <c r="E302" s="40"/>
      <c r="F302" s="40"/>
      <c r="G302" s="10">
        <f>G303+G307</f>
        <v>1666.6</v>
      </c>
      <c r="H302" s="222"/>
    </row>
    <row r="303" spans="1:8" s="221" customFormat="1" ht="88.5" customHeight="1" x14ac:dyDescent="0.25">
      <c r="A303" s="151" t="s">
        <v>1469</v>
      </c>
      <c r="B303" s="20" t="s">
        <v>1407</v>
      </c>
      <c r="C303" s="20" t="s">
        <v>279</v>
      </c>
      <c r="D303" s="20" t="s">
        <v>133</v>
      </c>
      <c r="E303" s="40"/>
      <c r="F303" s="40"/>
      <c r="G303" s="10">
        <f>G304</f>
        <v>0</v>
      </c>
      <c r="H303" s="222"/>
    </row>
    <row r="304" spans="1:8" s="221" customFormat="1" ht="31.5" x14ac:dyDescent="0.25">
      <c r="A304" s="25" t="s">
        <v>287</v>
      </c>
      <c r="B304" s="20" t="s">
        <v>1407</v>
      </c>
      <c r="C304" s="20" t="s">
        <v>279</v>
      </c>
      <c r="D304" s="20" t="s">
        <v>133</v>
      </c>
      <c r="E304" s="20" t="s">
        <v>288</v>
      </c>
      <c r="F304" s="40"/>
      <c r="G304" s="10">
        <f>G305</f>
        <v>0</v>
      </c>
      <c r="H304" s="222"/>
    </row>
    <row r="305" spans="1:8" s="221" customFormat="1" ht="15.75" x14ac:dyDescent="0.25">
      <c r="A305" s="25" t="s">
        <v>289</v>
      </c>
      <c r="B305" s="20" t="s">
        <v>1407</v>
      </c>
      <c r="C305" s="20" t="s">
        <v>279</v>
      </c>
      <c r="D305" s="20" t="s">
        <v>133</v>
      </c>
      <c r="E305" s="20" t="s">
        <v>290</v>
      </c>
      <c r="F305" s="40"/>
      <c r="G305" s="10">
        <f>'Пр.4 ведом.20'!G609</f>
        <v>0</v>
      </c>
      <c r="H305" s="222"/>
    </row>
    <row r="306" spans="1:8" s="221" customFormat="1" ht="31.5" x14ac:dyDescent="0.25">
      <c r="A306" s="29" t="s">
        <v>418</v>
      </c>
      <c r="B306" s="20" t="s">
        <v>1407</v>
      </c>
      <c r="C306" s="20" t="s">
        <v>279</v>
      </c>
      <c r="D306" s="20" t="s">
        <v>133</v>
      </c>
      <c r="E306" s="20" t="s">
        <v>290</v>
      </c>
      <c r="F306" s="40" t="s">
        <v>651</v>
      </c>
      <c r="G306" s="10">
        <f>G301</f>
        <v>1666.6</v>
      </c>
      <c r="H306" s="222"/>
    </row>
    <row r="307" spans="1:8" s="221" customFormat="1" ht="94.5" x14ac:dyDescent="0.25">
      <c r="A307" s="151" t="s">
        <v>1404</v>
      </c>
      <c r="B307" s="20" t="s">
        <v>1406</v>
      </c>
      <c r="C307" s="20" t="s">
        <v>279</v>
      </c>
      <c r="D307" s="20" t="s">
        <v>133</v>
      </c>
      <c r="E307" s="20"/>
      <c r="F307" s="40"/>
      <c r="G307" s="10">
        <f>G308</f>
        <v>1666.6</v>
      </c>
      <c r="H307" s="222"/>
    </row>
    <row r="308" spans="1:8" s="221" customFormat="1" ht="31.5" x14ac:dyDescent="0.25">
      <c r="A308" s="25" t="s">
        <v>287</v>
      </c>
      <c r="B308" s="20" t="s">
        <v>1406</v>
      </c>
      <c r="C308" s="20" t="s">
        <v>279</v>
      </c>
      <c r="D308" s="20" t="s">
        <v>133</v>
      </c>
      <c r="E308" s="20" t="s">
        <v>288</v>
      </c>
      <c r="F308" s="40"/>
      <c r="G308" s="10">
        <f>G309</f>
        <v>1666.6</v>
      </c>
      <c r="H308" s="222"/>
    </row>
    <row r="309" spans="1:8" s="221" customFormat="1" ht="15.75" x14ac:dyDescent="0.25">
      <c r="A309" s="25" t="s">
        <v>289</v>
      </c>
      <c r="B309" s="20" t="s">
        <v>1406</v>
      </c>
      <c r="C309" s="20" t="s">
        <v>279</v>
      </c>
      <c r="D309" s="20" t="s">
        <v>133</v>
      </c>
      <c r="E309" s="20" t="s">
        <v>290</v>
      </c>
      <c r="F309" s="40"/>
      <c r="G309" s="10">
        <f>'Пр.4 ведом.20'!G612</f>
        <v>1666.6</v>
      </c>
      <c r="H309" s="222"/>
    </row>
    <row r="310" spans="1:8" s="221" customFormat="1" ht="31.5" x14ac:dyDescent="0.25">
      <c r="A310" s="29" t="s">
        <v>418</v>
      </c>
      <c r="B310" s="20" t="s">
        <v>1406</v>
      </c>
      <c r="C310" s="20" t="s">
        <v>279</v>
      </c>
      <c r="D310" s="20" t="s">
        <v>133</v>
      </c>
      <c r="E310" s="20" t="s">
        <v>290</v>
      </c>
      <c r="F310" s="40" t="s">
        <v>651</v>
      </c>
      <c r="G310" s="10">
        <f>G307</f>
        <v>1666.6</v>
      </c>
      <c r="H310" s="222"/>
    </row>
    <row r="311" spans="1:8" ht="31.5" x14ac:dyDescent="0.25">
      <c r="A311" s="41" t="s">
        <v>445</v>
      </c>
      <c r="B311" s="7" t="s">
        <v>446</v>
      </c>
      <c r="C311" s="7"/>
      <c r="D311" s="7"/>
      <c r="E311" s="7"/>
      <c r="F311" s="7"/>
      <c r="G311" s="4">
        <f>G312+G331+G342+G353+G364+G375</f>
        <v>10469.558999999999</v>
      </c>
    </row>
    <row r="312" spans="1:8" s="221" customFormat="1" ht="31.5" x14ac:dyDescent="0.25">
      <c r="A312" s="23" t="s">
        <v>1027</v>
      </c>
      <c r="B312" s="24" t="s">
        <v>1028</v>
      </c>
      <c r="C312" s="7"/>
      <c r="D312" s="7"/>
      <c r="E312" s="7"/>
      <c r="F312" s="7"/>
      <c r="G312" s="4">
        <f>G313</f>
        <v>688</v>
      </c>
      <c r="H312" s="222"/>
    </row>
    <row r="313" spans="1:8" ht="15.75" x14ac:dyDescent="0.25">
      <c r="A313" s="29" t="s">
        <v>278</v>
      </c>
      <c r="B313" s="40" t="s">
        <v>1028</v>
      </c>
      <c r="C313" s="40" t="s">
        <v>279</v>
      </c>
      <c r="D313" s="40"/>
      <c r="E313" s="40"/>
      <c r="F313" s="40"/>
      <c r="G313" s="10">
        <f t="shared" ref="G313" si="40">G314</f>
        <v>688</v>
      </c>
    </row>
    <row r="314" spans="1:8" ht="15.75" x14ac:dyDescent="0.25">
      <c r="A314" s="29" t="s">
        <v>440</v>
      </c>
      <c r="B314" s="40" t="s">
        <v>1028</v>
      </c>
      <c r="C314" s="40" t="s">
        <v>279</v>
      </c>
      <c r="D314" s="40" t="s">
        <v>228</v>
      </c>
      <c r="E314" s="40"/>
      <c r="F314" s="40"/>
      <c r="G314" s="10">
        <f>G315+G319+G323+G327</f>
        <v>688</v>
      </c>
    </row>
    <row r="315" spans="1:8" ht="47.25" hidden="1" x14ac:dyDescent="0.25">
      <c r="A315" s="25" t="s">
        <v>811</v>
      </c>
      <c r="B315" s="20" t="s">
        <v>1032</v>
      </c>
      <c r="C315" s="40" t="s">
        <v>279</v>
      </c>
      <c r="D315" s="40" t="s">
        <v>228</v>
      </c>
      <c r="E315" s="40"/>
      <c r="F315" s="40"/>
      <c r="G315" s="6">
        <f>G316</f>
        <v>0</v>
      </c>
    </row>
    <row r="316" spans="1:8" ht="31.5" hidden="1" x14ac:dyDescent="0.25">
      <c r="A316" s="25" t="s">
        <v>287</v>
      </c>
      <c r="B316" s="20" t="s">
        <v>1032</v>
      </c>
      <c r="C316" s="40" t="s">
        <v>279</v>
      </c>
      <c r="D316" s="40" t="s">
        <v>228</v>
      </c>
      <c r="E316" s="40" t="s">
        <v>288</v>
      </c>
      <c r="F316" s="40"/>
      <c r="G316" s="6">
        <f>G317</f>
        <v>0</v>
      </c>
    </row>
    <row r="317" spans="1:8" ht="15.75" hidden="1" x14ac:dyDescent="0.25">
      <c r="A317" s="25" t="s">
        <v>289</v>
      </c>
      <c r="B317" s="20" t="s">
        <v>1032</v>
      </c>
      <c r="C317" s="40" t="s">
        <v>279</v>
      </c>
      <c r="D317" s="40" t="s">
        <v>228</v>
      </c>
      <c r="E317" s="40" t="s">
        <v>290</v>
      </c>
      <c r="F317" s="40"/>
      <c r="G317" s="6">
        <f>'Пр.4 ведом.20'!G659</f>
        <v>0</v>
      </c>
    </row>
    <row r="318" spans="1:8" s="221" customFormat="1" ht="31.5" hidden="1" x14ac:dyDescent="0.25">
      <c r="A318" s="29" t="s">
        <v>418</v>
      </c>
      <c r="B318" s="20" t="s">
        <v>1032</v>
      </c>
      <c r="C318" s="40" t="s">
        <v>279</v>
      </c>
      <c r="D318" s="40" t="s">
        <v>228</v>
      </c>
      <c r="E318" s="40" t="s">
        <v>290</v>
      </c>
      <c r="F318" s="40" t="s">
        <v>651</v>
      </c>
      <c r="G318" s="10">
        <f>G317</f>
        <v>0</v>
      </c>
      <c r="H318" s="222"/>
    </row>
    <row r="319" spans="1:8" ht="31.5" hidden="1" x14ac:dyDescent="0.25">
      <c r="A319" s="25" t="s">
        <v>293</v>
      </c>
      <c r="B319" s="20" t="s">
        <v>1033</v>
      </c>
      <c r="C319" s="40" t="s">
        <v>279</v>
      </c>
      <c r="D319" s="40" t="s">
        <v>228</v>
      </c>
      <c r="E319" s="40"/>
      <c r="F319" s="40"/>
      <c r="G319" s="6">
        <f t="shared" ref="G319:G320" si="41">G320</f>
        <v>0</v>
      </c>
    </row>
    <row r="320" spans="1:8" ht="31.5" hidden="1" x14ac:dyDescent="0.25">
      <c r="A320" s="25" t="s">
        <v>287</v>
      </c>
      <c r="B320" s="20" t="s">
        <v>1033</v>
      </c>
      <c r="C320" s="40" t="s">
        <v>279</v>
      </c>
      <c r="D320" s="40" t="s">
        <v>228</v>
      </c>
      <c r="E320" s="40" t="s">
        <v>288</v>
      </c>
      <c r="F320" s="40"/>
      <c r="G320" s="6">
        <f t="shared" si="41"/>
        <v>0</v>
      </c>
    </row>
    <row r="321" spans="1:8" ht="15.75" hidden="1" x14ac:dyDescent="0.25">
      <c r="A321" s="25" t="s">
        <v>289</v>
      </c>
      <c r="B321" s="20" t="s">
        <v>1033</v>
      </c>
      <c r="C321" s="40" t="s">
        <v>279</v>
      </c>
      <c r="D321" s="40" t="s">
        <v>228</v>
      </c>
      <c r="E321" s="40" t="s">
        <v>290</v>
      </c>
      <c r="F321" s="40"/>
      <c r="G321" s="6">
        <f>'Пр.4 ведом.20'!G662</f>
        <v>0</v>
      </c>
    </row>
    <row r="322" spans="1:8" s="221" customFormat="1" ht="31.5" hidden="1" x14ac:dyDescent="0.25">
      <c r="A322" s="29" t="s">
        <v>418</v>
      </c>
      <c r="B322" s="20" t="s">
        <v>1033</v>
      </c>
      <c r="C322" s="40" t="s">
        <v>279</v>
      </c>
      <c r="D322" s="40" t="s">
        <v>228</v>
      </c>
      <c r="E322" s="40" t="s">
        <v>290</v>
      </c>
      <c r="F322" s="40" t="s">
        <v>651</v>
      </c>
      <c r="G322" s="10">
        <f>G321</f>
        <v>0</v>
      </c>
      <c r="H322" s="222"/>
    </row>
    <row r="323" spans="1:8" ht="31.7" customHeight="1" x14ac:dyDescent="0.25">
      <c r="A323" s="25" t="s">
        <v>295</v>
      </c>
      <c r="B323" s="20" t="s">
        <v>1034</v>
      </c>
      <c r="C323" s="40" t="s">
        <v>279</v>
      </c>
      <c r="D323" s="40" t="s">
        <v>228</v>
      </c>
      <c r="E323" s="40"/>
      <c r="F323" s="40"/>
      <c r="G323" s="6">
        <f t="shared" ref="G323:G324" si="42">G324</f>
        <v>464</v>
      </c>
    </row>
    <row r="324" spans="1:8" ht="31.7" customHeight="1" x14ac:dyDescent="0.25">
      <c r="A324" s="25" t="s">
        <v>287</v>
      </c>
      <c r="B324" s="20" t="s">
        <v>1034</v>
      </c>
      <c r="C324" s="40" t="s">
        <v>279</v>
      </c>
      <c r="D324" s="40" t="s">
        <v>228</v>
      </c>
      <c r="E324" s="40" t="s">
        <v>288</v>
      </c>
      <c r="F324" s="40"/>
      <c r="G324" s="6">
        <f t="shared" si="42"/>
        <v>464</v>
      </c>
    </row>
    <row r="325" spans="1:8" ht="15.75" customHeight="1" x14ac:dyDescent="0.25">
      <c r="A325" s="25" t="s">
        <v>289</v>
      </c>
      <c r="B325" s="20" t="s">
        <v>1034</v>
      </c>
      <c r="C325" s="40" t="s">
        <v>279</v>
      </c>
      <c r="D325" s="40" t="s">
        <v>228</v>
      </c>
      <c r="E325" s="40" t="s">
        <v>290</v>
      </c>
      <c r="F325" s="40"/>
      <c r="G325" s="6">
        <f>'Пр.4 ведом.20'!G665</f>
        <v>464</v>
      </c>
    </row>
    <row r="326" spans="1:8" s="221" customFormat="1" ht="15.75" customHeight="1" x14ac:dyDescent="0.25">
      <c r="A326" s="29" t="s">
        <v>418</v>
      </c>
      <c r="B326" s="20" t="s">
        <v>1034</v>
      </c>
      <c r="C326" s="40" t="s">
        <v>279</v>
      </c>
      <c r="D326" s="40" t="s">
        <v>228</v>
      </c>
      <c r="E326" s="40" t="s">
        <v>290</v>
      </c>
      <c r="F326" s="40" t="s">
        <v>651</v>
      </c>
      <c r="G326" s="10">
        <f>G325</f>
        <v>464</v>
      </c>
      <c r="H326" s="222"/>
    </row>
    <row r="327" spans="1:8" ht="31.5" x14ac:dyDescent="0.25">
      <c r="A327" s="29" t="s">
        <v>297</v>
      </c>
      <c r="B327" s="20" t="s">
        <v>1035</v>
      </c>
      <c r="C327" s="40" t="s">
        <v>279</v>
      </c>
      <c r="D327" s="40" t="s">
        <v>228</v>
      </c>
      <c r="E327" s="40"/>
      <c r="F327" s="40"/>
      <c r="G327" s="10">
        <f t="shared" ref="G327:G328" si="43">G328</f>
        <v>224</v>
      </c>
    </row>
    <row r="328" spans="1:8" ht="31.5" x14ac:dyDescent="0.25">
      <c r="A328" s="29" t="s">
        <v>287</v>
      </c>
      <c r="B328" s="20" t="s">
        <v>1035</v>
      </c>
      <c r="C328" s="40" t="s">
        <v>279</v>
      </c>
      <c r="D328" s="40" t="s">
        <v>228</v>
      </c>
      <c r="E328" s="40" t="s">
        <v>288</v>
      </c>
      <c r="F328" s="40"/>
      <c r="G328" s="10">
        <f t="shared" si="43"/>
        <v>224</v>
      </c>
    </row>
    <row r="329" spans="1:8" ht="21.75" customHeight="1" x14ac:dyDescent="0.25">
      <c r="A329" s="29" t="s">
        <v>289</v>
      </c>
      <c r="B329" s="20" t="s">
        <v>1035</v>
      </c>
      <c r="C329" s="40" t="s">
        <v>279</v>
      </c>
      <c r="D329" s="40" t="s">
        <v>228</v>
      </c>
      <c r="E329" s="40" t="s">
        <v>290</v>
      </c>
      <c r="F329" s="40"/>
      <c r="G329" s="10">
        <f>'Пр.4 ведом.20'!G668</f>
        <v>224</v>
      </c>
    </row>
    <row r="330" spans="1:8" s="221" customFormat="1" ht="33" customHeight="1" x14ac:dyDescent="0.25">
      <c r="A330" s="29" t="s">
        <v>418</v>
      </c>
      <c r="B330" s="20" t="s">
        <v>1035</v>
      </c>
      <c r="C330" s="40" t="s">
        <v>279</v>
      </c>
      <c r="D330" s="40" t="s">
        <v>228</v>
      </c>
      <c r="E330" s="40" t="s">
        <v>290</v>
      </c>
      <c r="F330" s="40" t="s">
        <v>651</v>
      </c>
      <c r="G330" s="10">
        <f>G329</f>
        <v>224</v>
      </c>
      <c r="H330" s="222"/>
    </row>
    <row r="331" spans="1:8" s="221" customFormat="1" ht="33" customHeight="1" x14ac:dyDescent="0.25">
      <c r="A331" s="23" t="s">
        <v>1029</v>
      </c>
      <c r="B331" s="24" t="s">
        <v>1030</v>
      </c>
      <c r="C331" s="7"/>
      <c r="D331" s="7"/>
      <c r="E331" s="7"/>
      <c r="F331" s="7"/>
      <c r="G331" s="59">
        <f>G334+G338</f>
        <v>3865.2</v>
      </c>
      <c r="H331" s="222"/>
    </row>
    <row r="332" spans="1:8" s="221" customFormat="1" ht="17.45" customHeight="1" x14ac:dyDescent="0.25">
      <c r="A332" s="29" t="s">
        <v>278</v>
      </c>
      <c r="B332" s="40" t="s">
        <v>1030</v>
      </c>
      <c r="C332" s="40" t="s">
        <v>279</v>
      </c>
      <c r="D332" s="40"/>
      <c r="E332" s="40"/>
      <c r="F332" s="40"/>
      <c r="G332" s="10">
        <f t="shared" ref="G332" si="44">G333</f>
        <v>3865.2</v>
      </c>
      <c r="H332" s="222"/>
    </row>
    <row r="333" spans="1:8" s="221" customFormat="1" ht="15.75" customHeight="1" x14ac:dyDescent="0.25">
      <c r="A333" s="29" t="s">
        <v>440</v>
      </c>
      <c r="B333" s="40" t="s">
        <v>1030</v>
      </c>
      <c r="C333" s="40" t="s">
        <v>279</v>
      </c>
      <c r="D333" s="40" t="s">
        <v>228</v>
      </c>
      <c r="E333" s="40"/>
      <c r="F333" s="40"/>
      <c r="G333" s="10">
        <f>G334+G338</f>
        <v>3865.2</v>
      </c>
      <c r="H333" s="222"/>
    </row>
    <row r="334" spans="1:8" s="221" customFormat="1" ht="47.25" customHeight="1" x14ac:dyDescent="0.25">
      <c r="A334" s="29" t="s">
        <v>617</v>
      </c>
      <c r="B334" s="20" t="s">
        <v>1036</v>
      </c>
      <c r="C334" s="40" t="s">
        <v>279</v>
      </c>
      <c r="D334" s="40" t="s">
        <v>228</v>
      </c>
      <c r="E334" s="40"/>
      <c r="F334" s="40"/>
      <c r="G334" s="10">
        <f t="shared" ref="G334:G335" si="45">G335</f>
        <v>2200</v>
      </c>
      <c r="H334" s="222"/>
    </row>
    <row r="335" spans="1:8" s="221" customFormat="1" ht="36.75" customHeight="1" x14ac:dyDescent="0.25">
      <c r="A335" s="29" t="s">
        <v>287</v>
      </c>
      <c r="B335" s="20" t="s">
        <v>1036</v>
      </c>
      <c r="C335" s="40" t="s">
        <v>279</v>
      </c>
      <c r="D335" s="40" t="s">
        <v>228</v>
      </c>
      <c r="E335" s="40" t="s">
        <v>288</v>
      </c>
      <c r="F335" s="40"/>
      <c r="G335" s="10">
        <f t="shared" si="45"/>
        <v>2200</v>
      </c>
      <c r="H335" s="222"/>
    </row>
    <row r="336" spans="1:8" s="221" customFormat="1" ht="18" customHeight="1" x14ac:dyDescent="0.25">
      <c r="A336" s="29" t="s">
        <v>289</v>
      </c>
      <c r="B336" s="20" t="s">
        <v>1036</v>
      </c>
      <c r="C336" s="40" t="s">
        <v>279</v>
      </c>
      <c r="D336" s="40" t="s">
        <v>228</v>
      </c>
      <c r="E336" s="40" t="s">
        <v>290</v>
      </c>
      <c r="F336" s="40"/>
      <c r="G336" s="6">
        <f>'Пр.4 ведом.20'!G672</f>
        <v>2200</v>
      </c>
      <c r="H336" s="222"/>
    </row>
    <row r="337" spans="1:8" s="221" customFormat="1" ht="36.75" customHeight="1" x14ac:dyDescent="0.25">
      <c r="A337" s="29" t="s">
        <v>418</v>
      </c>
      <c r="B337" s="20" t="s">
        <v>1036</v>
      </c>
      <c r="C337" s="40" t="s">
        <v>279</v>
      </c>
      <c r="D337" s="40" t="s">
        <v>228</v>
      </c>
      <c r="E337" s="40" t="s">
        <v>290</v>
      </c>
      <c r="F337" s="40" t="s">
        <v>651</v>
      </c>
      <c r="G337" s="10">
        <f>G336</f>
        <v>2200</v>
      </c>
      <c r="H337" s="222"/>
    </row>
    <row r="338" spans="1:8" s="221" customFormat="1" ht="36" customHeight="1" x14ac:dyDescent="0.25">
      <c r="A338" s="25" t="s">
        <v>471</v>
      </c>
      <c r="B338" s="20" t="s">
        <v>1037</v>
      </c>
      <c r="C338" s="40" t="s">
        <v>279</v>
      </c>
      <c r="D338" s="40" t="s">
        <v>228</v>
      </c>
      <c r="E338" s="40"/>
      <c r="F338" s="40"/>
      <c r="G338" s="10">
        <f>G339</f>
        <v>1665.2</v>
      </c>
      <c r="H338" s="222"/>
    </row>
    <row r="339" spans="1:8" s="221" customFormat="1" ht="36.75" customHeight="1" x14ac:dyDescent="0.25">
      <c r="A339" s="25" t="s">
        <v>287</v>
      </c>
      <c r="B339" s="20" t="s">
        <v>1037</v>
      </c>
      <c r="C339" s="40" t="s">
        <v>279</v>
      </c>
      <c r="D339" s="40" t="s">
        <v>228</v>
      </c>
      <c r="E339" s="40" t="s">
        <v>288</v>
      </c>
      <c r="F339" s="40"/>
      <c r="G339" s="10">
        <f>G340</f>
        <v>1665.2</v>
      </c>
      <c r="H339" s="222"/>
    </row>
    <row r="340" spans="1:8" s="221" customFormat="1" ht="15.75" customHeight="1" x14ac:dyDescent="0.25">
      <c r="A340" s="25" t="s">
        <v>289</v>
      </c>
      <c r="B340" s="20" t="s">
        <v>1037</v>
      </c>
      <c r="C340" s="40" t="s">
        <v>279</v>
      </c>
      <c r="D340" s="40" t="s">
        <v>228</v>
      </c>
      <c r="E340" s="40" t="s">
        <v>290</v>
      </c>
      <c r="F340" s="40"/>
      <c r="G340" s="10">
        <f>'Пр.4 ведом.20'!G675</f>
        <v>1665.2</v>
      </c>
      <c r="H340" s="222"/>
    </row>
    <row r="341" spans="1:8" s="221" customFormat="1" ht="38.25" customHeight="1" x14ac:dyDescent="0.25">
      <c r="A341" s="29" t="s">
        <v>418</v>
      </c>
      <c r="B341" s="20" t="s">
        <v>1037</v>
      </c>
      <c r="C341" s="40" t="s">
        <v>279</v>
      </c>
      <c r="D341" s="40" t="s">
        <v>228</v>
      </c>
      <c r="E341" s="40" t="s">
        <v>290</v>
      </c>
      <c r="F341" s="40" t="s">
        <v>651</v>
      </c>
      <c r="G341" s="10">
        <f>G340</f>
        <v>1665.2</v>
      </c>
      <c r="H341" s="222"/>
    </row>
    <row r="342" spans="1:8" s="221" customFormat="1" ht="31.7" customHeight="1" x14ac:dyDescent="0.25">
      <c r="A342" s="23" t="s">
        <v>1031</v>
      </c>
      <c r="B342" s="24" t="s">
        <v>1038</v>
      </c>
      <c r="C342" s="7"/>
      <c r="D342" s="7"/>
      <c r="E342" s="7"/>
      <c r="F342" s="7"/>
      <c r="G342" s="59">
        <f>G345+G349</f>
        <v>1364.7</v>
      </c>
      <c r="H342" s="222"/>
    </row>
    <row r="343" spans="1:8" s="221" customFormat="1" ht="18" customHeight="1" x14ac:dyDescent="0.25">
      <c r="A343" s="29" t="s">
        <v>278</v>
      </c>
      <c r="B343" s="40" t="s">
        <v>1038</v>
      </c>
      <c r="C343" s="40" t="s">
        <v>279</v>
      </c>
      <c r="D343" s="40"/>
      <c r="E343" s="40"/>
      <c r="F343" s="40"/>
      <c r="G343" s="10">
        <f t="shared" ref="G343" si="46">G344</f>
        <v>1364.7</v>
      </c>
      <c r="H343" s="222"/>
    </row>
    <row r="344" spans="1:8" s="221" customFormat="1" ht="15" customHeight="1" x14ac:dyDescent="0.25">
      <c r="A344" s="29" t="s">
        <v>440</v>
      </c>
      <c r="B344" s="40" t="s">
        <v>1038</v>
      </c>
      <c r="C344" s="40" t="s">
        <v>279</v>
      </c>
      <c r="D344" s="40" t="s">
        <v>228</v>
      </c>
      <c r="E344" s="40"/>
      <c r="F344" s="40"/>
      <c r="G344" s="10">
        <f>G345+G349</f>
        <v>1364.7</v>
      </c>
      <c r="H344" s="222"/>
    </row>
    <row r="345" spans="1:8" s="221" customFormat="1" ht="47.25" customHeight="1" x14ac:dyDescent="0.25">
      <c r="A345" s="25" t="s">
        <v>453</v>
      </c>
      <c r="B345" s="20" t="s">
        <v>1039</v>
      </c>
      <c r="C345" s="40" t="s">
        <v>279</v>
      </c>
      <c r="D345" s="40" t="s">
        <v>228</v>
      </c>
      <c r="E345" s="40"/>
      <c r="F345" s="40"/>
      <c r="G345" s="10">
        <f>G346</f>
        <v>868</v>
      </c>
      <c r="H345" s="222"/>
    </row>
    <row r="346" spans="1:8" s="221" customFormat="1" ht="37.5" customHeight="1" x14ac:dyDescent="0.25">
      <c r="A346" s="25" t="s">
        <v>287</v>
      </c>
      <c r="B346" s="20" t="s">
        <v>1039</v>
      </c>
      <c r="C346" s="40" t="s">
        <v>279</v>
      </c>
      <c r="D346" s="40" t="s">
        <v>228</v>
      </c>
      <c r="E346" s="40" t="s">
        <v>288</v>
      </c>
      <c r="F346" s="40"/>
      <c r="G346" s="10">
        <f>G347</f>
        <v>868</v>
      </c>
      <c r="H346" s="222"/>
    </row>
    <row r="347" spans="1:8" s="221" customFormat="1" ht="15.75" customHeight="1" x14ac:dyDescent="0.25">
      <c r="A347" s="25" t="s">
        <v>289</v>
      </c>
      <c r="B347" s="20" t="s">
        <v>1039</v>
      </c>
      <c r="C347" s="40" t="s">
        <v>279</v>
      </c>
      <c r="D347" s="40" t="s">
        <v>228</v>
      </c>
      <c r="E347" s="40" t="s">
        <v>290</v>
      </c>
      <c r="F347" s="40"/>
      <c r="G347" s="10">
        <f>'Пр.3 Рд,пр, ЦС,ВР 20'!F621</f>
        <v>868</v>
      </c>
      <c r="H347" s="222"/>
    </row>
    <row r="348" spans="1:8" s="221" customFormat="1" ht="37.5" customHeight="1" x14ac:dyDescent="0.25">
      <c r="A348" s="29" t="s">
        <v>418</v>
      </c>
      <c r="B348" s="20" t="s">
        <v>1039</v>
      </c>
      <c r="C348" s="40" t="s">
        <v>279</v>
      </c>
      <c r="D348" s="40" t="s">
        <v>228</v>
      </c>
      <c r="E348" s="40" t="s">
        <v>290</v>
      </c>
      <c r="F348" s="40" t="s">
        <v>651</v>
      </c>
      <c r="G348" s="10">
        <f>G347</f>
        <v>868</v>
      </c>
      <c r="H348" s="222"/>
    </row>
    <row r="349" spans="1:8" s="221" customFormat="1" ht="54" customHeight="1" x14ac:dyDescent="0.25">
      <c r="A349" s="25" t="s">
        <v>473</v>
      </c>
      <c r="B349" s="20" t="s">
        <v>1040</v>
      </c>
      <c r="C349" s="40" t="s">
        <v>279</v>
      </c>
      <c r="D349" s="40" t="s">
        <v>228</v>
      </c>
      <c r="E349" s="40"/>
      <c r="F349" s="40"/>
      <c r="G349" s="10">
        <f>G350</f>
        <v>496.7</v>
      </c>
      <c r="H349" s="222"/>
    </row>
    <row r="350" spans="1:8" s="221" customFormat="1" ht="36" customHeight="1" x14ac:dyDescent="0.25">
      <c r="A350" s="289" t="s">
        <v>287</v>
      </c>
      <c r="B350" s="20" t="s">
        <v>1040</v>
      </c>
      <c r="C350" s="40" t="s">
        <v>279</v>
      </c>
      <c r="D350" s="40" t="s">
        <v>228</v>
      </c>
      <c r="E350" s="40" t="s">
        <v>288</v>
      </c>
      <c r="F350" s="40"/>
      <c r="G350" s="10">
        <f>G351</f>
        <v>496.7</v>
      </c>
      <c r="H350" s="222"/>
    </row>
    <row r="351" spans="1:8" s="221" customFormat="1" ht="15.75" customHeight="1" x14ac:dyDescent="0.25">
      <c r="A351" s="25" t="s">
        <v>289</v>
      </c>
      <c r="B351" s="20" t="s">
        <v>1040</v>
      </c>
      <c r="C351" s="40" t="s">
        <v>279</v>
      </c>
      <c r="D351" s="40" t="s">
        <v>228</v>
      </c>
      <c r="E351" s="40" t="s">
        <v>290</v>
      </c>
      <c r="F351" s="40"/>
      <c r="G351" s="10">
        <f>'Пр.3 Рд,пр, ЦС,ВР 20'!F624</f>
        <v>496.7</v>
      </c>
      <c r="H351" s="222"/>
    </row>
    <row r="352" spans="1:8" s="221" customFormat="1" ht="41.25" customHeight="1" x14ac:dyDescent="0.25">
      <c r="A352" s="29" t="s">
        <v>418</v>
      </c>
      <c r="B352" s="20" t="s">
        <v>1040</v>
      </c>
      <c r="C352" s="40" t="s">
        <v>279</v>
      </c>
      <c r="D352" s="40" t="s">
        <v>228</v>
      </c>
      <c r="E352" s="40" t="s">
        <v>290</v>
      </c>
      <c r="F352" s="40" t="s">
        <v>651</v>
      </c>
      <c r="G352" s="10">
        <f>G351</f>
        <v>496.7</v>
      </c>
      <c r="H352" s="222"/>
    </row>
    <row r="353" spans="1:8" s="221" customFormat="1" ht="34.5" customHeight="1" x14ac:dyDescent="0.25">
      <c r="A353" s="246" t="s">
        <v>1075</v>
      </c>
      <c r="B353" s="24" t="s">
        <v>1041</v>
      </c>
      <c r="C353" s="7"/>
      <c r="D353" s="7"/>
      <c r="E353" s="7"/>
      <c r="F353" s="7"/>
      <c r="G353" s="59">
        <f>G356+G360</f>
        <v>2634</v>
      </c>
      <c r="H353" s="222"/>
    </row>
    <row r="354" spans="1:8" s="221" customFormat="1" ht="18.75" customHeight="1" x14ac:dyDescent="0.25">
      <c r="A354" s="29" t="s">
        <v>278</v>
      </c>
      <c r="B354" s="40" t="s">
        <v>1041</v>
      </c>
      <c r="C354" s="40" t="s">
        <v>279</v>
      </c>
      <c r="D354" s="40"/>
      <c r="E354" s="40"/>
      <c r="F354" s="40"/>
      <c r="G354" s="10">
        <f t="shared" ref="G354" si="47">G355</f>
        <v>2634</v>
      </c>
      <c r="H354" s="222"/>
    </row>
    <row r="355" spans="1:8" s="221" customFormat="1" ht="20.25" customHeight="1" x14ac:dyDescent="0.25">
      <c r="A355" s="29" t="s">
        <v>440</v>
      </c>
      <c r="B355" s="40" t="s">
        <v>1041</v>
      </c>
      <c r="C355" s="40" t="s">
        <v>279</v>
      </c>
      <c r="D355" s="40" t="s">
        <v>228</v>
      </c>
      <c r="E355" s="40"/>
      <c r="F355" s="40"/>
      <c r="G355" s="10">
        <f>G356+G360</f>
        <v>2634</v>
      </c>
      <c r="H355" s="222"/>
    </row>
    <row r="356" spans="1:8" ht="31.7" hidden="1" customHeight="1" x14ac:dyDescent="0.25">
      <c r="A356" s="29" t="s">
        <v>299</v>
      </c>
      <c r="B356" s="20" t="s">
        <v>1043</v>
      </c>
      <c r="C356" s="40" t="s">
        <v>279</v>
      </c>
      <c r="D356" s="40" t="s">
        <v>228</v>
      </c>
      <c r="E356" s="40"/>
      <c r="F356" s="40"/>
      <c r="G356" s="10">
        <f t="shared" ref="G356:G357" si="48">G357</f>
        <v>0</v>
      </c>
    </row>
    <row r="357" spans="1:8" ht="31.7" hidden="1" customHeight="1" x14ac:dyDescent="0.25">
      <c r="A357" s="29" t="s">
        <v>287</v>
      </c>
      <c r="B357" s="20" t="s">
        <v>1043</v>
      </c>
      <c r="C357" s="40" t="s">
        <v>279</v>
      </c>
      <c r="D357" s="40" t="s">
        <v>228</v>
      </c>
      <c r="E357" s="40" t="s">
        <v>288</v>
      </c>
      <c r="F357" s="40"/>
      <c r="G357" s="10">
        <f t="shared" si="48"/>
        <v>0</v>
      </c>
    </row>
    <row r="358" spans="1:8" ht="26.45" hidden="1" customHeight="1" x14ac:dyDescent="0.25">
      <c r="A358" s="29" t="s">
        <v>289</v>
      </c>
      <c r="B358" s="20" t="s">
        <v>1043</v>
      </c>
      <c r="C358" s="40" t="s">
        <v>279</v>
      </c>
      <c r="D358" s="40" t="s">
        <v>228</v>
      </c>
      <c r="E358" s="40" t="s">
        <v>290</v>
      </c>
      <c r="F358" s="40"/>
      <c r="G358" s="10">
        <f>'Пр.4 ведом.20'!G686</f>
        <v>0</v>
      </c>
    </row>
    <row r="359" spans="1:8" s="221" customFormat="1" ht="34.5" hidden="1" customHeight="1" x14ac:dyDescent="0.25">
      <c r="A359" s="29" t="s">
        <v>418</v>
      </c>
      <c r="B359" s="20" t="s">
        <v>1043</v>
      </c>
      <c r="C359" s="40" t="s">
        <v>279</v>
      </c>
      <c r="D359" s="40" t="s">
        <v>228</v>
      </c>
      <c r="E359" s="40" t="s">
        <v>290</v>
      </c>
      <c r="F359" s="40" t="s">
        <v>651</v>
      </c>
      <c r="G359" s="10">
        <f>G358</f>
        <v>0</v>
      </c>
      <c r="H359" s="222"/>
    </row>
    <row r="360" spans="1:8" ht="34.5" customHeight="1" x14ac:dyDescent="0.25">
      <c r="A360" s="60" t="s">
        <v>785</v>
      </c>
      <c r="B360" s="20" t="s">
        <v>1044</v>
      </c>
      <c r="C360" s="40" t="s">
        <v>279</v>
      </c>
      <c r="D360" s="40" t="s">
        <v>228</v>
      </c>
      <c r="E360" s="40"/>
      <c r="F360" s="40"/>
      <c r="G360" s="10">
        <f t="shared" ref="G360:G361" si="49">G361</f>
        <v>2634</v>
      </c>
    </row>
    <row r="361" spans="1:8" ht="40.700000000000003" customHeight="1" x14ac:dyDescent="0.25">
      <c r="A361" s="29" t="s">
        <v>287</v>
      </c>
      <c r="B361" s="20" t="s">
        <v>1044</v>
      </c>
      <c r="C361" s="40" t="s">
        <v>279</v>
      </c>
      <c r="D361" s="40" t="s">
        <v>228</v>
      </c>
      <c r="E361" s="40" t="s">
        <v>288</v>
      </c>
      <c r="F361" s="40"/>
      <c r="G361" s="10">
        <f t="shared" si="49"/>
        <v>2634</v>
      </c>
    </row>
    <row r="362" spans="1:8" ht="19.5" customHeight="1" x14ac:dyDescent="0.25">
      <c r="A362" s="193" t="s">
        <v>289</v>
      </c>
      <c r="B362" s="20" t="s">
        <v>1044</v>
      </c>
      <c r="C362" s="40" t="s">
        <v>279</v>
      </c>
      <c r="D362" s="40" t="s">
        <v>228</v>
      </c>
      <c r="E362" s="40" t="s">
        <v>290</v>
      </c>
      <c r="F362" s="40"/>
      <c r="G362" s="10">
        <f>'Пр.4 ведом.20'!G689</f>
        <v>2634</v>
      </c>
    </row>
    <row r="363" spans="1:8" s="221" customFormat="1" ht="33" customHeight="1" x14ac:dyDescent="0.25">
      <c r="A363" s="29" t="s">
        <v>418</v>
      </c>
      <c r="B363" s="20" t="s">
        <v>1044</v>
      </c>
      <c r="C363" s="40" t="s">
        <v>279</v>
      </c>
      <c r="D363" s="40" t="s">
        <v>228</v>
      </c>
      <c r="E363" s="40" t="s">
        <v>290</v>
      </c>
      <c r="F363" s="40" t="s">
        <v>651</v>
      </c>
      <c r="G363" s="10">
        <f>G362</f>
        <v>2634</v>
      </c>
      <c r="H363" s="222"/>
    </row>
    <row r="364" spans="1:8" s="221" customFormat="1" ht="38.25" customHeight="1" x14ac:dyDescent="0.25">
      <c r="A364" s="244" t="s">
        <v>1046</v>
      </c>
      <c r="B364" s="24" t="s">
        <v>1042</v>
      </c>
      <c r="C364" s="7"/>
      <c r="D364" s="7"/>
      <c r="E364" s="7"/>
      <c r="F364" s="7"/>
      <c r="G364" s="59">
        <f>G365</f>
        <v>752.8</v>
      </c>
      <c r="H364" s="222"/>
    </row>
    <row r="365" spans="1:8" s="221" customFormat="1" ht="18.75" customHeight="1" x14ac:dyDescent="0.25">
      <c r="A365" s="29" t="s">
        <v>278</v>
      </c>
      <c r="B365" s="40" t="s">
        <v>1042</v>
      </c>
      <c r="C365" s="40" t="s">
        <v>279</v>
      </c>
      <c r="D365" s="40"/>
      <c r="E365" s="40"/>
      <c r="F365" s="40"/>
      <c r="G365" s="10">
        <f t="shared" ref="G365" si="50">G366</f>
        <v>752.8</v>
      </c>
      <c r="H365" s="222"/>
    </row>
    <row r="366" spans="1:8" s="221" customFormat="1" ht="18" customHeight="1" x14ac:dyDescent="0.25">
      <c r="A366" s="29" t="s">
        <v>440</v>
      </c>
      <c r="B366" s="40" t="s">
        <v>1042</v>
      </c>
      <c r="C366" s="40" t="s">
        <v>279</v>
      </c>
      <c r="D366" s="40" t="s">
        <v>228</v>
      </c>
      <c r="E366" s="40"/>
      <c r="F366" s="40"/>
      <c r="G366" s="10">
        <f>G367+G371</f>
        <v>752.8</v>
      </c>
      <c r="H366" s="222"/>
    </row>
    <row r="367" spans="1:8" s="221" customFormat="1" ht="47.25" x14ac:dyDescent="0.25">
      <c r="A367" s="193" t="s">
        <v>872</v>
      </c>
      <c r="B367" s="368" t="s">
        <v>1521</v>
      </c>
      <c r="C367" s="40" t="s">
        <v>279</v>
      </c>
      <c r="D367" s="40" t="s">
        <v>228</v>
      </c>
      <c r="E367" s="40"/>
      <c r="F367" s="40"/>
      <c r="G367" s="10">
        <f>G368</f>
        <v>678</v>
      </c>
      <c r="H367" s="222"/>
    </row>
    <row r="368" spans="1:8" s="221" customFormat="1" ht="39.75" customHeight="1" x14ac:dyDescent="0.25">
      <c r="A368" s="29" t="s">
        <v>287</v>
      </c>
      <c r="B368" s="368" t="s">
        <v>1521</v>
      </c>
      <c r="C368" s="40" t="s">
        <v>279</v>
      </c>
      <c r="D368" s="40" t="s">
        <v>228</v>
      </c>
      <c r="E368" s="40" t="s">
        <v>288</v>
      </c>
      <c r="F368" s="40"/>
      <c r="G368" s="10">
        <f>G369</f>
        <v>678</v>
      </c>
      <c r="H368" s="222"/>
    </row>
    <row r="369" spans="1:8" s="221" customFormat="1" ht="19.5" customHeight="1" x14ac:dyDescent="0.25">
      <c r="A369" s="193" t="s">
        <v>289</v>
      </c>
      <c r="B369" s="368" t="s">
        <v>1521</v>
      </c>
      <c r="C369" s="40" t="s">
        <v>279</v>
      </c>
      <c r="D369" s="40" t="s">
        <v>228</v>
      </c>
      <c r="E369" s="40" t="s">
        <v>290</v>
      </c>
      <c r="F369" s="40"/>
      <c r="G369" s="10">
        <f>'Пр.3 Рд,пр, ЦС,ВР 20'!F635</f>
        <v>678</v>
      </c>
      <c r="H369" s="222"/>
    </row>
    <row r="370" spans="1:8" s="221" customFormat="1" ht="31.7" customHeight="1" x14ac:dyDescent="0.25">
      <c r="A370" s="29" t="s">
        <v>418</v>
      </c>
      <c r="B370" s="368" t="s">
        <v>1521</v>
      </c>
      <c r="C370" s="40" t="s">
        <v>279</v>
      </c>
      <c r="D370" s="40" t="s">
        <v>228</v>
      </c>
      <c r="E370" s="40" t="s">
        <v>290</v>
      </c>
      <c r="F370" s="40" t="s">
        <v>651</v>
      </c>
      <c r="G370" s="10">
        <f>G369</f>
        <v>678</v>
      </c>
      <c r="H370" s="222"/>
    </row>
    <row r="371" spans="1:8" s="361" customFormat="1" ht="31.7" customHeight="1" x14ac:dyDescent="0.25">
      <c r="A371" s="31" t="s">
        <v>1520</v>
      </c>
      <c r="B371" s="368" t="s">
        <v>1522</v>
      </c>
      <c r="C371" s="376" t="s">
        <v>279</v>
      </c>
      <c r="D371" s="376" t="s">
        <v>228</v>
      </c>
      <c r="E371" s="376"/>
      <c r="F371" s="376"/>
      <c r="G371" s="365">
        <f>G372</f>
        <v>74.8</v>
      </c>
      <c r="H371" s="362"/>
    </row>
    <row r="372" spans="1:8" s="361" customFormat="1" ht="31.7" customHeight="1" x14ac:dyDescent="0.25">
      <c r="A372" s="31" t="s">
        <v>287</v>
      </c>
      <c r="B372" s="368" t="s">
        <v>1522</v>
      </c>
      <c r="C372" s="376" t="s">
        <v>279</v>
      </c>
      <c r="D372" s="376" t="s">
        <v>228</v>
      </c>
      <c r="E372" s="376" t="s">
        <v>288</v>
      </c>
      <c r="F372" s="376"/>
      <c r="G372" s="365">
        <f>G373</f>
        <v>74.8</v>
      </c>
      <c r="H372" s="362"/>
    </row>
    <row r="373" spans="1:8" s="361" customFormat="1" ht="31.7" customHeight="1" x14ac:dyDescent="0.25">
      <c r="A373" s="31" t="s">
        <v>289</v>
      </c>
      <c r="B373" s="368" t="s">
        <v>1522</v>
      </c>
      <c r="C373" s="376" t="s">
        <v>279</v>
      </c>
      <c r="D373" s="376" t="s">
        <v>228</v>
      </c>
      <c r="E373" s="376" t="s">
        <v>290</v>
      </c>
      <c r="F373" s="376"/>
      <c r="G373" s="365">
        <f>G374</f>
        <v>74.8</v>
      </c>
      <c r="H373" s="362"/>
    </row>
    <row r="374" spans="1:8" s="361" customFormat="1" ht="31.7" customHeight="1" x14ac:dyDescent="0.25">
      <c r="A374" s="375" t="s">
        <v>418</v>
      </c>
      <c r="B374" s="368" t="s">
        <v>1522</v>
      </c>
      <c r="C374" s="376" t="s">
        <v>279</v>
      </c>
      <c r="D374" s="376" t="s">
        <v>228</v>
      </c>
      <c r="E374" s="376" t="s">
        <v>290</v>
      </c>
      <c r="F374" s="376" t="s">
        <v>651</v>
      </c>
      <c r="G374" s="365">
        <f>'Пр.4 ведом.20'!G696</f>
        <v>74.8</v>
      </c>
      <c r="H374" s="362"/>
    </row>
    <row r="375" spans="1:8" s="221" customFormat="1" ht="48.2" customHeight="1" x14ac:dyDescent="0.25">
      <c r="A375" s="244" t="s">
        <v>1418</v>
      </c>
      <c r="B375" s="24" t="s">
        <v>1416</v>
      </c>
      <c r="C375" s="40"/>
      <c r="D375" s="40"/>
      <c r="E375" s="40"/>
      <c r="F375" s="40"/>
      <c r="G375" s="59">
        <f>G376</f>
        <v>1164.8589999999999</v>
      </c>
      <c r="H375" s="222"/>
    </row>
    <row r="376" spans="1:8" s="221" customFormat="1" ht="15" customHeight="1" x14ac:dyDescent="0.25">
      <c r="A376" s="29" t="s">
        <v>278</v>
      </c>
      <c r="B376" s="20" t="s">
        <v>1416</v>
      </c>
      <c r="C376" s="40" t="s">
        <v>279</v>
      </c>
      <c r="D376" s="40"/>
      <c r="E376" s="40"/>
      <c r="F376" s="40"/>
      <c r="G376" s="10">
        <f>G377</f>
        <v>1164.8589999999999</v>
      </c>
      <c r="H376" s="222"/>
    </row>
    <row r="377" spans="1:8" s="221" customFormat="1" ht="19.5" customHeight="1" x14ac:dyDescent="0.25">
      <c r="A377" s="29" t="s">
        <v>440</v>
      </c>
      <c r="B377" s="20" t="s">
        <v>1416</v>
      </c>
      <c r="C377" s="40" t="s">
        <v>279</v>
      </c>
      <c r="D377" s="40" t="s">
        <v>228</v>
      </c>
      <c r="E377" s="40"/>
      <c r="F377" s="40"/>
      <c r="G377" s="10">
        <f>G378</f>
        <v>1164.8589999999999</v>
      </c>
      <c r="H377" s="222"/>
    </row>
    <row r="378" spans="1:8" s="221" customFormat="1" ht="48.75" customHeight="1" x14ac:dyDescent="0.25">
      <c r="A378" s="193" t="s">
        <v>1457</v>
      </c>
      <c r="B378" s="20" t="s">
        <v>1417</v>
      </c>
      <c r="C378" s="40" t="s">
        <v>279</v>
      </c>
      <c r="D378" s="40" t="s">
        <v>228</v>
      </c>
      <c r="E378" s="40"/>
      <c r="F378" s="40"/>
      <c r="G378" s="10">
        <f>G379</f>
        <v>1164.8589999999999</v>
      </c>
      <c r="H378" s="222"/>
    </row>
    <row r="379" spans="1:8" s="221" customFormat="1" ht="33.75" customHeight="1" x14ac:dyDescent="0.25">
      <c r="A379" s="31" t="s">
        <v>287</v>
      </c>
      <c r="B379" s="20" t="s">
        <v>1417</v>
      </c>
      <c r="C379" s="40" t="s">
        <v>279</v>
      </c>
      <c r="D379" s="40" t="s">
        <v>228</v>
      </c>
      <c r="E379" s="40" t="s">
        <v>288</v>
      </c>
      <c r="F379" s="40"/>
      <c r="G379" s="10">
        <f>G380</f>
        <v>1164.8589999999999</v>
      </c>
      <c r="H379" s="222"/>
    </row>
    <row r="380" spans="1:8" s="221" customFormat="1" ht="21.2" customHeight="1" x14ac:dyDescent="0.25">
      <c r="A380" s="31" t="s">
        <v>289</v>
      </c>
      <c r="B380" s="20" t="s">
        <v>1417</v>
      </c>
      <c r="C380" s="40" t="s">
        <v>279</v>
      </c>
      <c r="D380" s="40" t="s">
        <v>228</v>
      </c>
      <c r="E380" s="40" t="s">
        <v>290</v>
      </c>
      <c r="F380" s="40"/>
      <c r="G380" s="10">
        <f>'Пр.4 ведом.20'!G705</f>
        <v>1164.8589999999999</v>
      </c>
      <c r="H380" s="222"/>
    </row>
    <row r="381" spans="1:8" s="221" customFormat="1" ht="31.7" customHeight="1" x14ac:dyDescent="0.25">
      <c r="A381" s="29" t="s">
        <v>418</v>
      </c>
      <c r="B381" s="20" t="s">
        <v>1417</v>
      </c>
      <c r="C381" s="40" t="s">
        <v>279</v>
      </c>
      <c r="D381" s="40" t="s">
        <v>228</v>
      </c>
      <c r="E381" s="40" t="s">
        <v>290</v>
      </c>
      <c r="F381" s="40" t="s">
        <v>651</v>
      </c>
      <c r="G381" s="10">
        <f>G375</f>
        <v>1164.8589999999999</v>
      </c>
      <c r="H381" s="222"/>
    </row>
    <row r="382" spans="1:8" ht="36" customHeight="1" x14ac:dyDescent="0.25">
      <c r="A382" s="41" t="s">
        <v>461</v>
      </c>
      <c r="B382" s="7" t="s">
        <v>462</v>
      </c>
      <c r="C382" s="7"/>
      <c r="D382" s="7"/>
      <c r="E382" s="7"/>
      <c r="F382" s="7"/>
      <c r="G382" s="59">
        <f t="shared" ref="G382" si="51">G384</f>
        <v>689</v>
      </c>
    </row>
    <row r="383" spans="1:8" s="221" customFormat="1" ht="36" customHeight="1" x14ac:dyDescent="0.25">
      <c r="A383" s="246" t="s">
        <v>1075</v>
      </c>
      <c r="B383" s="24" t="s">
        <v>1051</v>
      </c>
      <c r="C383" s="7"/>
      <c r="D383" s="7"/>
      <c r="E383" s="7"/>
      <c r="F383" s="7"/>
      <c r="G383" s="59">
        <f>G384</f>
        <v>689</v>
      </c>
      <c r="H383" s="222"/>
    </row>
    <row r="384" spans="1:8" ht="16.5" customHeight="1" x14ac:dyDescent="0.25">
      <c r="A384" s="29" t="s">
        <v>278</v>
      </c>
      <c r="B384" s="40" t="s">
        <v>1051</v>
      </c>
      <c r="C384" s="40" t="s">
        <v>279</v>
      </c>
      <c r="D384" s="40"/>
      <c r="E384" s="40"/>
      <c r="F384" s="40"/>
      <c r="G384" s="10">
        <f t="shared" ref="G384" si="52">G385</f>
        <v>689</v>
      </c>
    </row>
    <row r="385" spans="1:8" ht="17.45" customHeight="1" x14ac:dyDescent="0.25">
      <c r="A385" s="29" t="s">
        <v>280</v>
      </c>
      <c r="B385" s="40" t="s">
        <v>1051</v>
      </c>
      <c r="C385" s="40" t="s">
        <v>279</v>
      </c>
      <c r="D385" s="40" t="s">
        <v>230</v>
      </c>
      <c r="E385" s="40"/>
      <c r="F385" s="40"/>
      <c r="G385" s="10">
        <f>G386</f>
        <v>689</v>
      </c>
    </row>
    <row r="386" spans="1:8" ht="31.5" x14ac:dyDescent="0.25">
      <c r="A386" s="45" t="s">
        <v>785</v>
      </c>
      <c r="B386" s="20" t="s">
        <v>1052</v>
      </c>
      <c r="C386" s="20" t="s">
        <v>279</v>
      </c>
      <c r="D386" s="20" t="s">
        <v>230</v>
      </c>
      <c r="E386" s="20"/>
      <c r="F386" s="20"/>
      <c r="G386" s="10">
        <f t="shared" ref="G386:G387" si="53">G387</f>
        <v>689</v>
      </c>
    </row>
    <row r="387" spans="1:8" ht="31.5" x14ac:dyDescent="0.25">
      <c r="A387" s="29" t="s">
        <v>287</v>
      </c>
      <c r="B387" s="20" t="s">
        <v>1052</v>
      </c>
      <c r="C387" s="20" t="s">
        <v>279</v>
      </c>
      <c r="D387" s="20" t="s">
        <v>230</v>
      </c>
      <c r="E387" s="20" t="s">
        <v>288</v>
      </c>
      <c r="F387" s="20"/>
      <c r="G387" s="10">
        <f t="shared" si="53"/>
        <v>689</v>
      </c>
    </row>
    <row r="388" spans="1:8" ht="15.75" x14ac:dyDescent="0.25">
      <c r="A388" s="31" t="s">
        <v>289</v>
      </c>
      <c r="B388" s="20" t="s">
        <v>1052</v>
      </c>
      <c r="C388" s="20" t="s">
        <v>279</v>
      </c>
      <c r="D388" s="20" t="s">
        <v>230</v>
      </c>
      <c r="E388" s="20" t="s">
        <v>290</v>
      </c>
      <c r="F388" s="20"/>
      <c r="G388" s="10">
        <f>'Пр.4 ведом.20'!G739</f>
        <v>689</v>
      </c>
    </row>
    <row r="389" spans="1:8" s="221" customFormat="1" ht="34.5" customHeight="1" x14ac:dyDescent="0.25">
      <c r="A389" s="29" t="s">
        <v>418</v>
      </c>
      <c r="B389" s="20" t="s">
        <v>1052</v>
      </c>
      <c r="C389" s="40" t="s">
        <v>279</v>
      </c>
      <c r="D389" s="40" t="s">
        <v>230</v>
      </c>
      <c r="E389" s="40" t="s">
        <v>290</v>
      </c>
      <c r="F389" s="40" t="s">
        <v>651</v>
      </c>
      <c r="G389" s="10">
        <f>G388</f>
        <v>689</v>
      </c>
      <c r="H389" s="222"/>
    </row>
    <row r="390" spans="1:8" ht="31.5" x14ac:dyDescent="0.25">
      <c r="A390" s="41" t="s">
        <v>482</v>
      </c>
      <c r="B390" s="7" t="s">
        <v>484</v>
      </c>
      <c r="C390" s="7"/>
      <c r="D390" s="7"/>
      <c r="E390" s="7"/>
      <c r="F390" s="7"/>
      <c r="G390" s="59">
        <f>G391</f>
        <v>5804.9</v>
      </c>
    </row>
    <row r="391" spans="1:8" s="221" customFormat="1" ht="31.5" x14ac:dyDescent="0.25">
      <c r="A391" s="23" t="s">
        <v>1054</v>
      </c>
      <c r="B391" s="24" t="s">
        <v>1055</v>
      </c>
      <c r="C391" s="7"/>
      <c r="D391" s="7"/>
      <c r="E391" s="7"/>
      <c r="F391" s="7"/>
      <c r="G391" s="59">
        <f>G392</f>
        <v>5804.9</v>
      </c>
      <c r="H391" s="222"/>
    </row>
    <row r="392" spans="1:8" ht="15.75" x14ac:dyDescent="0.25">
      <c r="A392" s="29" t="s">
        <v>278</v>
      </c>
      <c r="B392" s="40" t="s">
        <v>1055</v>
      </c>
      <c r="C392" s="40" t="s">
        <v>279</v>
      </c>
      <c r="D392" s="40"/>
      <c r="E392" s="40"/>
      <c r="F392" s="40"/>
      <c r="G392" s="10">
        <f t="shared" ref="G392:G395" si="54">G393</f>
        <v>5804.9</v>
      </c>
    </row>
    <row r="393" spans="1:8" ht="15.75" x14ac:dyDescent="0.25">
      <c r="A393" s="29" t="s">
        <v>481</v>
      </c>
      <c r="B393" s="40" t="s">
        <v>1055</v>
      </c>
      <c r="C393" s="40" t="s">
        <v>279</v>
      </c>
      <c r="D393" s="40" t="s">
        <v>279</v>
      </c>
      <c r="E393" s="40"/>
      <c r="F393" s="40"/>
      <c r="G393" s="10">
        <f>G394+G398</f>
        <v>5804.9</v>
      </c>
    </row>
    <row r="394" spans="1:8" ht="31.5" x14ac:dyDescent="0.25">
      <c r="A394" s="31" t="s">
        <v>1235</v>
      </c>
      <c r="B394" s="20" t="s">
        <v>1056</v>
      </c>
      <c r="C394" s="40" t="s">
        <v>279</v>
      </c>
      <c r="D394" s="40" t="s">
        <v>279</v>
      </c>
      <c r="E394" s="40"/>
      <c r="F394" s="40"/>
      <c r="G394" s="10">
        <f t="shared" si="54"/>
        <v>3584</v>
      </c>
    </row>
    <row r="395" spans="1:8" ht="31.5" x14ac:dyDescent="0.25">
      <c r="A395" s="25" t="s">
        <v>287</v>
      </c>
      <c r="B395" s="20" t="s">
        <v>1056</v>
      </c>
      <c r="C395" s="40" t="s">
        <v>279</v>
      </c>
      <c r="D395" s="40" t="s">
        <v>279</v>
      </c>
      <c r="E395" s="40" t="s">
        <v>288</v>
      </c>
      <c r="F395" s="40"/>
      <c r="G395" s="10">
        <f t="shared" si="54"/>
        <v>3584</v>
      </c>
    </row>
    <row r="396" spans="1:8" ht="15.75" x14ac:dyDescent="0.25">
      <c r="A396" s="25" t="s">
        <v>289</v>
      </c>
      <c r="B396" s="20" t="s">
        <v>1056</v>
      </c>
      <c r="C396" s="40" t="s">
        <v>279</v>
      </c>
      <c r="D396" s="40" t="s">
        <v>279</v>
      </c>
      <c r="E396" s="40" t="s">
        <v>290</v>
      </c>
      <c r="F396" s="40"/>
      <c r="G396" s="10">
        <f>'Пр.4 ведом.20'!G751</f>
        <v>3584</v>
      </c>
    </row>
    <row r="397" spans="1:8" s="221" customFormat="1" ht="31.5" x14ac:dyDescent="0.25">
      <c r="A397" s="29" t="s">
        <v>418</v>
      </c>
      <c r="B397" s="20" t="s">
        <v>1056</v>
      </c>
      <c r="C397" s="40" t="s">
        <v>279</v>
      </c>
      <c r="D397" s="40" t="s">
        <v>279</v>
      </c>
      <c r="E397" s="40" t="s">
        <v>290</v>
      </c>
      <c r="F397" s="40" t="s">
        <v>651</v>
      </c>
      <c r="G397" s="10">
        <f>G396</f>
        <v>3584</v>
      </c>
      <c r="H397" s="222"/>
    </row>
    <row r="398" spans="1:8" s="221" customFormat="1" ht="31.5" x14ac:dyDescent="0.25">
      <c r="A398" s="31" t="s">
        <v>489</v>
      </c>
      <c r="B398" s="20" t="s">
        <v>1057</v>
      </c>
      <c r="C398" s="40" t="s">
        <v>279</v>
      </c>
      <c r="D398" s="40" t="s">
        <v>279</v>
      </c>
      <c r="E398" s="40"/>
      <c r="F398" s="40"/>
      <c r="G398" s="10">
        <f>G399</f>
        <v>2220.9</v>
      </c>
      <c r="H398" s="222"/>
    </row>
    <row r="399" spans="1:8" s="221" customFormat="1" ht="31.5" x14ac:dyDescent="0.25">
      <c r="A399" s="25" t="s">
        <v>287</v>
      </c>
      <c r="B399" s="20" t="s">
        <v>1057</v>
      </c>
      <c r="C399" s="40" t="s">
        <v>279</v>
      </c>
      <c r="D399" s="40" t="s">
        <v>279</v>
      </c>
      <c r="E399" s="40" t="s">
        <v>288</v>
      </c>
      <c r="F399" s="40"/>
      <c r="G399" s="10">
        <f>G400</f>
        <v>2220.9</v>
      </c>
      <c r="H399" s="222"/>
    </row>
    <row r="400" spans="1:8" s="221" customFormat="1" ht="15.75" x14ac:dyDescent="0.25">
      <c r="A400" s="25" t="s">
        <v>289</v>
      </c>
      <c r="B400" s="20" t="s">
        <v>1057</v>
      </c>
      <c r="C400" s="40" t="s">
        <v>279</v>
      </c>
      <c r="D400" s="40" t="s">
        <v>279</v>
      </c>
      <c r="E400" s="40" t="s">
        <v>290</v>
      </c>
      <c r="F400" s="40"/>
      <c r="G400" s="10">
        <f>'Пр.3 Рд,пр, ЦС,ВР 20'!F755</f>
        <v>2220.9</v>
      </c>
      <c r="H400" s="222"/>
    </row>
    <row r="401" spans="1:9" ht="31.5" x14ac:dyDescent="0.25">
      <c r="A401" s="29" t="s">
        <v>418</v>
      </c>
      <c r="B401" s="20" t="s">
        <v>1057</v>
      </c>
      <c r="C401" s="40" t="s">
        <v>279</v>
      </c>
      <c r="D401" s="40" t="s">
        <v>279</v>
      </c>
      <c r="E401" s="40" t="s">
        <v>290</v>
      </c>
      <c r="F401" s="40" t="s">
        <v>651</v>
      </c>
      <c r="G401" s="10">
        <f>G400</f>
        <v>2220.9</v>
      </c>
      <c r="I401" s="22"/>
    </row>
    <row r="402" spans="1:9" ht="47.25" hidden="1" x14ac:dyDescent="0.25">
      <c r="A402" s="58" t="s">
        <v>813</v>
      </c>
      <c r="B402" s="210" t="s">
        <v>171</v>
      </c>
      <c r="C402" s="7"/>
      <c r="D402" s="210"/>
      <c r="E402" s="210"/>
      <c r="F402" s="210"/>
      <c r="G402" s="59">
        <f>G404</f>
        <v>0</v>
      </c>
    </row>
    <row r="403" spans="1:9" s="221" customFormat="1" ht="36.75" hidden="1" customHeight="1" x14ac:dyDescent="0.25">
      <c r="A403" s="23" t="s">
        <v>1243</v>
      </c>
      <c r="B403" s="24" t="s">
        <v>1240</v>
      </c>
      <c r="C403" s="7"/>
      <c r="D403" s="7"/>
      <c r="E403" s="7"/>
      <c r="F403" s="7"/>
      <c r="G403" s="59">
        <f>G404</f>
        <v>0</v>
      </c>
      <c r="H403" s="222"/>
    </row>
    <row r="404" spans="1:9" ht="15.75" hidden="1" x14ac:dyDescent="0.25">
      <c r="A404" s="45" t="s">
        <v>247</v>
      </c>
      <c r="B404" s="5" t="s">
        <v>1240</v>
      </c>
      <c r="C404" s="40" t="s">
        <v>165</v>
      </c>
      <c r="D404" s="40"/>
      <c r="E404" s="40"/>
      <c r="F404" s="40"/>
      <c r="G404" s="10">
        <f>G405</f>
        <v>0</v>
      </c>
    </row>
    <row r="405" spans="1:9" ht="15.75" hidden="1" x14ac:dyDescent="0.25">
      <c r="A405" s="45" t="s">
        <v>796</v>
      </c>
      <c r="B405" s="5" t="s">
        <v>1240</v>
      </c>
      <c r="C405" s="40" t="s">
        <v>165</v>
      </c>
      <c r="D405" s="40" t="s">
        <v>253</v>
      </c>
      <c r="E405" s="40"/>
      <c r="F405" s="40"/>
      <c r="G405" s="10">
        <f>G406+G410</f>
        <v>0</v>
      </c>
    </row>
    <row r="406" spans="1:9" ht="31.5" hidden="1" x14ac:dyDescent="0.25">
      <c r="A406" s="25" t="s">
        <v>1244</v>
      </c>
      <c r="B406" s="20" t="s">
        <v>1241</v>
      </c>
      <c r="C406" s="40" t="s">
        <v>165</v>
      </c>
      <c r="D406" s="40" t="s">
        <v>253</v>
      </c>
      <c r="E406" s="40"/>
      <c r="F406" s="40"/>
      <c r="G406" s="10">
        <f>G407</f>
        <v>0</v>
      </c>
    </row>
    <row r="407" spans="1:9" ht="15.75" hidden="1" x14ac:dyDescent="0.25">
      <c r="A407" s="25" t="s">
        <v>150</v>
      </c>
      <c r="B407" s="20" t="s">
        <v>1241</v>
      </c>
      <c r="C407" s="40" t="s">
        <v>165</v>
      </c>
      <c r="D407" s="40" t="s">
        <v>253</v>
      </c>
      <c r="E407" s="40" t="s">
        <v>147</v>
      </c>
      <c r="F407" s="40"/>
      <c r="G407" s="10">
        <f>G408</f>
        <v>0</v>
      </c>
    </row>
    <row r="408" spans="1:9" ht="47.25" hidden="1" x14ac:dyDescent="0.25">
      <c r="A408" s="25" t="s">
        <v>199</v>
      </c>
      <c r="B408" s="20" t="s">
        <v>1241</v>
      </c>
      <c r="C408" s="40" t="s">
        <v>165</v>
      </c>
      <c r="D408" s="40" t="s">
        <v>253</v>
      </c>
      <c r="E408" s="40" t="s">
        <v>149</v>
      </c>
      <c r="F408" s="40"/>
      <c r="G408" s="10">
        <f>'Пр.3 Рд,пр, ЦС,ВР 20'!F321</f>
        <v>0</v>
      </c>
    </row>
    <row r="409" spans="1:9" s="221" customFormat="1" ht="15.75" hidden="1" x14ac:dyDescent="0.25">
      <c r="A409" s="29" t="s">
        <v>163</v>
      </c>
      <c r="B409" s="20" t="s">
        <v>1241</v>
      </c>
      <c r="C409" s="40" t="s">
        <v>165</v>
      </c>
      <c r="D409" s="40" t="s">
        <v>253</v>
      </c>
      <c r="E409" s="40" t="s">
        <v>149</v>
      </c>
      <c r="F409" s="40" t="s">
        <v>656</v>
      </c>
      <c r="G409" s="10">
        <f>G408</f>
        <v>0</v>
      </c>
      <c r="H409" s="222"/>
    </row>
    <row r="410" spans="1:9" s="221" customFormat="1" ht="31.5" hidden="1" x14ac:dyDescent="0.25">
      <c r="A410" s="25" t="s">
        <v>254</v>
      </c>
      <c r="B410" s="20" t="s">
        <v>1242</v>
      </c>
      <c r="C410" s="40" t="s">
        <v>165</v>
      </c>
      <c r="D410" s="40" t="s">
        <v>253</v>
      </c>
      <c r="E410" s="40"/>
      <c r="F410" s="40"/>
      <c r="G410" s="10">
        <f>G411</f>
        <v>0</v>
      </c>
      <c r="H410" s="222"/>
    </row>
    <row r="411" spans="1:9" s="221" customFormat="1" ht="15.75" hidden="1" x14ac:dyDescent="0.25">
      <c r="A411" s="25" t="s">
        <v>150</v>
      </c>
      <c r="B411" s="20" t="s">
        <v>1242</v>
      </c>
      <c r="C411" s="40" t="s">
        <v>165</v>
      </c>
      <c r="D411" s="40" t="s">
        <v>253</v>
      </c>
      <c r="E411" s="40" t="s">
        <v>160</v>
      </c>
      <c r="F411" s="40"/>
      <c r="G411" s="10">
        <f>G412</f>
        <v>0</v>
      </c>
      <c r="H411" s="222"/>
    </row>
    <row r="412" spans="1:9" s="221" customFormat="1" ht="47.25" hidden="1" x14ac:dyDescent="0.25">
      <c r="A412" s="25" t="s">
        <v>199</v>
      </c>
      <c r="B412" s="20" t="s">
        <v>1242</v>
      </c>
      <c r="C412" s="40" t="s">
        <v>165</v>
      </c>
      <c r="D412" s="40" t="s">
        <v>253</v>
      </c>
      <c r="E412" s="40" t="s">
        <v>175</v>
      </c>
      <c r="F412" s="40"/>
      <c r="G412" s="10">
        <f>'Пр.3 Рд,пр, ЦС,ВР 20'!F324</f>
        <v>0</v>
      </c>
      <c r="H412" s="222"/>
    </row>
    <row r="413" spans="1:9" ht="15.75" hidden="1" x14ac:dyDescent="0.25">
      <c r="A413" s="29" t="s">
        <v>163</v>
      </c>
      <c r="B413" s="20" t="s">
        <v>1242</v>
      </c>
      <c r="C413" s="40" t="s">
        <v>165</v>
      </c>
      <c r="D413" s="40" t="s">
        <v>253</v>
      </c>
      <c r="E413" s="40" t="s">
        <v>175</v>
      </c>
      <c r="F413" s="40" t="s">
        <v>656</v>
      </c>
      <c r="G413" s="10">
        <f>G412</f>
        <v>0</v>
      </c>
    </row>
    <row r="414" spans="1:9" ht="45.75" customHeight="1" x14ac:dyDescent="0.25">
      <c r="A414" s="41" t="s">
        <v>817</v>
      </c>
      <c r="B414" s="210" t="s">
        <v>177</v>
      </c>
      <c r="C414" s="7"/>
      <c r="D414" s="7"/>
      <c r="E414" s="7"/>
      <c r="F414" s="7"/>
      <c r="G414" s="59">
        <f>G415+G422+G441</f>
        <v>549</v>
      </c>
      <c r="H414" s="222">
        <v>806</v>
      </c>
    </row>
    <row r="415" spans="1:9" s="221" customFormat="1" ht="67.7" customHeight="1" x14ac:dyDescent="0.25">
      <c r="A415" s="248" t="s">
        <v>1153</v>
      </c>
      <c r="B415" s="7" t="s">
        <v>893</v>
      </c>
      <c r="C415" s="7"/>
      <c r="D415" s="8"/>
      <c r="E415" s="210"/>
      <c r="F415" s="7"/>
      <c r="G415" s="59">
        <f>G417</f>
        <v>446</v>
      </c>
      <c r="H415" s="222"/>
    </row>
    <row r="416" spans="1:9" s="221" customFormat="1" ht="15.75" customHeight="1" x14ac:dyDescent="0.25">
      <c r="A416" s="45" t="s">
        <v>132</v>
      </c>
      <c r="B416" s="5" t="s">
        <v>893</v>
      </c>
      <c r="C416" s="40" t="s">
        <v>133</v>
      </c>
      <c r="D416" s="5"/>
      <c r="E416" s="5"/>
      <c r="F416" s="40"/>
      <c r="G416" s="10">
        <f t="shared" ref="G416" si="55">G417</f>
        <v>446</v>
      </c>
      <c r="H416" s="222"/>
    </row>
    <row r="417" spans="1:8" s="221" customFormat="1" ht="45.75" customHeight="1" x14ac:dyDescent="0.25">
      <c r="A417" s="29" t="s">
        <v>164</v>
      </c>
      <c r="B417" s="5" t="s">
        <v>893</v>
      </c>
      <c r="C417" s="40" t="s">
        <v>133</v>
      </c>
      <c r="D417" s="9" t="s">
        <v>165</v>
      </c>
      <c r="E417" s="5"/>
      <c r="F417" s="40"/>
      <c r="G417" s="10">
        <f>G418</f>
        <v>446</v>
      </c>
      <c r="H417" s="222"/>
    </row>
    <row r="418" spans="1:8" s="221" customFormat="1" ht="36" customHeight="1" x14ac:dyDescent="0.25">
      <c r="A418" s="29" t="s">
        <v>178</v>
      </c>
      <c r="B418" s="40" t="s">
        <v>885</v>
      </c>
      <c r="C418" s="40" t="s">
        <v>133</v>
      </c>
      <c r="D418" s="9" t="s">
        <v>165</v>
      </c>
      <c r="E418" s="40"/>
      <c r="F418" s="40"/>
      <c r="G418" s="10">
        <f t="shared" ref="G418:G419" si="56">G419</f>
        <v>446</v>
      </c>
      <c r="H418" s="222"/>
    </row>
    <row r="419" spans="1:8" s="221" customFormat="1" ht="34.5" customHeight="1" x14ac:dyDescent="0.25">
      <c r="A419" s="29" t="s">
        <v>146</v>
      </c>
      <c r="B419" s="40" t="s">
        <v>885</v>
      </c>
      <c r="C419" s="40" t="s">
        <v>133</v>
      </c>
      <c r="D419" s="9" t="s">
        <v>165</v>
      </c>
      <c r="E419" s="40" t="s">
        <v>147</v>
      </c>
      <c r="F419" s="40"/>
      <c r="G419" s="10">
        <f t="shared" si="56"/>
        <v>446</v>
      </c>
      <c r="H419" s="222"/>
    </row>
    <row r="420" spans="1:8" s="221" customFormat="1" ht="36" customHeight="1" x14ac:dyDescent="0.25">
      <c r="A420" s="29" t="s">
        <v>148</v>
      </c>
      <c r="B420" s="40" t="s">
        <v>885</v>
      </c>
      <c r="C420" s="40" t="s">
        <v>133</v>
      </c>
      <c r="D420" s="9" t="s">
        <v>165</v>
      </c>
      <c r="E420" s="40" t="s">
        <v>149</v>
      </c>
      <c r="F420" s="40"/>
      <c r="G420" s="10">
        <f>'Пр.3 Рд,пр, ЦС,ВР 20'!F88</f>
        <v>446</v>
      </c>
      <c r="H420" s="222"/>
    </row>
    <row r="421" spans="1:8" s="221" customFormat="1" ht="20.25" customHeight="1" x14ac:dyDescent="0.25">
      <c r="A421" s="29" t="s">
        <v>163</v>
      </c>
      <c r="B421" s="40" t="s">
        <v>885</v>
      </c>
      <c r="C421" s="40" t="s">
        <v>133</v>
      </c>
      <c r="D421" s="9" t="s">
        <v>165</v>
      </c>
      <c r="E421" s="40" t="s">
        <v>149</v>
      </c>
      <c r="F421" s="40" t="s">
        <v>656</v>
      </c>
      <c r="G421" s="10">
        <f>G420</f>
        <v>446</v>
      </c>
      <c r="H421" s="222"/>
    </row>
    <row r="422" spans="1:8" s="221" customFormat="1" ht="63" customHeight="1" x14ac:dyDescent="0.25">
      <c r="A422" s="247" t="s">
        <v>887</v>
      </c>
      <c r="B422" s="7" t="s">
        <v>894</v>
      </c>
      <c r="C422" s="7"/>
      <c r="D422" s="8"/>
      <c r="E422" s="210"/>
      <c r="F422" s="7"/>
      <c r="G422" s="59">
        <f>G423</f>
        <v>102.5</v>
      </c>
      <c r="H422" s="222"/>
    </row>
    <row r="423" spans="1:8" ht="15.75" x14ac:dyDescent="0.25">
      <c r="A423" s="45" t="s">
        <v>132</v>
      </c>
      <c r="B423" s="5" t="s">
        <v>894</v>
      </c>
      <c r="C423" s="40" t="s">
        <v>133</v>
      </c>
      <c r="D423" s="5"/>
      <c r="E423" s="5"/>
      <c r="F423" s="40"/>
      <c r="G423" s="10">
        <f>G424+G433</f>
        <v>102.5</v>
      </c>
    </row>
    <row r="424" spans="1:8" ht="47.25" x14ac:dyDescent="0.25">
      <c r="A424" s="29" t="s">
        <v>590</v>
      </c>
      <c r="B424" s="5" t="s">
        <v>894</v>
      </c>
      <c r="C424" s="40" t="s">
        <v>133</v>
      </c>
      <c r="D424" s="9" t="s">
        <v>228</v>
      </c>
      <c r="E424" s="5"/>
      <c r="F424" s="40"/>
      <c r="G424" s="10">
        <f>G425+G429</f>
        <v>26</v>
      </c>
    </row>
    <row r="425" spans="1:8" s="221" customFormat="1" ht="47.25" x14ac:dyDescent="0.25">
      <c r="A425" s="31" t="s">
        <v>710</v>
      </c>
      <c r="B425" s="40" t="s">
        <v>1140</v>
      </c>
      <c r="C425" s="40" t="s">
        <v>133</v>
      </c>
      <c r="D425" s="9" t="s">
        <v>228</v>
      </c>
      <c r="E425" s="5"/>
      <c r="F425" s="40"/>
      <c r="G425" s="10">
        <f>G426</f>
        <v>1</v>
      </c>
      <c r="H425" s="222"/>
    </row>
    <row r="426" spans="1:8" s="221" customFormat="1" ht="31.5" x14ac:dyDescent="0.25">
      <c r="A426" s="25" t="s">
        <v>146</v>
      </c>
      <c r="B426" s="40" t="s">
        <v>1140</v>
      </c>
      <c r="C426" s="40" t="s">
        <v>133</v>
      </c>
      <c r="D426" s="9" t="s">
        <v>228</v>
      </c>
      <c r="E426" s="5">
        <v>200</v>
      </c>
      <c r="F426" s="40"/>
      <c r="G426" s="10">
        <f>G427</f>
        <v>1</v>
      </c>
      <c r="H426" s="222"/>
    </row>
    <row r="427" spans="1:8" s="221" customFormat="1" ht="31.5" x14ac:dyDescent="0.25">
      <c r="A427" s="25" t="s">
        <v>148</v>
      </c>
      <c r="B427" s="40" t="s">
        <v>711</v>
      </c>
      <c r="C427" s="40" t="s">
        <v>133</v>
      </c>
      <c r="D427" s="9" t="s">
        <v>228</v>
      </c>
      <c r="E427" s="5">
        <v>240</v>
      </c>
      <c r="F427" s="40"/>
      <c r="G427" s="10">
        <f>'Пр.3 Рд,пр, ЦС,ВР 20'!F24</f>
        <v>1</v>
      </c>
      <c r="H427" s="222"/>
    </row>
    <row r="428" spans="1:8" s="221" customFormat="1" ht="31.5" x14ac:dyDescent="0.25">
      <c r="A428" s="45" t="s">
        <v>589</v>
      </c>
      <c r="B428" s="40" t="s">
        <v>711</v>
      </c>
      <c r="C428" s="40" t="s">
        <v>133</v>
      </c>
      <c r="D428" s="9" t="s">
        <v>228</v>
      </c>
      <c r="E428" s="5">
        <v>240</v>
      </c>
      <c r="F428" s="40" t="s">
        <v>812</v>
      </c>
      <c r="G428" s="10">
        <f>G427</f>
        <v>1</v>
      </c>
      <c r="H428" s="222"/>
    </row>
    <row r="429" spans="1:8" s="221" customFormat="1" ht="47.25" x14ac:dyDescent="0.25">
      <c r="A429" s="31" t="s">
        <v>710</v>
      </c>
      <c r="B429" s="20" t="s">
        <v>1139</v>
      </c>
      <c r="C429" s="40" t="s">
        <v>133</v>
      </c>
      <c r="D429" s="9" t="s">
        <v>228</v>
      </c>
      <c r="E429" s="5"/>
      <c r="F429" s="40"/>
      <c r="G429" s="10">
        <f>G430</f>
        <v>25</v>
      </c>
      <c r="H429" s="222"/>
    </row>
    <row r="430" spans="1:8" s="221" customFormat="1" ht="31.5" x14ac:dyDescent="0.25">
      <c r="A430" s="25" t="s">
        <v>146</v>
      </c>
      <c r="B430" s="20" t="s">
        <v>1139</v>
      </c>
      <c r="C430" s="40" t="s">
        <v>133</v>
      </c>
      <c r="D430" s="9" t="s">
        <v>228</v>
      </c>
      <c r="E430" s="5">
        <v>200</v>
      </c>
      <c r="F430" s="40"/>
      <c r="G430" s="10">
        <f>G431</f>
        <v>25</v>
      </c>
      <c r="H430" s="222"/>
    </row>
    <row r="431" spans="1:8" s="221" customFormat="1" ht="31.5" x14ac:dyDescent="0.25">
      <c r="A431" s="25" t="s">
        <v>148</v>
      </c>
      <c r="B431" s="20" t="s">
        <v>1139</v>
      </c>
      <c r="C431" s="40" t="s">
        <v>133</v>
      </c>
      <c r="D431" s="9" t="s">
        <v>228</v>
      </c>
      <c r="E431" s="5">
        <v>240</v>
      </c>
      <c r="F431" s="40"/>
      <c r="G431" s="10">
        <f>'Пр.3 Рд,пр, ЦС,ВР 20'!F27</f>
        <v>25</v>
      </c>
      <c r="H431" s="222"/>
    </row>
    <row r="432" spans="1:8" s="221" customFormat="1" ht="31.5" x14ac:dyDescent="0.25">
      <c r="A432" s="45" t="s">
        <v>589</v>
      </c>
      <c r="B432" s="20" t="s">
        <v>1139</v>
      </c>
      <c r="C432" s="40" t="s">
        <v>133</v>
      </c>
      <c r="D432" s="9" t="s">
        <v>228</v>
      </c>
      <c r="E432" s="5">
        <v>240</v>
      </c>
      <c r="F432" s="40" t="s">
        <v>812</v>
      </c>
      <c r="G432" s="10">
        <f>G431</f>
        <v>25</v>
      </c>
      <c r="H432" s="222"/>
    </row>
    <row r="433" spans="1:8" s="221" customFormat="1" ht="63" x14ac:dyDescent="0.25">
      <c r="A433" s="29" t="s">
        <v>164</v>
      </c>
      <c r="B433" s="5" t="s">
        <v>894</v>
      </c>
      <c r="C433" s="40" t="s">
        <v>133</v>
      </c>
      <c r="D433" s="9" t="s">
        <v>165</v>
      </c>
      <c r="E433" s="5"/>
      <c r="F433" s="40"/>
      <c r="G433" s="10">
        <f>G434</f>
        <v>76.5</v>
      </c>
      <c r="H433" s="222"/>
    </row>
    <row r="434" spans="1:8" ht="47.25" x14ac:dyDescent="0.25">
      <c r="A434" s="178" t="s">
        <v>180</v>
      </c>
      <c r="B434" s="40" t="s">
        <v>886</v>
      </c>
      <c r="C434" s="40" t="s">
        <v>133</v>
      </c>
      <c r="D434" s="9" t="s">
        <v>165</v>
      </c>
      <c r="E434" s="40"/>
      <c r="F434" s="40"/>
      <c r="G434" s="10">
        <f>G435+G438</f>
        <v>76.5</v>
      </c>
    </row>
    <row r="435" spans="1:8" ht="78.75" x14ac:dyDescent="0.25">
      <c r="A435" s="25" t="s">
        <v>142</v>
      </c>
      <c r="B435" s="40" t="s">
        <v>886</v>
      </c>
      <c r="C435" s="40" t="s">
        <v>133</v>
      </c>
      <c r="D435" s="9" t="s">
        <v>165</v>
      </c>
      <c r="E435" s="40" t="s">
        <v>143</v>
      </c>
      <c r="F435" s="40"/>
      <c r="G435" s="10">
        <f t="shared" ref="G435" si="57">G436</f>
        <v>37</v>
      </c>
    </row>
    <row r="436" spans="1:8" ht="31.5" x14ac:dyDescent="0.25">
      <c r="A436" s="25" t="s">
        <v>144</v>
      </c>
      <c r="B436" s="40" t="s">
        <v>886</v>
      </c>
      <c r="C436" s="40" t="s">
        <v>133</v>
      </c>
      <c r="D436" s="9" t="s">
        <v>165</v>
      </c>
      <c r="E436" s="40" t="s">
        <v>145</v>
      </c>
      <c r="F436" s="40"/>
      <c r="G436" s="10">
        <f>'Пр.3 Рд,пр, ЦС,ВР 20'!F92</f>
        <v>37</v>
      </c>
    </row>
    <row r="437" spans="1:8" s="221" customFormat="1" ht="15.75" x14ac:dyDescent="0.25">
      <c r="A437" s="29" t="s">
        <v>163</v>
      </c>
      <c r="B437" s="40" t="s">
        <v>886</v>
      </c>
      <c r="C437" s="40" t="s">
        <v>133</v>
      </c>
      <c r="D437" s="9" t="s">
        <v>165</v>
      </c>
      <c r="E437" s="40" t="s">
        <v>145</v>
      </c>
      <c r="F437" s="40" t="s">
        <v>656</v>
      </c>
      <c r="G437" s="10">
        <f>G436</f>
        <v>37</v>
      </c>
      <c r="H437" s="222"/>
    </row>
    <row r="438" spans="1:8" ht="31.5" x14ac:dyDescent="0.25">
      <c r="A438" s="25" t="s">
        <v>146</v>
      </c>
      <c r="B438" s="40" t="s">
        <v>886</v>
      </c>
      <c r="C438" s="40" t="s">
        <v>133</v>
      </c>
      <c r="D438" s="9" t="s">
        <v>165</v>
      </c>
      <c r="E438" s="40" t="s">
        <v>147</v>
      </c>
      <c r="F438" s="40"/>
      <c r="G438" s="10">
        <f t="shared" ref="G438" si="58">G439</f>
        <v>39.5</v>
      </c>
    </row>
    <row r="439" spans="1:8" ht="31.5" x14ac:dyDescent="0.25">
      <c r="A439" s="25" t="s">
        <v>148</v>
      </c>
      <c r="B439" s="40" t="s">
        <v>886</v>
      </c>
      <c r="C439" s="40" t="s">
        <v>133</v>
      </c>
      <c r="D439" s="9" t="s">
        <v>165</v>
      </c>
      <c r="E439" s="40" t="s">
        <v>149</v>
      </c>
      <c r="F439" s="40"/>
      <c r="G439" s="10">
        <f>'Пр.3 Рд,пр, ЦС,ВР 20'!F94</f>
        <v>39.5</v>
      </c>
    </row>
    <row r="440" spans="1:8" s="221" customFormat="1" ht="19.5" customHeight="1" x14ac:dyDescent="0.25">
      <c r="A440" s="29" t="s">
        <v>163</v>
      </c>
      <c r="B440" s="40" t="s">
        <v>886</v>
      </c>
      <c r="C440" s="40" t="s">
        <v>133</v>
      </c>
      <c r="D440" s="9" t="s">
        <v>165</v>
      </c>
      <c r="E440" s="40" t="s">
        <v>149</v>
      </c>
      <c r="F440" s="40" t="s">
        <v>656</v>
      </c>
      <c r="G440" s="10">
        <f>G439</f>
        <v>39.5</v>
      </c>
      <c r="H440" s="222"/>
    </row>
    <row r="441" spans="1:8" s="221" customFormat="1" ht="63" x14ac:dyDescent="0.25">
      <c r="A441" s="249" t="s">
        <v>1154</v>
      </c>
      <c r="B441" s="7" t="s">
        <v>895</v>
      </c>
      <c r="C441" s="7"/>
      <c r="D441" s="8"/>
      <c r="E441" s="7"/>
      <c r="F441" s="7"/>
      <c r="G441" s="59">
        <f>G442</f>
        <v>0.5</v>
      </c>
      <c r="H441" s="222"/>
    </row>
    <row r="442" spans="1:8" s="221" customFormat="1" ht="15.75" x14ac:dyDescent="0.25">
      <c r="A442" s="45" t="s">
        <v>132</v>
      </c>
      <c r="B442" s="40" t="s">
        <v>895</v>
      </c>
      <c r="C442" s="40" t="s">
        <v>133</v>
      </c>
      <c r="D442" s="9"/>
      <c r="E442" s="7"/>
      <c r="F442" s="7"/>
      <c r="G442" s="10">
        <f>G443</f>
        <v>0.5</v>
      </c>
      <c r="H442" s="222"/>
    </row>
    <row r="443" spans="1:8" s="221" customFormat="1" ht="63" x14ac:dyDescent="0.25">
      <c r="A443" s="29" t="s">
        <v>164</v>
      </c>
      <c r="B443" s="40" t="s">
        <v>895</v>
      </c>
      <c r="C443" s="40" t="s">
        <v>133</v>
      </c>
      <c r="D443" s="9" t="s">
        <v>165</v>
      </c>
      <c r="E443" s="7"/>
      <c r="F443" s="7"/>
      <c r="G443" s="10">
        <f>G444</f>
        <v>0.5</v>
      </c>
      <c r="H443" s="222"/>
    </row>
    <row r="444" spans="1:8" s="221" customFormat="1" ht="47.25" x14ac:dyDescent="0.25">
      <c r="A444" s="33" t="s">
        <v>206</v>
      </c>
      <c r="B444" s="40" t="s">
        <v>888</v>
      </c>
      <c r="C444" s="40" t="s">
        <v>133</v>
      </c>
      <c r="D444" s="9" t="s">
        <v>165</v>
      </c>
      <c r="E444" s="40"/>
      <c r="F444" s="40"/>
      <c r="G444" s="10">
        <f>G445</f>
        <v>0.5</v>
      </c>
      <c r="H444" s="222"/>
    </row>
    <row r="445" spans="1:8" s="221" customFormat="1" ht="31.5" x14ac:dyDescent="0.25">
      <c r="A445" s="25" t="s">
        <v>146</v>
      </c>
      <c r="B445" s="40" t="s">
        <v>888</v>
      </c>
      <c r="C445" s="40" t="s">
        <v>133</v>
      </c>
      <c r="D445" s="9" t="s">
        <v>165</v>
      </c>
      <c r="E445" s="40" t="s">
        <v>147</v>
      </c>
      <c r="F445" s="40"/>
      <c r="G445" s="10">
        <f>G446</f>
        <v>0.5</v>
      </c>
      <c r="H445" s="222"/>
    </row>
    <row r="446" spans="1:8" s="221" customFormat="1" ht="31.5" x14ac:dyDescent="0.25">
      <c r="A446" s="25" t="s">
        <v>148</v>
      </c>
      <c r="B446" s="40" t="s">
        <v>888</v>
      </c>
      <c r="C446" s="40" t="s">
        <v>133</v>
      </c>
      <c r="D446" s="9" t="s">
        <v>165</v>
      </c>
      <c r="E446" s="40" t="s">
        <v>149</v>
      </c>
      <c r="F446" s="40"/>
      <c r="G446" s="10">
        <f>'Пр.3 Рд,пр, ЦС,ВР 20'!F98</f>
        <v>0.5</v>
      </c>
      <c r="H446" s="222"/>
    </row>
    <row r="447" spans="1:8" s="221" customFormat="1" ht="15.75" x14ac:dyDescent="0.25">
      <c r="A447" s="29" t="s">
        <v>163</v>
      </c>
      <c r="B447" s="40" t="s">
        <v>888</v>
      </c>
      <c r="C447" s="40" t="s">
        <v>133</v>
      </c>
      <c r="D447" s="9" t="s">
        <v>165</v>
      </c>
      <c r="E447" s="40" t="s">
        <v>149</v>
      </c>
      <c r="F447" s="40" t="s">
        <v>656</v>
      </c>
      <c r="G447" s="10">
        <f>G446</f>
        <v>0.5</v>
      </c>
      <c r="H447" s="222"/>
    </row>
    <row r="448" spans="1:8" s="221" customFormat="1" ht="47.25" x14ac:dyDescent="0.25">
      <c r="A448" s="33" t="s">
        <v>206</v>
      </c>
      <c r="B448" s="20" t="s">
        <v>889</v>
      </c>
      <c r="C448" s="40" t="s">
        <v>133</v>
      </c>
      <c r="D448" s="9" t="s">
        <v>165</v>
      </c>
      <c r="E448" s="40"/>
      <c r="F448" s="40"/>
      <c r="G448" s="10">
        <f>G449</f>
        <v>0</v>
      </c>
      <c r="H448" s="222"/>
    </row>
    <row r="449" spans="1:8" s="221" customFormat="1" ht="31.5" x14ac:dyDescent="0.25">
      <c r="A449" s="25" t="s">
        <v>146</v>
      </c>
      <c r="B449" s="20" t="s">
        <v>889</v>
      </c>
      <c r="C449" s="40" t="s">
        <v>133</v>
      </c>
      <c r="D449" s="9" t="s">
        <v>165</v>
      </c>
      <c r="E449" s="40" t="s">
        <v>147</v>
      </c>
      <c r="F449" s="40"/>
      <c r="G449" s="10">
        <f>G450</f>
        <v>0</v>
      </c>
      <c r="H449" s="222"/>
    </row>
    <row r="450" spans="1:8" s="221" customFormat="1" ht="31.5" x14ac:dyDescent="0.25">
      <c r="A450" s="25" t="s">
        <v>148</v>
      </c>
      <c r="B450" s="20" t="s">
        <v>889</v>
      </c>
      <c r="C450" s="40" t="s">
        <v>133</v>
      </c>
      <c r="D450" s="9" t="s">
        <v>165</v>
      </c>
      <c r="E450" s="40" t="s">
        <v>149</v>
      </c>
      <c r="F450" s="40"/>
      <c r="G450" s="10">
        <f>'Пр.3 Рд,пр, ЦС,ВР 20'!F101</f>
        <v>0</v>
      </c>
      <c r="H450" s="222"/>
    </row>
    <row r="451" spans="1:8" ht="15.75" x14ac:dyDescent="0.25">
      <c r="A451" s="29" t="s">
        <v>163</v>
      </c>
      <c r="B451" s="20" t="s">
        <v>889</v>
      </c>
      <c r="C451" s="40" t="s">
        <v>133</v>
      </c>
      <c r="D451" s="9" t="s">
        <v>165</v>
      </c>
      <c r="E451" s="40" t="s">
        <v>149</v>
      </c>
      <c r="F451" s="40" t="s">
        <v>656</v>
      </c>
      <c r="G451" s="10">
        <f>G450</f>
        <v>0</v>
      </c>
    </row>
    <row r="452" spans="1:8" ht="70.5" customHeight="1" x14ac:dyDescent="0.25">
      <c r="A452" s="41" t="s">
        <v>268</v>
      </c>
      <c r="B452" s="210" t="s">
        <v>269</v>
      </c>
      <c r="C452" s="40"/>
      <c r="D452" s="40"/>
      <c r="E452" s="40"/>
      <c r="F452" s="40"/>
      <c r="G452" s="59">
        <f t="shared" ref="G452" si="59">G454</f>
        <v>10</v>
      </c>
      <c r="H452" s="222">
        <v>10</v>
      </c>
    </row>
    <row r="453" spans="1:8" s="221" customFormat="1" ht="54" customHeight="1" x14ac:dyDescent="0.25">
      <c r="A453" s="23" t="s">
        <v>929</v>
      </c>
      <c r="B453" s="24" t="s">
        <v>927</v>
      </c>
      <c r="C453" s="40"/>
      <c r="D453" s="40"/>
      <c r="E453" s="40"/>
      <c r="F453" s="40"/>
      <c r="G453" s="59">
        <f>G454</f>
        <v>10</v>
      </c>
      <c r="H453" s="222"/>
    </row>
    <row r="454" spans="1:8" ht="15.75" x14ac:dyDescent="0.25">
      <c r="A454" s="29" t="s">
        <v>258</v>
      </c>
      <c r="B454" s="5" t="s">
        <v>927</v>
      </c>
      <c r="C454" s="40" t="s">
        <v>259</v>
      </c>
      <c r="D454" s="40"/>
      <c r="E454" s="40"/>
      <c r="F454" s="40"/>
      <c r="G454" s="10">
        <f>G455</f>
        <v>10</v>
      </c>
    </row>
    <row r="455" spans="1:8" ht="22.7" customHeight="1" x14ac:dyDescent="0.25">
      <c r="A455" s="29" t="s">
        <v>267</v>
      </c>
      <c r="B455" s="5" t="s">
        <v>927</v>
      </c>
      <c r="C455" s="40" t="s">
        <v>259</v>
      </c>
      <c r="D455" s="40" t="s">
        <v>230</v>
      </c>
      <c r="E455" s="40"/>
      <c r="F455" s="40"/>
      <c r="G455" s="10">
        <f>G456</f>
        <v>10</v>
      </c>
    </row>
    <row r="456" spans="1:8" ht="31.5" x14ac:dyDescent="0.25">
      <c r="A456" s="25" t="s">
        <v>928</v>
      </c>
      <c r="B456" s="20" t="s">
        <v>1474</v>
      </c>
      <c r="C456" s="40" t="s">
        <v>259</v>
      </c>
      <c r="D456" s="40" t="s">
        <v>230</v>
      </c>
      <c r="E456" s="40"/>
      <c r="F456" s="40"/>
      <c r="G456" s="10">
        <f t="shared" ref="G456:G457" si="60">G457</f>
        <v>10</v>
      </c>
    </row>
    <row r="457" spans="1:8" ht="21.75" customHeight="1" x14ac:dyDescent="0.25">
      <c r="A457" s="25" t="s">
        <v>263</v>
      </c>
      <c r="B457" s="20" t="s">
        <v>1474</v>
      </c>
      <c r="C457" s="40" t="s">
        <v>259</v>
      </c>
      <c r="D457" s="40" t="s">
        <v>230</v>
      </c>
      <c r="E457" s="40" t="s">
        <v>264</v>
      </c>
      <c r="F457" s="40"/>
      <c r="G457" s="10">
        <f t="shared" si="60"/>
        <v>10</v>
      </c>
    </row>
    <row r="458" spans="1:8" ht="31.7" customHeight="1" x14ac:dyDescent="0.25">
      <c r="A458" s="25" t="s">
        <v>265</v>
      </c>
      <c r="B458" s="20" t="s">
        <v>1474</v>
      </c>
      <c r="C458" s="40" t="s">
        <v>259</v>
      </c>
      <c r="D458" s="40" t="s">
        <v>230</v>
      </c>
      <c r="E458" s="40" t="s">
        <v>266</v>
      </c>
      <c r="F458" s="40"/>
      <c r="G458" s="10">
        <f>'Пр.4 ведом.20'!G201</f>
        <v>10</v>
      </c>
    </row>
    <row r="459" spans="1:8" ht="15.75" x14ac:dyDescent="0.25">
      <c r="A459" s="45" t="s">
        <v>163</v>
      </c>
      <c r="B459" s="20" t="s">
        <v>1474</v>
      </c>
      <c r="C459" s="40" t="s">
        <v>259</v>
      </c>
      <c r="D459" s="40" t="s">
        <v>230</v>
      </c>
      <c r="E459" s="40" t="s">
        <v>266</v>
      </c>
      <c r="F459" s="40" t="s">
        <v>656</v>
      </c>
      <c r="G459" s="10">
        <f>G458</f>
        <v>10</v>
      </c>
    </row>
    <row r="460" spans="1:8" ht="53.45" customHeight="1" x14ac:dyDescent="0.25">
      <c r="A460" s="41" t="s">
        <v>496</v>
      </c>
      <c r="B460" s="3" t="s">
        <v>497</v>
      </c>
      <c r="C460" s="68"/>
      <c r="D460" s="68"/>
      <c r="E460" s="68"/>
      <c r="F460" s="68"/>
      <c r="G460" s="4">
        <f>G461+G528</f>
        <v>55306.430400000005</v>
      </c>
      <c r="H460" s="222">
        <v>49079.7</v>
      </c>
    </row>
    <row r="461" spans="1:8" ht="47.25" x14ac:dyDescent="0.25">
      <c r="A461" s="58" t="s">
        <v>508</v>
      </c>
      <c r="B461" s="7" t="s">
        <v>509</v>
      </c>
      <c r="C461" s="7"/>
      <c r="D461" s="7"/>
      <c r="E461" s="7"/>
      <c r="F461" s="3"/>
      <c r="G461" s="59">
        <f>G462+G477+G492+G503+G510+G517</f>
        <v>52306.430400000005</v>
      </c>
    </row>
    <row r="462" spans="1:8" s="221" customFormat="1" ht="31.5" x14ac:dyDescent="0.25">
      <c r="A462" s="23" t="s">
        <v>1026</v>
      </c>
      <c r="B462" s="24" t="s">
        <v>1059</v>
      </c>
      <c r="C462" s="7"/>
      <c r="D462" s="7"/>
      <c r="E462" s="251"/>
      <c r="F462" s="210"/>
      <c r="G462" s="59">
        <f>G463</f>
        <v>44780.4</v>
      </c>
      <c r="H462" s="222"/>
    </row>
    <row r="463" spans="1:8" ht="17.45" customHeight="1" x14ac:dyDescent="0.25">
      <c r="A463" s="29" t="s">
        <v>505</v>
      </c>
      <c r="B463" s="40" t="s">
        <v>1059</v>
      </c>
      <c r="C463" s="2">
        <v>11</v>
      </c>
      <c r="D463" s="68"/>
      <c r="E463" s="68"/>
      <c r="F463" s="68"/>
      <c r="G463" s="10">
        <f t="shared" ref="G463" si="61">G464</f>
        <v>44780.4</v>
      </c>
    </row>
    <row r="464" spans="1:8" ht="19.5" customHeight="1" x14ac:dyDescent="0.25">
      <c r="A464" s="29" t="s">
        <v>507</v>
      </c>
      <c r="B464" s="40" t="s">
        <v>1059</v>
      </c>
      <c r="C464" s="40" t="s">
        <v>506</v>
      </c>
      <c r="D464" s="40" t="s">
        <v>133</v>
      </c>
      <c r="E464" s="71"/>
      <c r="F464" s="5"/>
      <c r="G464" s="10">
        <f>G465+G469+G473</f>
        <v>44780.4</v>
      </c>
    </row>
    <row r="465" spans="1:8" ht="47.25" x14ac:dyDescent="0.25">
      <c r="A465" s="25" t="s">
        <v>835</v>
      </c>
      <c r="B465" s="20" t="s">
        <v>1069</v>
      </c>
      <c r="C465" s="40" t="s">
        <v>506</v>
      </c>
      <c r="D465" s="40" t="s">
        <v>133</v>
      </c>
      <c r="E465" s="71"/>
      <c r="F465" s="5"/>
      <c r="G465" s="10">
        <f>G466</f>
        <v>12963.2</v>
      </c>
    </row>
    <row r="466" spans="1:8" ht="31.5" x14ac:dyDescent="0.25">
      <c r="A466" s="29" t="s">
        <v>287</v>
      </c>
      <c r="B466" s="20" t="s">
        <v>1069</v>
      </c>
      <c r="C466" s="40" t="s">
        <v>506</v>
      </c>
      <c r="D466" s="40" t="s">
        <v>133</v>
      </c>
      <c r="E466" s="40" t="s">
        <v>288</v>
      </c>
      <c r="F466" s="5"/>
      <c r="G466" s="10">
        <f>G467</f>
        <v>12963.2</v>
      </c>
    </row>
    <row r="467" spans="1:8" ht="15.75" x14ac:dyDescent="0.25">
      <c r="A467" s="29" t="s">
        <v>289</v>
      </c>
      <c r="B467" s="20" t="s">
        <v>1069</v>
      </c>
      <c r="C467" s="40" t="s">
        <v>506</v>
      </c>
      <c r="D467" s="40" t="s">
        <v>133</v>
      </c>
      <c r="E467" s="40" t="s">
        <v>290</v>
      </c>
      <c r="F467" s="5"/>
      <c r="G467" s="10">
        <f>'Пр.4 ведом.20'!G801</f>
        <v>12963.2</v>
      </c>
    </row>
    <row r="468" spans="1:8" s="221" customFormat="1" ht="31.5" x14ac:dyDescent="0.25">
      <c r="A468" s="70" t="s">
        <v>495</v>
      </c>
      <c r="B468" s="20" t="s">
        <v>1069</v>
      </c>
      <c r="C468" s="40" t="s">
        <v>506</v>
      </c>
      <c r="D468" s="40" t="s">
        <v>133</v>
      </c>
      <c r="E468" s="40" t="s">
        <v>290</v>
      </c>
      <c r="F468" s="5">
        <v>907</v>
      </c>
      <c r="G468" s="10">
        <f>G467</f>
        <v>12963.2</v>
      </c>
      <c r="H468" s="222"/>
    </row>
    <row r="469" spans="1:8" ht="31.5" x14ac:dyDescent="0.25">
      <c r="A469" s="25" t="s">
        <v>834</v>
      </c>
      <c r="B469" s="20" t="s">
        <v>1070</v>
      </c>
      <c r="C469" s="40" t="s">
        <v>506</v>
      </c>
      <c r="D469" s="40" t="s">
        <v>133</v>
      </c>
      <c r="E469" s="40"/>
      <c r="F469" s="5"/>
      <c r="G469" s="10">
        <f>G470</f>
        <v>13290.199999999999</v>
      </c>
    </row>
    <row r="470" spans="1:8" ht="31.5" x14ac:dyDescent="0.25">
      <c r="A470" s="25" t="s">
        <v>287</v>
      </c>
      <c r="B470" s="20" t="s">
        <v>1070</v>
      </c>
      <c r="C470" s="40" t="s">
        <v>506</v>
      </c>
      <c r="D470" s="40" t="s">
        <v>133</v>
      </c>
      <c r="E470" s="40" t="s">
        <v>288</v>
      </c>
      <c r="F470" s="5"/>
      <c r="G470" s="10">
        <f>G471</f>
        <v>13290.199999999999</v>
      </c>
    </row>
    <row r="471" spans="1:8" ht="15.75" x14ac:dyDescent="0.25">
      <c r="A471" s="25" t="s">
        <v>289</v>
      </c>
      <c r="B471" s="20" t="s">
        <v>1070</v>
      </c>
      <c r="C471" s="40" t="s">
        <v>506</v>
      </c>
      <c r="D471" s="40" t="s">
        <v>133</v>
      </c>
      <c r="E471" s="40" t="s">
        <v>290</v>
      </c>
      <c r="F471" s="5"/>
      <c r="G471" s="10">
        <f>'Пр.4 ведом.20'!G804</f>
        <v>13290.199999999999</v>
      </c>
    </row>
    <row r="472" spans="1:8" s="221" customFormat="1" ht="31.5" x14ac:dyDescent="0.25">
      <c r="A472" s="70" t="s">
        <v>495</v>
      </c>
      <c r="B472" s="20" t="s">
        <v>1070</v>
      </c>
      <c r="C472" s="40" t="s">
        <v>506</v>
      </c>
      <c r="D472" s="40" t="s">
        <v>133</v>
      </c>
      <c r="E472" s="40" t="s">
        <v>290</v>
      </c>
      <c r="F472" s="5">
        <v>907</v>
      </c>
      <c r="G472" s="10">
        <f>G469</f>
        <v>13290.199999999999</v>
      </c>
      <c r="H472" s="222"/>
    </row>
    <row r="473" spans="1:8" ht="47.25" x14ac:dyDescent="0.25">
      <c r="A473" s="25" t="s">
        <v>833</v>
      </c>
      <c r="B473" s="20" t="s">
        <v>1071</v>
      </c>
      <c r="C473" s="40" t="s">
        <v>506</v>
      </c>
      <c r="D473" s="40" t="s">
        <v>133</v>
      </c>
      <c r="E473" s="40"/>
      <c r="F473" s="5"/>
      <c r="G473" s="10">
        <f>G474</f>
        <v>18527</v>
      </c>
    </row>
    <row r="474" spans="1:8" ht="31.5" x14ac:dyDescent="0.25">
      <c r="A474" s="25" t="s">
        <v>287</v>
      </c>
      <c r="B474" s="20" t="s">
        <v>1071</v>
      </c>
      <c r="C474" s="40" t="s">
        <v>506</v>
      </c>
      <c r="D474" s="40" t="s">
        <v>133</v>
      </c>
      <c r="E474" s="40" t="s">
        <v>288</v>
      </c>
      <c r="F474" s="5"/>
      <c r="G474" s="10">
        <f>G475</f>
        <v>18527</v>
      </c>
    </row>
    <row r="475" spans="1:8" ht="15.75" x14ac:dyDescent="0.25">
      <c r="A475" s="25" t="s">
        <v>289</v>
      </c>
      <c r="B475" s="20" t="s">
        <v>1071</v>
      </c>
      <c r="C475" s="40" t="s">
        <v>506</v>
      </c>
      <c r="D475" s="40" t="s">
        <v>133</v>
      </c>
      <c r="E475" s="40" t="s">
        <v>290</v>
      </c>
      <c r="F475" s="5"/>
      <c r="G475" s="10">
        <f>'Пр.4 ведом.20'!G807</f>
        <v>18527</v>
      </c>
    </row>
    <row r="476" spans="1:8" s="221" customFormat="1" ht="31.5" x14ac:dyDescent="0.25">
      <c r="A476" s="70" t="s">
        <v>495</v>
      </c>
      <c r="B476" s="20" t="s">
        <v>1071</v>
      </c>
      <c r="C476" s="40" t="s">
        <v>506</v>
      </c>
      <c r="D476" s="40" t="s">
        <v>133</v>
      </c>
      <c r="E476" s="40" t="s">
        <v>290</v>
      </c>
      <c r="F476" s="5">
        <v>907</v>
      </c>
      <c r="G476" s="10">
        <f>G473</f>
        <v>18527</v>
      </c>
      <c r="H476" s="222"/>
    </row>
    <row r="477" spans="1:8" s="221" customFormat="1" ht="31.5" x14ac:dyDescent="0.25">
      <c r="A477" s="23" t="s">
        <v>1072</v>
      </c>
      <c r="B477" s="24" t="s">
        <v>1073</v>
      </c>
      <c r="C477" s="7"/>
      <c r="D477" s="7"/>
      <c r="E477" s="7"/>
      <c r="F477" s="210"/>
      <c r="G477" s="59">
        <f>G478</f>
        <v>36</v>
      </c>
      <c r="H477" s="222"/>
    </row>
    <row r="478" spans="1:8" s="221" customFormat="1" ht="15.75" x14ac:dyDescent="0.25">
      <c r="A478" s="29" t="s">
        <v>505</v>
      </c>
      <c r="B478" s="40" t="s">
        <v>1073</v>
      </c>
      <c r="C478" s="2">
        <v>11</v>
      </c>
      <c r="D478" s="68"/>
      <c r="E478" s="68"/>
      <c r="F478" s="68"/>
      <c r="G478" s="10">
        <f t="shared" ref="G478" si="62">G479</f>
        <v>36</v>
      </c>
      <c r="H478" s="222"/>
    </row>
    <row r="479" spans="1:8" s="221" customFormat="1" ht="16.5" x14ac:dyDescent="0.25">
      <c r="A479" s="29" t="s">
        <v>507</v>
      </c>
      <c r="B479" s="40" t="s">
        <v>1073</v>
      </c>
      <c r="C479" s="40" t="s">
        <v>506</v>
      </c>
      <c r="D479" s="40" t="s">
        <v>133</v>
      </c>
      <c r="E479" s="71"/>
      <c r="F479" s="5"/>
      <c r="G479" s="10">
        <f>G480+G484+G488</f>
        <v>36</v>
      </c>
      <c r="H479" s="222"/>
    </row>
    <row r="480" spans="1:8" ht="31.7" hidden="1" customHeight="1" x14ac:dyDescent="0.25">
      <c r="A480" s="29" t="s">
        <v>293</v>
      </c>
      <c r="B480" s="20" t="s">
        <v>1077</v>
      </c>
      <c r="C480" s="40" t="s">
        <v>506</v>
      </c>
      <c r="D480" s="40" t="s">
        <v>133</v>
      </c>
      <c r="E480" s="40"/>
      <c r="F480" s="5"/>
      <c r="G480" s="10">
        <f t="shared" ref="G480:G481" si="63">G481</f>
        <v>0</v>
      </c>
    </row>
    <row r="481" spans="1:8" ht="31.7" hidden="1" customHeight="1" x14ac:dyDescent="0.25">
      <c r="A481" s="29" t="s">
        <v>287</v>
      </c>
      <c r="B481" s="20" t="s">
        <v>1077</v>
      </c>
      <c r="C481" s="40" t="s">
        <v>506</v>
      </c>
      <c r="D481" s="40" t="s">
        <v>133</v>
      </c>
      <c r="E481" s="40" t="s">
        <v>288</v>
      </c>
      <c r="F481" s="5"/>
      <c r="G481" s="10">
        <f t="shared" si="63"/>
        <v>0</v>
      </c>
    </row>
    <row r="482" spans="1:8" ht="15.75" hidden="1" customHeight="1" x14ac:dyDescent="0.25">
      <c r="A482" s="29" t="s">
        <v>289</v>
      </c>
      <c r="B482" s="20" t="s">
        <v>1077</v>
      </c>
      <c r="C482" s="40" t="s">
        <v>506</v>
      </c>
      <c r="D482" s="40" t="s">
        <v>133</v>
      </c>
      <c r="E482" s="40" t="s">
        <v>290</v>
      </c>
      <c r="F482" s="5"/>
      <c r="G482" s="10">
        <f>'Пр.4 ведом.20'!G811</f>
        <v>0</v>
      </c>
    </row>
    <row r="483" spans="1:8" s="221" customFormat="1" ht="34.5" hidden="1" customHeight="1" x14ac:dyDescent="0.25">
      <c r="A483" s="70" t="s">
        <v>495</v>
      </c>
      <c r="B483" s="20" t="s">
        <v>1077</v>
      </c>
      <c r="C483" s="40" t="s">
        <v>506</v>
      </c>
      <c r="D483" s="40" t="s">
        <v>133</v>
      </c>
      <c r="E483" s="40" t="s">
        <v>290</v>
      </c>
      <c r="F483" s="5">
        <v>907</v>
      </c>
      <c r="G483" s="10">
        <f>G482</f>
        <v>0</v>
      </c>
      <c r="H483" s="222"/>
    </row>
    <row r="484" spans="1:8" ht="31.7" hidden="1" customHeight="1" x14ac:dyDescent="0.25">
      <c r="A484" s="29" t="s">
        <v>295</v>
      </c>
      <c r="B484" s="20" t="s">
        <v>1078</v>
      </c>
      <c r="C484" s="40" t="s">
        <v>506</v>
      </c>
      <c r="D484" s="40" t="s">
        <v>133</v>
      </c>
      <c r="E484" s="40"/>
      <c r="F484" s="5"/>
      <c r="G484" s="10">
        <f t="shared" ref="G484:G485" si="64">G485</f>
        <v>0</v>
      </c>
    </row>
    <row r="485" spans="1:8" ht="31.7" hidden="1" customHeight="1" x14ac:dyDescent="0.25">
      <c r="A485" s="29" t="s">
        <v>287</v>
      </c>
      <c r="B485" s="20" t="s">
        <v>1078</v>
      </c>
      <c r="C485" s="40" t="s">
        <v>506</v>
      </c>
      <c r="D485" s="40" t="s">
        <v>133</v>
      </c>
      <c r="E485" s="40" t="s">
        <v>288</v>
      </c>
      <c r="F485" s="5"/>
      <c r="G485" s="10">
        <f t="shared" si="64"/>
        <v>0</v>
      </c>
    </row>
    <row r="486" spans="1:8" ht="15.75" hidden="1" customHeight="1" x14ac:dyDescent="0.25">
      <c r="A486" s="29" t="s">
        <v>289</v>
      </c>
      <c r="B486" s="20" t="s">
        <v>1078</v>
      </c>
      <c r="C486" s="40" t="s">
        <v>506</v>
      </c>
      <c r="D486" s="40" t="s">
        <v>133</v>
      </c>
      <c r="E486" s="40" t="s">
        <v>290</v>
      </c>
      <c r="F486" s="5"/>
      <c r="G486" s="10">
        <f>'Пр.4 ведом.20'!G814</f>
        <v>0</v>
      </c>
    </row>
    <row r="487" spans="1:8" s="221" customFormat="1" ht="36" hidden="1" customHeight="1" x14ac:dyDescent="0.25">
      <c r="A487" s="70" t="s">
        <v>495</v>
      </c>
      <c r="B487" s="20" t="s">
        <v>1078</v>
      </c>
      <c r="C487" s="40" t="s">
        <v>506</v>
      </c>
      <c r="D487" s="40" t="s">
        <v>133</v>
      </c>
      <c r="E487" s="40" t="s">
        <v>290</v>
      </c>
      <c r="F487" s="5">
        <v>907</v>
      </c>
      <c r="G487" s="10">
        <f>G486</f>
        <v>0</v>
      </c>
      <c r="H487" s="222"/>
    </row>
    <row r="488" spans="1:8" s="221" customFormat="1" ht="15.75" customHeight="1" x14ac:dyDescent="0.25">
      <c r="A488" s="25" t="s">
        <v>874</v>
      </c>
      <c r="B488" s="20" t="s">
        <v>1079</v>
      </c>
      <c r="C488" s="40" t="s">
        <v>506</v>
      </c>
      <c r="D488" s="40" t="s">
        <v>133</v>
      </c>
      <c r="E488" s="40"/>
      <c r="F488" s="5"/>
      <c r="G488" s="10">
        <f>G489</f>
        <v>36</v>
      </c>
      <c r="H488" s="222"/>
    </row>
    <row r="489" spans="1:8" s="221" customFormat="1" ht="31.5" x14ac:dyDescent="0.25">
      <c r="A489" s="25" t="s">
        <v>287</v>
      </c>
      <c r="B489" s="20" t="s">
        <v>1079</v>
      </c>
      <c r="C489" s="40" t="s">
        <v>506</v>
      </c>
      <c r="D489" s="40" t="s">
        <v>133</v>
      </c>
      <c r="E489" s="40" t="s">
        <v>288</v>
      </c>
      <c r="F489" s="5"/>
      <c r="G489" s="10">
        <f>G490</f>
        <v>36</v>
      </c>
      <c r="H489" s="222"/>
    </row>
    <row r="490" spans="1:8" s="221" customFormat="1" ht="15.75" customHeight="1" x14ac:dyDescent="0.25">
      <c r="A490" s="25" t="s">
        <v>289</v>
      </c>
      <c r="B490" s="20" t="s">
        <v>1079</v>
      </c>
      <c r="C490" s="40" t="s">
        <v>506</v>
      </c>
      <c r="D490" s="40" t="s">
        <v>133</v>
      </c>
      <c r="E490" s="40" t="s">
        <v>290</v>
      </c>
      <c r="F490" s="5"/>
      <c r="G490" s="10">
        <f>'Пр.4 ведом.20'!G817</f>
        <v>36</v>
      </c>
      <c r="H490" s="222"/>
    </row>
    <row r="491" spans="1:8" s="221" customFormat="1" ht="33" customHeight="1" x14ac:dyDescent="0.25">
      <c r="A491" s="70" t="s">
        <v>495</v>
      </c>
      <c r="B491" s="20" t="s">
        <v>1079</v>
      </c>
      <c r="C491" s="40" t="s">
        <v>506</v>
      </c>
      <c r="D491" s="40" t="s">
        <v>133</v>
      </c>
      <c r="E491" s="40" t="s">
        <v>290</v>
      </c>
      <c r="F491" s="5">
        <v>907</v>
      </c>
      <c r="G491" s="10">
        <f>G490</f>
        <v>36</v>
      </c>
      <c r="H491" s="222"/>
    </row>
    <row r="492" spans="1:8" s="221" customFormat="1" ht="36" customHeight="1" x14ac:dyDescent="0.25">
      <c r="A492" s="23" t="s">
        <v>1074</v>
      </c>
      <c r="B492" s="24" t="s">
        <v>1076</v>
      </c>
      <c r="C492" s="7"/>
      <c r="D492" s="7"/>
      <c r="E492" s="7"/>
      <c r="F492" s="210"/>
      <c r="G492" s="59">
        <f>G493</f>
        <v>1205.8</v>
      </c>
      <c r="H492" s="222"/>
    </row>
    <row r="493" spans="1:8" s="221" customFormat="1" ht="18" customHeight="1" x14ac:dyDescent="0.25">
      <c r="A493" s="29" t="s">
        <v>505</v>
      </c>
      <c r="B493" s="40" t="s">
        <v>1076</v>
      </c>
      <c r="C493" s="2">
        <v>11</v>
      </c>
      <c r="D493" s="68"/>
      <c r="E493" s="68"/>
      <c r="F493" s="68"/>
      <c r="G493" s="10">
        <f t="shared" ref="G493" si="65">G494</f>
        <v>1205.8</v>
      </c>
      <c r="H493" s="222"/>
    </row>
    <row r="494" spans="1:8" s="221" customFormat="1" ht="18" customHeight="1" x14ac:dyDescent="0.25">
      <c r="A494" s="29" t="s">
        <v>507</v>
      </c>
      <c r="B494" s="40" t="s">
        <v>1076</v>
      </c>
      <c r="C494" s="40" t="s">
        <v>506</v>
      </c>
      <c r="D494" s="40" t="s">
        <v>133</v>
      </c>
      <c r="E494" s="71"/>
      <c r="F494" s="5"/>
      <c r="G494" s="10">
        <f>G495+G499</f>
        <v>1205.8</v>
      </c>
      <c r="H494" s="222"/>
    </row>
    <row r="495" spans="1:8" ht="31.7" hidden="1" customHeight="1" x14ac:dyDescent="0.25">
      <c r="A495" s="29" t="s">
        <v>299</v>
      </c>
      <c r="B495" s="20" t="s">
        <v>1080</v>
      </c>
      <c r="C495" s="40" t="s">
        <v>506</v>
      </c>
      <c r="D495" s="40" t="s">
        <v>133</v>
      </c>
      <c r="E495" s="40"/>
      <c r="F495" s="5"/>
      <c r="G495" s="10">
        <f t="shared" ref="G495:G496" si="66">G496</f>
        <v>0</v>
      </c>
    </row>
    <row r="496" spans="1:8" ht="31.7" hidden="1" customHeight="1" x14ac:dyDescent="0.25">
      <c r="A496" s="29" t="s">
        <v>287</v>
      </c>
      <c r="B496" s="20" t="s">
        <v>1080</v>
      </c>
      <c r="C496" s="40" t="s">
        <v>506</v>
      </c>
      <c r="D496" s="40" t="s">
        <v>133</v>
      </c>
      <c r="E496" s="40" t="s">
        <v>288</v>
      </c>
      <c r="F496" s="5"/>
      <c r="G496" s="10">
        <f t="shared" si="66"/>
        <v>0</v>
      </c>
    </row>
    <row r="497" spans="1:8" ht="15.75" hidden="1" customHeight="1" x14ac:dyDescent="0.25">
      <c r="A497" s="29" t="s">
        <v>289</v>
      </c>
      <c r="B497" s="20" t="s">
        <v>1080</v>
      </c>
      <c r="C497" s="40" t="s">
        <v>506</v>
      </c>
      <c r="D497" s="40" t="s">
        <v>133</v>
      </c>
      <c r="E497" s="40" t="s">
        <v>290</v>
      </c>
      <c r="F497" s="5"/>
      <c r="G497" s="10">
        <f>'Пр.4 ведом.20'!G821</f>
        <v>0</v>
      </c>
    </row>
    <row r="498" spans="1:8" s="221" customFormat="1" ht="15.75" hidden="1" customHeight="1" x14ac:dyDescent="0.25">
      <c r="A498" s="70" t="s">
        <v>495</v>
      </c>
      <c r="B498" s="20" t="s">
        <v>1080</v>
      </c>
      <c r="C498" s="40" t="s">
        <v>506</v>
      </c>
      <c r="D498" s="40" t="s">
        <v>133</v>
      </c>
      <c r="E498" s="40" t="s">
        <v>290</v>
      </c>
      <c r="F498" s="5">
        <v>907</v>
      </c>
      <c r="G498" s="10">
        <f>G497</f>
        <v>0</v>
      </c>
      <c r="H498" s="222"/>
    </row>
    <row r="499" spans="1:8" ht="31.5" x14ac:dyDescent="0.25">
      <c r="A499" s="45" t="s">
        <v>785</v>
      </c>
      <c r="B499" s="20" t="s">
        <v>1081</v>
      </c>
      <c r="C499" s="40" t="s">
        <v>506</v>
      </c>
      <c r="D499" s="40" t="s">
        <v>133</v>
      </c>
      <c r="E499" s="40"/>
      <c r="F499" s="5"/>
      <c r="G499" s="10">
        <f t="shared" ref="G499:G500" si="67">G500</f>
        <v>1205.8</v>
      </c>
    </row>
    <row r="500" spans="1:8" ht="31.5" x14ac:dyDescent="0.25">
      <c r="A500" s="31" t="s">
        <v>287</v>
      </c>
      <c r="B500" s="20" t="s">
        <v>1081</v>
      </c>
      <c r="C500" s="40" t="s">
        <v>506</v>
      </c>
      <c r="D500" s="40" t="s">
        <v>133</v>
      </c>
      <c r="E500" s="40" t="s">
        <v>288</v>
      </c>
      <c r="F500" s="5"/>
      <c r="G500" s="10">
        <f t="shared" si="67"/>
        <v>1205.8</v>
      </c>
    </row>
    <row r="501" spans="1:8" ht="15.75" x14ac:dyDescent="0.25">
      <c r="A501" s="31" t="s">
        <v>289</v>
      </c>
      <c r="B501" s="20" t="s">
        <v>1081</v>
      </c>
      <c r="C501" s="40" t="s">
        <v>506</v>
      </c>
      <c r="D501" s="40" t="s">
        <v>133</v>
      </c>
      <c r="E501" s="40" t="s">
        <v>290</v>
      </c>
      <c r="F501" s="5"/>
      <c r="G501" s="10">
        <f>'Пр.4 ведом.20'!G824</f>
        <v>1205.8</v>
      </c>
    </row>
    <row r="502" spans="1:8" s="221" customFormat="1" ht="31.5" x14ac:dyDescent="0.25">
      <c r="A502" s="70" t="s">
        <v>495</v>
      </c>
      <c r="B502" s="20" t="s">
        <v>1081</v>
      </c>
      <c r="C502" s="40" t="s">
        <v>506</v>
      </c>
      <c r="D502" s="40" t="s">
        <v>133</v>
      </c>
      <c r="E502" s="40" t="s">
        <v>290</v>
      </c>
      <c r="F502" s="5">
        <v>907</v>
      </c>
      <c r="G502" s="10">
        <f>G501</f>
        <v>1205.8</v>
      </c>
      <c r="H502" s="222"/>
    </row>
    <row r="503" spans="1:8" s="221" customFormat="1" ht="47.25" x14ac:dyDescent="0.25">
      <c r="A503" s="23" t="s">
        <v>969</v>
      </c>
      <c r="B503" s="24" t="s">
        <v>1082</v>
      </c>
      <c r="C503" s="7"/>
      <c r="D503" s="7"/>
      <c r="E503" s="7"/>
      <c r="F503" s="210"/>
      <c r="G503" s="59">
        <f>G504</f>
        <v>813.5</v>
      </c>
      <c r="H503" s="222"/>
    </row>
    <row r="504" spans="1:8" s="221" customFormat="1" ht="15.75" x14ac:dyDescent="0.25">
      <c r="A504" s="29" t="s">
        <v>505</v>
      </c>
      <c r="B504" s="40" t="s">
        <v>1082</v>
      </c>
      <c r="C504" s="2">
        <v>11</v>
      </c>
      <c r="D504" s="68"/>
      <c r="E504" s="68"/>
      <c r="F504" s="68"/>
      <c r="G504" s="10">
        <f t="shared" ref="G504" si="68">G505</f>
        <v>813.5</v>
      </c>
      <c r="H504" s="222"/>
    </row>
    <row r="505" spans="1:8" s="221" customFormat="1" ht="16.5" x14ac:dyDescent="0.25">
      <c r="A505" s="29" t="s">
        <v>507</v>
      </c>
      <c r="B505" s="40" t="s">
        <v>1082</v>
      </c>
      <c r="C505" s="40" t="s">
        <v>506</v>
      </c>
      <c r="D505" s="40" t="s">
        <v>133</v>
      </c>
      <c r="E505" s="71"/>
      <c r="F505" s="5"/>
      <c r="G505" s="10">
        <f>G506</f>
        <v>813.5</v>
      </c>
      <c r="H505" s="222"/>
    </row>
    <row r="506" spans="1:8" s="221" customFormat="1" ht="94.5" x14ac:dyDescent="0.25">
      <c r="A506" s="31" t="s">
        <v>479</v>
      </c>
      <c r="B506" s="20" t="s">
        <v>1525</v>
      </c>
      <c r="C506" s="40" t="s">
        <v>506</v>
      </c>
      <c r="D506" s="40" t="s">
        <v>133</v>
      </c>
      <c r="E506" s="40"/>
      <c r="F506" s="5"/>
      <c r="G506" s="10">
        <f>G507</f>
        <v>813.5</v>
      </c>
      <c r="H506" s="222"/>
    </row>
    <row r="507" spans="1:8" s="221" customFormat="1" ht="31.5" x14ac:dyDescent="0.25">
      <c r="A507" s="25" t="s">
        <v>287</v>
      </c>
      <c r="B507" s="368" t="s">
        <v>1525</v>
      </c>
      <c r="C507" s="40" t="s">
        <v>506</v>
      </c>
      <c r="D507" s="40" t="s">
        <v>133</v>
      </c>
      <c r="E507" s="40" t="s">
        <v>288</v>
      </c>
      <c r="F507" s="5"/>
      <c r="G507" s="10">
        <f>G508</f>
        <v>813.5</v>
      </c>
      <c r="H507" s="222"/>
    </row>
    <row r="508" spans="1:8" s="221" customFormat="1" ht="15.75" x14ac:dyDescent="0.25">
      <c r="A508" s="25" t="s">
        <v>289</v>
      </c>
      <c r="B508" s="368" t="s">
        <v>1525</v>
      </c>
      <c r="C508" s="40" t="s">
        <v>506</v>
      </c>
      <c r="D508" s="40" t="s">
        <v>133</v>
      </c>
      <c r="E508" s="40" t="s">
        <v>290</v>
      </c>
      <c r="F508" s="5"/>
      <c r="G508" s="10">
        <f>'Пр.4 ведом.20'!G828</f>
        <v>813.5</v>
      </c>
      <c r="H508" s="222"/>
    </row>
    <row r="509" spans="1:8" s="221" customFormat="1" ht="31.5" x14ac:dyDescent="0.25">
      <c r="A509" s="70" t="s">
        <v>495</v>
      </c>
      <c r="B509" s="368" t="s">
        <v>1525</v>
      </c>
      <c r="C509" s="40" t="s">
        <v>506</v>
      </c>
      <c r="D509" s="40" t="s">
        <v>133</v>
      </c>
      <c r="E509" s="40" t="s">
        <v>290</v>
      </c>
      <c r="F509" s="5">
        <v>907</v>
      </c>
      <c r="G509" s="10">
        <f>G508</f>
        <v>813.5</v>
      </c>
      <c r="H509" s="222"/>
    </row>
    <row r="510" spans="1:8" s="221" customFormat="1" ht="63" x14ac:dyDescent="0.25">
      <c r="A510" s="23" t="s">
        <v>1488</v>
      </c>
      <c r="B510" s="24" t="s">
        <v>1485</v>
      </c>
      <c r="C510" s="7"/>
      <c r="D510" s="7"/>
      <c r="E510" s="7"/>
      <c r="F510" s="210"/>
      <c r="G510" s="59">
        <f>G511</f>
        <v>439.56040000000002</v>
      </c>
      <c r="H510" s="222"/>
    </row>
    <row r="511" spans="1:8" s="221" customFormat="1" ht="15.75" x14ac:dyDescent="0.25">
      <c r="A511" s="29" t="s">
        <v>505</v>
      </c>
      <c r="B511" s="20" t="s">
        <v>1485</v>
      </c>
      <c r="C511" s="40" t="s">
        <v>506</v>
      </c>
      <c r="D511" s="40"/>
      <c r="E511" s="40"/>
      <c r="F511" s="5"/>
      <c r="G511" s="10">
        <f>G512</f>
        <v>439.56040000000002</v>
      </c>
      <c r="H511" s="222"/>
    </row>
    <row r="512" spans="1:8" s="221" customFormat="1" ht="15.75" x14ac:dyDescent="0.25">
      <c r="A512" s="29" t="s">
        <v>507</v>
      </c>
      <c r="B512" s="20" t="s">
        <v>1485</v>
      </c>
      <c r="C512" s="40" t="s">
        <v>506</v>
      </c>
      <c r="D512" s="40" t="s">
        <v>133</v>
      </c>
      <c r="E512" s="40"/>
      <c r="F512" s="5"/>
      <c r="G512" s="10">
        <f>G513</f>
        <v>439.56040000000002</v>
      </c>
      <c r="H512" s="222"/>
    </row>
    <row r="513" spans="1:8" s="221" customFormat="1" ht="47.25" x14ac:dyDescent="0.25">
      <c r="A513" s="25" t="s">
        <v>1489</v>
      </c>
      <c r="B513" s="20" t="s">
        <v>1484</v>
      </c>
      <c r="C513" s="40" t="s">
        <v>506</v>
      </c>
      <c r="D513" s="40" t="s">
        <v>133</v>
      </c>
      <c r="E513" s="40"/>
      <c r="F513" s="5"/>
      <c r="G513" s="10">
        <f>G514</f>
        <v>439.56040000000002</v>
      </c>
      <c r="H513" s="222"/>
    </row>
    <row r="514" spans="1:8" s="221" customFormat="1" ht="31.5" x14ac:dyDescent="0.25">
      <c r="A514" s="25" t="s">
        <v>287</v>
      </c>
      <c r="B514" s="20" t="s">
        <v>1484</v>
      </c>
      <c r="C514" s="40" t="s">
        <v>506</v>
      </c>
      <c r="D514" s="40" t="s">
        <v>133</v>
      </c>
      <c r="E514" s="40" t="s">
        <v>288</v>
      </c>
      <c r="F514" s="5"/>
      <c r="G514" s="10">
        <f>G515</f>
        <v>439.56040000000002</v>
      </c>
      <c r="H514" s="222"/>
    </row>
    <row r="515" spans="1:8" s="221" customFormat="1" ht="15.75" x14ac:dyDescent="0.25">
      <c r="A515" s="25" t="s">
        <v>289</v>
      </c>
      <c r="B515" s="20" t="s">
        <v>1484</v>
      </c>
      <c r="C515" s="40" t="s">
        <v>506</v>
      </c>
      <c r="D515" s="40" t="s">
        <v>133</v>
      </c>
      <c r="E515" s="40" t="s">
        <v>290</v>
      </c>
      <c r="F515" s="5"/>
      <c r="G515" s="10">
        <f>'Пр.4 ведом.20'!G835</f>
        <v>439.56040000000002</v>
      </c>
      <c r="H515" s="222"/>
    </row>
    <row r="516" spans="1:8" s="221" customFormat="1" ht="31.5" x14ac:dyDescent="0.25">
      <c r="A516" s="70" t="s">
        <v>495</v>
      </c>
      <c r="B516" s="20" t="s">
        <v>1484</v>
      </c>
      <c r="C516" s="40" t="s">
        <v>506</v>
      </c>
      <c r="D516" s="40" t="s">
        <v>133</v>
      </c>
      <c r="E516" s="40" t="s">
        <v>290</v>
      </c>
      <c r="F516" s="5">
        <v>907</v>
      </c>
      <c r="G516" s="10">
        <f>G510</f>
        <v>439.56040000000002</v>
      </c>
      <c r="H516" s="222"/>
    </row>
    <row r="517" spans="1:8" s="361" customFormat="1" ht="47.25" x14ac:dyDescent="0.25">
      <c r="A517" s="370" t="s">
        <v>1510</v>
      </c>
      <c r="B517" s="371" t="s">
        <v>1512</v>
      </c>
      <c r="C517" s="376"/>
      <c r="D517" s="376"/>
      <c r="E517" s="376"/>
      <c r="F517" s="363"/>
      <c r="G517" s="377">
        <f>G518</f>
        <v>5031.17</v>
      </c>
      <c r="H517" s="362"/>
    </row>
    <row r="518" spans="1:8" s="361" customFormat="1" ht="15.75" x14ac:dyDescent="0.25">
      <c r="A518" s="375" t="s">
        <v>505</v>
      </c>
      <c r="B518" s="368" t="s">
        <v>1512</v>
      </c>
      <c r="C518" s="376" t="s">
        <v>506</v>
      </c>
      <c r="D518" s="376"/>
      <c r="E518" s="376"/>
      <c r="F518" s="363"/>
      <c r="G518" s="365">
        <f>G519</f>
        <v>5031.17</v>
      </c>
      <c r="H518" s="362"/>
    </row>
    <row r="519" spans="1:8" s="361" customFormat="1" ht="15.75" x14ac:dyDescent="0.25">
      <c r="A519" s="375" t="s">
        <v>507</v>
      </c>
      <c r="B519" s="368" t="s">
        <v>1512</v>
      </c>
      <c r="C519" s="376" t="s">
        <v>506</v>
      </c>
      <c r="D519" s="376" t="s">
        <v>133</v>
      </c>
      <c r="E519" s="376"/>
      <c r="F519" s="363"/>
      <c r="G519" s="365">
        <f>G520+G524</f>
        <v>5031.17</v>
      </c>
      <c r="H519" s="362"/>
    </row>
    <row r="520" spans="1:8" s="361" customFormat="1" ht="55.5" customHeight="1" x14ac:dyDescent="0.25">
      <c r="A520" s="372" t="s">
        <v>1511</v>
      </c>
      <c r="B520" s="368" t="s">
        <v>1513</v>
      </c>
      <c r="C520" s="376" t="s">
        <v>506</v>
      </c>
      <c r="D520" s="376" t="s">
        <v>133</v>
      </c>
      <c r="E520" s="376"/>
      <c r="F520" s="363"/>
      <c r="G520" s="365">
        <f>G521</f>
        <v>206.27</v>
      </c>
      <c r="H520" s="362"/>
    </row>
    <row r="521" spans="1:8" s="361" customFormat="1" ht="31.5" x14ac:dyDescent="0.25">
      <c r="A521" s="372" t="s">
        <v>287</v>
      </c>
      <c r="B521" s="368" t="s">
        <v>1513</v>
      </c>
      <c r="C521" s="376" t="s">
        <v>506</v>
      </c>
      <c r="D521" s="376" t="s">
        <v>133</v>
      </c>
      <c r="E521" s="376" t="s">
        <v>288</v>
      </c>
      <c r="F521" s="363"/>
      <c r="G521" s="365">
        <f>G522</f>
        <v>206.27</v>
      </c>
      <c r="H521" s="362"/>
    </row>
    <row r="522" spans="1:8" s="361" customFormat="1" ht="15.75" x14ac:dyDescent="0.25">
      <c r="A522" s="372" t="s">
        <v>289</v>
      </c>
      <c r="B522" s="368" t="s">
        <v>1513</v>
      </c>
      <c r="C522" s="376" t="s">
        <v>506</v>
      </c>
      <c r="D522" s="376" t="s">
        <v>133</v>
      </c>
      <c r="E522" s="376" t="s">
        <v>290</v>
      </c>
      <c r="F522" s="363"/>
      <c r="G522" s="365">
        <f>'Пр.4 ведом.20'!G839</f>
        <v>206.27</v>
      </c>
      <c r="H522" s="362"/>
    </row>
    <row r="523" spans="1:8" s="361" customFormat="1" ht="31.5" x14ac:dyDescent="0.25">
      <c r="A523" s="378" t="s">
        <v>495</v>
      </c>
      <c r="B523" s="368" t="s">
        <v>1513</v>
      </c>
      <c r="C523" s="376" t="s">
        <v>506</v>
      </c>
      <c r="D523" s="376" t="s">
        <v>133</v>
      </c>
      <c r="E523" s="376" t="s">
        <v>290</v>
      </c>
      <c r="F523" s="363">
        <v>907</v>
      </c>
      <c r="G523" s="365">
        <f>G520</f>
        <v>206.27</v>
      </c>
      <c r="H523" s="362"/>
    </row>
    <row r="524" spans="1:8" s="361" customFormat="1" ht="38.25" customHeight="1" x14ac:dyDescent="0.25">
      <c r="A524" s="372" t="s">
        <v>1509</v>
      </c>
      <c r="B524" s="368" t="s">
        <v>1514</v>
      </c>
      <c r="C524" s="376" t="s">
        <v>506</v>
      </c>
      <c r="D524" s="376" t="s">
        <v>133</v>
      </c>
      <c r="E524" s="376"/>
      <c r="F524" s="363"/>
      <c r="G524" s="365">
        <f>G525</f>
        <v>4824.8999999999996</v>
      </c>
      <c r="H524" s="362"/>
    </row>
    <row r="525" spans="1:8" s="361" customFormat="1" ht="31.5" x14ac:dyDescent="0.25">
      <c r="A525" s="372" t="s">
        <v>287</v>
      </c>
      <c r="B525" s="368" t="s">
        <v>1514</v>
      </c>
      <c r="C525" s="376" t="s">
        <v>506</v>
      </c>
      <c r="D525" s="376" t="s">
        <v>133</v>
      </c>
      <c r="E525" s="376" t="s">
        <v>288</v>
      </c>
      <c r="F525" s="363"/>
      <c r="G525" s="365">
        <f>G526</f>
        <v>4824.8999999999996</v>
      </c>
      <c r="H525" s="362"/>
    </row>
    <row r="526" spans="1:8" s="361" customFormat="1" ht="15.75" x14ac:dyDescent="0.25">
      <c r="A526" s="372" t="s">
        <v>289</v>
      </c>
      <c r="B526" s="368" t="s">
        <v>1514</v>
      </c>
      <c r="C526" s="376" t="s">
        <v>506</v>
      </c>
      <c r="D526" s="376" t="s">
        <v>133</v>
      </c>
      <c r="E526" s="376" t="s">
        <v>290</v>
      </c>
      <c r="F526" s="363"/>
      <c r="G526" s="365">
        <f>'Пр.4 ведом.20'!G842</f>
        <v>4824.8999999999996</v>
      </c>
      <c r="H526" s="362"/>
    </row>
    <row r="527" spans="1:8" s="361" customFormat="1" ht="31.5" x14ac:dyDescent="0.25">
      <c r="A527" s="378" t="s">
        <v>495</v>
      </c>
      <c r="B527" s="368" t="s">
        <v>1514</v>
      </c>
      <c r="C527" s="376" t="s">
        <v>506</v>
      </c>
      <c r="D527" s="376" t="s">
        <v>133</v>
      </c>
      <c r="E527" s="376" t="s">
        <v>290</v>
      </c>
      <c r="F527" s="363">
        <v>907</v>
      </c>
      <c r="G527" s="365">
        <f>G524</f>
        <v>4824.8999999999996</v>
      </c>
      <c r="H527" s="362"/>
    </row>
    <row r="528" spans="1:8" ht="47.25" x14ac:dyDescent="0.25">
      <c r="A528" s="58" t="s">
        <v>516</v>
      </c>
      <c r="B528" s="7" t="s">
        <v>517</v>
      </c>
      <c r="C528" s="40"/>
      <c r="D528" s="40"/>
      <c r="E528" s="7"/>
      <c r="F528" s="210"/>
      <c r="G528" s="4">
        <f>G529</f>
        <v>3000</v>
      </c>
    </row>
    <row r="529" spans="1:9" s="221" customFormat="1" ht="31.5" x14ac:dyDescent="0.25">
      <c r="A529" s="58" t="s">
        <v>1084</v>
      </c>
      <c r="B529" s="7" t="s">
        <v>1085</v>
      </c>
      <c r="C529" s="7"/>
      <c r="D529" s="7"/>
      <c r="E529" s="7"/>
      <c r="F529" s="210"/>
      <c r="G529" s="4">
        <f>G530</f>
        <v>3000</v>
      </c>
      <c r="H529" s="222"/>
    </row>
    <row r="530" spans="1:9" ht="15.75" x14ac:dyDescent="0.25">
      <c r="A530" s="29" t="s">
        <v>505</v>
      </c>
      <c r="B530" s="40" t="s">
        <v>1085</v>
      </c>
      <c r="C530" s="40" t="s">
        <v>506</v>
      </c>
      <c r="D530" s="40"/>
      <c r="E530" s="40"/>
      <c r="F530" s="5"/>
      <c r="G530" s="6">
        <f>G531</f>
        <v>3000</v>
      </c>
    </row>
    <row r="531" spans="1:9" ht="31.5" x14ac:dyDescent="0.25">
      <c r="A531" s="25" t="s">
        <v>515</v>
      </c>
      <c r="B531" s="40" t="s">
        <v>1085</v>
      </c>
      <c r="C531" s="40" t="s">
        <v>506</v>
      </c>
      <c r="D531" s="40" t="s">
        <v>249</v>
      </c>
      <c r="E531" s="40"/>
      <c r="F531" s="5"/>
      <c r="G531" s="6">
        <f>G532</f>
        <v>3000</v>
      </c>
    </row>
    <row r="532" spans="1:9" ht="15.75" x14ac:dyDescent="0.25">
      <c r="A532" s="29" t="s">
        <v>1086</v>
      </c>
      <c r="B532" s="40" t="s">
        <v>1236</v>
      </c>
      <c r="C532" s="40" t="s">
        <v>506</v>
      </c>
      <c r="D532" s="40" t="s">
        <v>249</v>
      </c>
      <c r="E532" s="40"/>
      <c r="F532" s="5"/>
      <c r="G532" s="6">
        <f>G533+G536</f>
        <v>3000</v>
      </c>
    </row>
    <row r="533" spans="1:9" ht="78.75" x14ac:dyDescent="0.25">
      <c r="A533" s="25" t="s">
        <v>142</v>
      </c>
      <c r="B533" s="40" t="s">
        <v>1236</v>
      </c>
      <c r="C533" s="40" t="s">
        <v>506</v>
      </c>
      <c r="D533" s="40" t="s">
        <v>249</v>
      </c>
      <c r="E533" s="40" t="s">
        <v>143</v>
      </c>
      <c r="F533" s="5"/>
      <c r="G533" s="6">
        <f t="shared" ref="G533" si="69">G534</f>
        <v>2500</v>
      </c>
    </row>
    <row r="534" spans="1:9" ht="24" customHeight="1" x14ac:dyDescent="0.25">
      <c r="A534" s="25" t="s">
        <v>357</v>
      </c>
      <c r="B534" s="40" t="s">
        <v>1236</v>
      </c>
      <c r="C534" s="40" t="s">
        <v>506</v>
      </c>
      <c r="D534" s="40" t="s">
        <v>249</v>
      </c>
      <c r="E534" s="40" t="s">
        <v>224</v>
      </c>
      <c r="F534" s="5"/>
      <c r="G534" s="6">
        <f>'Пр.4 ведом.20'!G874</f>
        <v>2500</v>
      </c>
    </row>
    <row r="535" spans="1:9" s="221" customFormat="1" ht="24" customHeight="1" x14ac:dyDescent="0.25">
      <c r="A535" s="70" t="s">
        <v>495</v>
      </c>
      <c r="B535" s="40" t="s">
        <v>1236</v>
      </c>
      <c r="C535" s="40" t="s">
        <v>506</v>
      </c>
      <c r="D535" s="40" t="s">
        <v>249</v>
      </c>
      <c r="E535" s="40" t="s">
        <v>224</v>
      </c>
      <c r="F535" s="5">
        <v>907</v>
      </c>
      <c r="G535" s="10">
        <f>G534</f>
        <v>2500</v>
      </c>
      <c r="H535" s="222"/>
    </row>
    <row r="536" spans="1:9" ht="31.5" x14ac:dyDescent="0.25">
      <c r="A536" s="29" t="s">
        <v>146</v>
      </c>
      <c r="B536" s="40" t="s">
        <v>1236</v>
      </c>
      <c r="C536" s="40" t="s">
        <v>506</v>
      </c>
      <c r="D536" s="40" t="s">
        <v>249</v>
      </c>
      <c r="E536" s="40" t="s">
        <v>147</v>
      </c>
      <c r="F536" s="5"/>
      <c r="G536" s="6">
        <f t="shared" ref="G536" si="70">G537</f>
        <v>500</v>
      </c>
    </row>
    <row r="537" spans="1:9" ht="31.5" x14ac:dyDescent="0.25">
      <c r="A537" s="29" t="s">
        <v>148</v>
      </c>
      <c r="B537" s="40" t="s">
        <v>1236</v>
      </c>
      <c r="C537" s="40" t="s">
        <v>506</v>
      </c>
      <c r="D537" s="40" t="s">
        <v>249</v>
      </c>
      <c r="E537" s="40" t="s">
        <v>149</v>
      </c>
      <c r="F537" s="5"/>
      <c r="G537" s="6">
        <f>'Пр.4 ведом.20'!G876</f>
        <v>500</v>
      </c>
    </row>
    <row r="538" spans="1:9" ht="31.5" x14ac:dyDescent="0.25">
      <c r="A538" s="70" t="s">
        <v>495</v>
      </c>
      <c r="B538" s="40" t="s">
        <v>1236</v>
      </c>
      <c r="C538" s="40" t="s">
        <v>506</v>
      </c>
      <c r="D538" s="40" t="s">
        <v>249</v>
      </c>
      <c r="E538" s="40" t="s">
        <v>149</v>
      </c>
      <c r="F538" s="5">
        <v>907</v>
      </c>
      <c r="G538" s="10">
        <f>G537</f>
        <v>500</v>
      </c>
    </row>
    <row r="539" spans="1:9" ht="31.5" x14ac:dyDescent="0.25">
      <c r="A539" s="41" t="s">
        <v>281</v>
      </c>
      <c r="B539" s="7" t="s">
        <v>282</v>
      </c>
      <c r="C539" s="72"/>
      <c r="D539" s="72"/>
      <c r="E539" s="72"/>
      <c r="F539" s="3"/>
      <c r="G539" s="59">
        <f>G540+G589+G643</f>
        <v>70492.823000000004</v>
      </c>
      <c r="H539" s="223">
        <v>64965.4</v>
      </c>
      <c r="I539" s="253">
        <f>H539-G539</f>
        <v>-5527.4230000000025</v>
      </c>
    </row>
    <row r="540" spans="1:9" ht="72.75" customHeight="1" x14ac:dyDescent="0.25">
      <c r="A540" s="41" t="s">
        <v>316</v>
      </c>
      <c r="B540" s="7" t="s">
        <v>317</v>
      </c>
      <c r="C540" s="7"/>
      <c r="D540" s="7"/>
      <c r="E540" s="72"/>
      <c r="F540" s="3"/>
      <c r="G540" s="59">
        <f>G541+G554+G564+G571+G582</f>
        <v>29748.222999999998</v>
      </c>
    </row>
    <row r="541" spans="1:9" s="221" customFormat="1" ht="50.25" customHeight="1" x14ac:dyDescent="0.25">
      <c r="A541" s="23" t="s">
        <v>954</v>
      </c>
      <c r="B541" s="24" t="s">
        <v>955</v>
      </c>
      <c r="C541" s="7"/>
      <c r="D541" s="7"/>
      <c r="E541" s="7"/>
      <c r="F541" s="3"/>
      <c r="G541" s="59">
        <f>G542</f>
        <v>25834</v>
      </c>
      <c r="H541" s="222"/>
    </row>
    <row r="542" spans="1:9" ht="15.75" x14ac:dyDescent="0.25">
      <c r="A542" s="73" t="s">
        <v>313</v>
      </c>
      <c r="B542" s="40" t="s">
        <v>955</v>
      </c>
      <c r="C542" s="40" t="s">
        <v>314</v>
      </c>
      <c r="D542" s="73"/>
      <c r="E542" s="73"/>
      <c r="F542" s="2"/>
      <c r="G542" s="10">
        <f>G543</f>
        <v>25834</v>
      </c>
    </row>
    <row r="543" spans="1:9" ht="15.75" x14ac:dyDescent="0.25">
      <c r="A543" s="73" t="s">
        <v>315</v>
      </c>
      <c r="B543" s="40" t="s">
        <v>955</v>
      </c>
      <c r="C543" s="40" t="s">
        <v>314</v>
      </c>
      <c r="D543" s="40" t="s">
        <v>133</v>
      </c>
      <c r="E543" s="73"/>
      <c r="F543" s="2"/>
      <c r="G543" s="10">
        <f>G544</f>
        <v>25834</v>
      </c>
    </row>
    <row r="544" spans="1:9" ht="15.75" x14ac:dyDescent="0.25">
      <c r="A544" s="25" t="s">
        <v>830</v>
      </c>
      <c r="B544" s="20" t="s">
        <v>953</v>
      </c>
      <c r="C544" s="40" t="s">
        <v>314</v>
      </c>
      <c r="D544" s="40" t="s">
        <v>133</v>
      </c>
      <c r="E544" s="40"/>
      <c r="F544" s="2"/>
      <c r="G544" s="10">
        <f>G545+G548+G551</f>
        <v>25834</v>
      </c>
    </row>
    <row r="545" spans="1:8" ht="78.75" x14ac:dyDescent="0.25">
      <c r="A545" s="25" t="s">
        <v>142</v>
      </c>
      <c r="B545" s="20" t="s">
        <v>953</v>
      </c>
      <c r="C545" s="40" t="s">
        <v>314</v>
      </c>
      <c r="D545" s="40" t="s">
        <v>133</v>
      </c>
      <c r="E545" s="40" t="s">
        <v>143</v>
      </c>
      <c r="F545" s="2"/>
      <c r="G545" s="10">
        <f>G546</f>
        <v>20047.5</v>
      </c>
    </row>
    <row r="546" spans="1:8" ht="15.75" x14ac:dyDescent="0.25">
      <c r="A546" s="25" t="s">
        <v>223</v>
      </c>
      <c r="B546" s="20" t="s">
        <v>953</v>
      </c>
      <c r="C546" s="40" t="s">
        <v>314</v>
      </c>
      <c r="D546" s="40" t="s">
        <v>133</v>
      </c>
      <c r="E546" s="40" t="s">
        <v>224</v>
      </c>
      <c r="F546" s="2"/>
      <c r="G546" s="10">
        <f>'Пр.4 ведом.20'!G344</f>
        <v>20047.5</v>
      </c>
    </row>
    <row r="547" spans="1:8" s="221" customFormat="1" ht="47.25" x14ac:dyDescent="0.25">
      <c r="A547" s="25" t="s">
        <v>1269</v>
      </c>
      <c r="B547" s="20" t="s">
        <v>953</v>
      </c>
      <c r="C547" s="40" t="s">
        <v>314</v>
      </c>
      <c r="D547" s="40" t="s">
        <v>133</v>
      </c>
      <c r="E547" s="40" t="s">
        <v>224</v>
      </c>
      <c r="F547" s="2">
        <v>903</v>
      </c>
      <c r="G547" s="10">
        <f>G546</f>
        <v>20047.5</v>
      </c>
      <c r="H547" s="222"/>
    </row>
    <row r="548" spans="1:8" ht="31.5" x14ac:dyDescent="0.25">
      <c r="A548" s="25" t="s">
        <v>146</v>
      </c>
      <c r="B548" s="20" t="s">
        <v>953</v>
      </c>
      <c r="C548" s="40" t="s">
        <v>314</v>
      </c>
      <c r="D548" s="40" t="s">
        <v>133</v>
      </c>
      <c r="E548" s="40" t="s">
        <v>147</v>
      </c>
      <c r="F548" s="2"/>
      <c r="G548" s="10">
        <f>G549</f>
        <v>5666.5</v>
      </c>
    </row>
    <row r="549" spans="1:8" ht="31.5" x14ac:dyDescent="0.25">
      <c r="A549" s="25" t="s">
        <v>148</v>
      </c>
      <c r="B549" s="20" t="s">
        <v>953</v>
      </c>
      <c r="C549" s="40" t="s">
        <v>314</v>
      </c>
      <c r="D549" s="40" t="s">
        <v>133</v>
      </c>
      <c r="E549" s="40" t="s">
        <v>149</v>
      </c>
      <c r="F549" s="2"/>
      <c r="G549" s="10">
        <f>'Пр.4 ведом.20'!G346</f>
        <v>5666.5</v>
      </c>
    </row>
    <row r="550" spans="1:8" s="221" customFormat="1" ht="47.25" x14ac:dyDescent="0.25">
      <c r="A550" s="25" t="s">
        <v>1269</v>
      </c>
      <c r="B550" s="20" t="s">
        <v>953</v>
      </c>
      <c r="C550" s="40" t="s">
        <v>314</v>
      </c>
      <c r="D550" s="40" t="s">
        <v>133</v>
      </c>
      <c r="E550" s="40" t="s">
        <v>149</v>
      </c>
      <c r="F550" s="2">
        <v>903</v>
      </c>
      <c r="G550" s="10">
        <f>G549</f>
        <v>5666.5</v>
      </c>
      <c r="H550" s="222"/>
    </row>
    <row r="551" spans="1:8" ht="15.75" customHeight="1" x14ac:dyDescent="0.25">
      <c r="A551" s="25" t="s">
        <v>150</v>
      </c>
      <c r="B551" s="20" t="s">
        <v>953</v>
      </c>
      <c r="C551" s="40" t="s">
        <v>314</v>
      </c>
      <c r="D551" s="40" t="s">
        <v>133</v>
      </c>
      <c r="E551" s="40" t="s">
        <v>160</v>
      </c>
      <c r="F551" s="2"/>
      <c r="G551" s="10">
        <f>G552</f>
        <v>120</v>
      </c>
    </row>
    <row r="552" spans="1:8" ht="15.75" customHeight="1" x14ac:dyDescent="0.25">
      <c r="A552" s="25" t="s">
        <v>152</v>
      </c>
      <c r="B552" s="20" t="s">
        <v>953</v>
      </c>
      <c r="C552" s="40" t="s">
        <v>314</v>
      </c>
      <c r="D552" s="40" t="s">
        <v>133</v>
      </c>
      <c r="E552" s="40" t="s">
        <v>153</v>
      </c>
      <c r="F552" s="2"/>
      <c r="G552" s="10">
        <f>'Пр.4 ведом.20'!G348</f>
        <v>120</v>
      </c>
    </row>
    <row r="553" spans="1:8" s="221" customFormat="1" ht="50.25" customHeight="1" x14ac:dyDescent="0.25">
      <c r="A553" s="25" t="s">
        <v>1269</v>
      </c>
      <c r="B553" s="20" t="s">
        <v>953</v>
      </c>
      <c r="C553" s="40" t="s">
        <v>314</v>
      </c>
      <c r="D553" s="40" t="s">
        <v>133</v>
      </c>
      <c r="E553" s="40" t="s">
        <v>153</v>
      </c>
      <c r="F553" s="2">
        <v>903</v>
      </c>
      <c r="G553" s="10">
        <f>G552</f>
        <v>120</v>
      </c>
      <c r="H553" s="222"/>
    </row>
    <row r="554" spans="1:8" s="221" customFormat="1" ht="31.7" customHeight="1" x14ac:dyDescent="0.25">
      <c r="A554" s="244" t="s">
        <v>968</v>
      </c>
      <c r="B554" s="24" t="s">
        <v>956</v>
      </c>
      <c r="C554" s="7"/>
      <c r="D554" s="7"/>
      <c r="E554" s="7"/>
      <c r="F554" s="3"/>
      <c r="G554" s="59">
        <f>G557+G561</f>
        <v>1171</v>
      </c>
      <c r="H554" s="222"/>
    </row>
    <row r="555" spans="1:8" s="221" customFormat="1" ht="16.5" customHeight="1" x14ac:dyDescent="0.25">
      <c r="A555" s="73" t="s">
        <v>313</v>
      </c>
      <c r="B555" s="40" t="s">
        <v>956</v>
      </c>
      <c r="C555" s="40" t="s">
        <v>314</v>
      </c>
      <c r="D555" s="73"/>
      <c r="E555" s="73"/>
      <c r="F555" s="2"/>
      <c r="G555" s="10">
        <f>G556</f>
        <v>1171</v>
      </c>
      <c r="H555" s="222"/>
    </row>
    <row r="556" spans="1:8" s="221" customFormat="1" ht="16.5" customHeight="1" x14ac:dyDescent="0.25">
      <c r="A556" s="73" t="s">
        <v>315</v>
      </c>
      <c r="B556" s="40" t="s">
        <v>956</v>
      </c>
      <c r="C556" s="40" t="s">
        <v>314</v>
      </c>
      <c r="D556" s="40" t="s">
        <v>133</v>
      </c>
      <c r="E556" s="73"/>
      <c r="F556" s="2"/>
      <c r="G556" s="10">
        <f>G557+G561</f>
        <v>1171</v>
      </c>
      <c r="H556" s="222"/>
    </row>
    <row r="557" spans="1:8" s="221" customFormat="1" ht="41.25" customHeight="1" x14ac:dyDescent="0.25">
      <c r="A557" s="31" t="s">
        <v>858</v>
      </c>
      <c r="B557" s="20" t="s">
        <v>957</v>
      </c>
      <c r="C557" s="40" t="s">
        <v>314</v>
      </c>
      <c r="D557" s="40" t="s">
        <v>133</v>
      </c>
      <c r="E557" s="40"/>
      <c r="F557" s="2"/>
      <c r="G557" s="10">
        <f>G558</f>
        <v>455.4</v>
      </c>
      <c r="H557" s="222"/>
    </row>
    <row r="558" spans="1:8" s="221" customFormat="1" ht="83.25" customHeight="1" x14ac:dyDescent="0.25">
      <c r="A558" s="25" t="s">
        <v>142</v>
      </c>
      <c r="B558" s="20" t="s">
        <v>957</v>
      </c>
      <c r="C558" s="40" t="s">
        <v>314</v>
      </c>
      <c r="D558" s="40" t="s">
        <v>133</v>
      </c>
      <c r="E558" s="40" t="s">
        <v>143</v>
      </c>
      <c r="F558" s="2"/>
      <c r="G558" s="10">
        <f>G559</f>
        <v>455.4</v>
      </c>
      <c r="H558" s="222"/>
    </row>
    <row r="559" spans="1:8" s="221" customFormat="1" ht="15.75" customHeight="1" x14ac:dyDescent="0.25">
      <c r="A559" s="25" t="s">
        <v>223</v>
      </c>
      <c r="B559" s="20" t="s">
        <v>957</v>
      </c>
      <c r="C559" s="40" t="s">
        <v>314</v>
      </c>
      <c r="D559" s="40" t="s">
        <v>133</v>
      </c>
      <c r="E559" s="40" t="s">
        <v>224</v>
      </c>
      <c r="F559" s="2"/>
      <c r="G559" s="10">
        <f>'Пр.3 Рд,пр, ЦС,ВР 20'!F798</f>
        <v>455.4</v>
      </c>
      <c r="H559" s="222"/>
    </row>
    <row r="560" spans="1:8" s="221" customFormat="1" ht="15.75" customHeight="1" x14ac:dyDescent="0.25">
      <c r="A560" s="25" t="s">
        <v>1269</v>
      </c>
      <c r="B560" s="20" t="s">
        <v>957</v>
      </c>
      <c r="C560" s="40" t="s">
        <v>314</v>
      </c>
      <c r="D560" s="40" t="s">
        <v>133</v>
      </c>
      <c r="E560" s="40" t="s">
        <v>224</v>
      </c>
      <c r="F560" s="2">
        <v>903</v>
      </c>
      <c r="G560" s="10">
        <f>G559</f>
        <v>455.4</v>
      </c>
      <c r="H560" s="222"/>
    </row>
    <row r="561" spans="1:8" s="221" customFormat="1" ht="40.700000000000003" customHeight="1" x14ac:dyDescent="0.25">
      <c r="A561" s="25" t="s">
        <v>146</v>
      </c>
      <c r="B561" s="20" t="s">
        <v>957</v>
      </c>
      <c r="C561" s="40" t="s">
        <v>314</v>
      </c>
      <c r="D561" s="40" t="s">
        <v>133</v>
      </c>
      <c r="E561" s="40" t="s">
        <v>147</v>
      </c>
      <c r="F561" s="2"/>
      <c r="G561" s="10">
        <f>G562</f>
        <v>715.6</v>
      </c>
      <c r="H561" s="222"/>
    </row>
    <row r="562" spans="1:8" s="221" customFormat="1" ht="40.700000000000003" customHeight="1" x14ac:dyDescent="0.25">
      <c r="A562" s="25" t="s">
        <v>148</v>
      </c>
      <c r="B562" s="20" t="s">
        <v>957</v>
      </c>
      <c r="C562" s="40" t="s">
        <v>314</v>
      </c>
      <c r="D562" s="40" t="s">
        <v>133</v>
      </c>
      <c r="E562" s="40" t="s">
        <v>149</v>
      </c>
      <c r="F562" s="2"/>
      <c r="G562" s="10">
        <f>'Пр.3 Рд,пр, ЦС,ВР 20'!F800</f>
        <v>715.6</v>
      </c>
      <c r="H562" s="222"/>
    </row>
    <row r="563" spans="1:8" s="221" customFormat="1" ht="46.5" customHeight="1" x14ac:dyDescent="0.25">
      <c r="A563" s="25" t="s">
        <v>1269</v>
      </c>
      <c r="B563" s="20" t="s">
        <v>957</v>
      </c>
      <c r="C563" s="40" t="s">
        <v>314</v>
      </c>
      <c r="D563" s="40" t="s">
        <v>133</v>
      </c>
      <c r="E563" s="40" t="s">
        <v>149</v>
      </c>
      <c r="F563" s="2">
        <v>903</v>
      </c>
      <c r="G563" s="10">
        <f>G562</f>
        <v>715.6</v>
      </c>
      <c r="H563" s="222"/>
    </row>
    <row r="564" spans="1:8" s="221" customFormat="1" ht="35.450000000000003" customHeight="1" x14ac:dyDescent="0.25">
      <c r="A564" s="23" t="s">
        <v>1074</v>
      </c>
      <c r="B564" s="24" t="s">
        <v>1162</v>
      </c>
      <c r="C564" s="7"/>
      <c r="D564" s="7"/>
      <c r="E564" s="7"/>
      <c r="F564" s="3"/>
      <c r="G564" s="59">
        <f>G567</f>
        <v>588</v>
      </c>
      <c r="H564" s="222"/>
    </row>
    <row r="565" spans="1:8" s="221" customFormat="1" ht="16.5" customHeight="1" x14ac:dyDescent="0.25">
      <c r="A565" s="73" t="s">
        <v>313</v>
      </c>
      <c r="B565" s="40" t="s">
        <v>1162</v>
      </c>
      <c r="C565" s="40" t="s">
        <v>314</v>
      </c>
      <c r="D565" s="73"/>
      <c r="E565" s="73"/>
      <c r="F565" s="2"/>
      <c r="G565" s="10">
        <f>G566</f>
        <v>1412.3</v>
      </c>
      <c r="H565" s="222"/>
    </row>
    <row r="566" spans="1:8" s="221" customFormat="1" ht="18.75" customHeight="1" x14ac:dyDescent="0.25">
      <c r="A566" s="73" t="s">
        <v>315</v>
      </c>
      <c r="B566" s="40" t="s">
        <v>1162</v>
      </c>
      <c r="C566" s="40" t="s">
        <v>314</v>
      </c>
      <c r="D566" s="40" t="s">
        <v>133</v>
      </c>
      <c r="E566" s="73"/>
      <c r="F566" s="2"/>
      <c r="G566" s="10">
        <f>G567+G571</f>
        <v>1412.3</v>
      </c>
      <c r="H566" s="222"/>
    </row>
    <row r="567" spans="1:8" s="221" customFormat="1" ht="43.5" customHeight="1" x14ac:dyDescent="0.25">
      <c r="A567" s="25" t="s">
        <v>883</v>
      </c>
      <c r="B567" s="20" t="s">
        <v>1163</v>
      </c>
      <c r="C567" s="40" t="s">
        <v>314</v>
      </c>
      <c r="D567" s="40" t="s">
        <v>133</v>
      </c>
      <c r="E567" s="40"/>
      <c r="F567" s="2"/>
      <c r="G567" s="10">
        <f>G568</f>
        <v>588</v>
      </c>
      <c r="H567" s="222"/>
    </row>
    <row r="568" spans="1:8" s="221" customFormat="1" ht="81" customHeight="1" x14ac:dyDescent="0.25">
      <c r="A568" s="25" t="s">
        <v>142</v>
      </c>
      <c r="B568" s="20" t="s">
        <v>1163</v>
      </c>
      <c r="C568" s="40" t="s">
        <v>314</v>
      </c>
      <c r="D568" s="40" t="s">
        <v>133</v>
      </c>
      <c r="E568" s="40" t="s">
        <v>143</v>
      </c>
      <c r="F568" s="2"/>
      <c r="G568" s="10">
        <f>G569</f>
        <v>588</v>
      </c>
      <c r="H568" s="222"/>
    </row>
    <row r="569" spans="1:8" s="221" customFormat="1" ht="38.25" customHeight="1" x14ac:dyDescent="0.25">
      <c r="A569" s="25" t="s">
        <v>144</v>
      </c>
      <c r="B569" s="20" t="s">
        <v>1163</v>
      </c>
      <c r="C569" s="40" t="s">
        <v>314</v>
      </c>
      <c r="D569" s="40" t="s">
        <v>133</v>
      </c>
      <c r="E569" s="40" t="s">
        <v>224</v>
      </c>
      <c r="F569" s="2"/>
      <c r="G569" s="10">
        <f>'Пр.3 Рд,пр, ЦС,ВР 20'!F804</f>
        <v>588</v>
      </c>
      <c r="H569" s="222"/>
    </row>
    <row r="570" spans="1:8" s="221" customFormat="1" ht="47.25" customHeight="1" x14ac:dyDescent="0.25">
      <c r="A570" s="25" t="s">
        <v>1269</v>
      </c>
      <c r="B570" s="20" t="s">
        <v>1163</v>
      </c>
      <c r="C570" s="40" t="s">
        <v>314</v>
      </c>
      <c r="D570" s="40" t="s">
        <v>133</v>
      </c>
      <c r="E570" s="40" t="s">
        <v>224</v>
      </c>
      <c r="F570" s="2">
        <v>903</v>
      </c>
      <c r="G570" s="10">
        <f>G569</f>
        <v>588</v>
      </c>
      <c r="H570" s="222"/>
    </row>
    <row r="571" spans="1:8" s="221" customFormat="1" ht="48.2" customHeight="1" x14ac:dyDescent="0.25">
      <c r="A571" s="245" t="s">
        <v>969</v>
      </c>
      <c r="B571" s="24" t="s">
        <v>1164</v>
      </c>
      <c r="C571" s="7"/>
      <c r="D571" s="7"/>
      <c r="E571" s="7"/>
      <c r="F571" s="3"/>
      <c r="G571" s="59">
        <f>G578+G574</f>
        <v>824.3</v>
      </c>
      <c r="H571" s="222"/>
    </row>
    <row r="572" spans="1:8" s="221" customFormat="1" ht="17.45" customHeight="1" x14ac:dyDescent="0.25">
      <c r="A572" s="73" t="s">
        <v>313</v>
      </c>
      <c r="B572" s="40" t="s">
        <v>1164</v>
      </c>
      <c r="C572" s="40" t="s">
        <v>314</v>
      </c>
      <c r="D572" s="73"/>
      <c r="E572" s="73"/>
      <c r="F572" s="2"/>
      <c r="G572" s="10">
        <f>G573</f>
        <v>824.3</v>
      </c>
      <c r="H572" s="222"/>
    </row>
    <row r="573" spans="1:8" s="221" customFormat="1" ht="18" customHeight="1" x14ac:dyDescent="0.25">
      <c r="A573" s="73" t="s">
        <v>315</v>
      </c>
      <c r="B573" s="40" t="s">
        <v>1164</v>
      </c>
      <c r="C573" s="40" t="s">
        <v>314</v>
      </c>
      <c r="D573" s="40" t="s">
        <v>133</v>
      </c>
      <c r="E573" s="73"/>
      <c r="F573" s="2"/>
      <c r="G573" s="10">
        <f>G578+G574</f>
        <v>824.3</v>
      </c>
      <c r="H573" s="222"/>
    </row>
    <row r="574" spans="1:8" s="361" customFormat="1" ht="94.5" x14ac:dyDescent="0.25">
      <c r="A574" s="31" t="s">
        <v>308</v>
      </c>
      <c r="B574" s="368" t="s">
        <v>1527</v>
      </c>
      <c r="C574" s="376" t="s">
        <v>314</v>
      </c>
      <c r="D574" s="376" t="s">
        <v>133</v>
      </c>
      <c r="E574" s="379"/>
      <c r="F574" s="2"/>
      <c r="G574" s="365">
        <f>G575</f>
        <v>749.3</v>
      </c>
      <c r="H574" s="362"/>
    </row>
    <row r="575" spans="1:8" s="361" customFormat="1" ht="78.75" x14ac:dyDescent="0.25">
      <c r="A575" s="372" t="s">
        <v>142</v>
      </c>
      <c r="B575" s="368" t="s">
        <v>1527</v>
      </c>
      <c r="C575" s="376" t="s">
        <v>314</v>
      </c>
      <c r="D575" s="376" t="s">
        <v>133</v>
      </c>
      <c r="E575" s="376">
        <v>100</v>
      </c>
      <c r="F575" s="376"/>
      <c r="G575" s="365">
        <f>G576</f>
        <v>749.3</v>
      </c>
      <c r="H575" s="362"/>
    </row>
    <row r="576" spans="1:8" s="361" customFormat="1" ht="18" customHeight="1" x14ac:dyDescent="0.25">
      <c r="A576" s="372" t="s">
        <v>223</v>
      </c>
      <c r="B576" s="368" t="s">
        <v>1527</v>
      </c>
      <c r="C576" s="376" t="s">
        <v>314</v>
      </c>
      <c r="D576" s="376" t="s">
        <v>133</v>
      </c>
      <c r="E576" s="376">
        <v>110</v>
      </c>
      <c r="F576" s="376"/>
      <c r="G576" s="365">
        <f>'Пр.3 Рд,пр, ЦС,ВР 20'!F808</f>
        <v>749.3</v>
      </c>
      <c r="H576" s="362"/>
    </row>
    <row r="577" spans="1:9" s="361" customFormat="1" ht="47.25" x14ac:dyDescent="0.25">
      <c r="A577" s="372" t="s">
        <v>1269</v>
      </c>
      <c r="B577" s="368" t="s">
        <v>1527</v>
      </c>
      <c r="C577" s="376" t="s">
        <v>314</v>
      </c>
      <c r="D577" s="376" t="s">
        <v>133</v>
      </c>
      <c r="E577" s="376">
        <v>110</v>
      </c>
      <c r="F577" s="376" t="s">
        <v>642</v>
      </c>
      <c r="G577" s="365">
        <f>G574</f>
        <v>749.3</v>
      </c>
      <c r="H577" s="362"/>
    </row>
    <row r="578" spans="1:9" s="221" customFormat="1" ht="100.5" customHeight="1" x14ac:dyDescent="0.25">
      <c r="A578" s="31" t="s">
        <v>308</v>
      </c>
      <c r="B578" s="20" t="s">
        <v>1165</v>
      </c>
      <c r="C578" s="40" t="s">
        <v>314</v>
      </c>
      <c r="D578" s="40" t="s">
        <v>133</v>
      </c>
      <c r="E578" s="40"/>
      <c r="F578" s="2"/>
      <c r="G578" s="10">
        <f>G579</f>
        <v>75</v>
      </c>
      <c r="H578" s="222"/>
    </row>
    <row r="579" spans="1:9" s="221" customFormat="1" ht="82.5" customHeight="1" x14ac:dyDescent="0.25">
      <c r="A579" s="25" t="s">
        <v>142</v>
      </c>
      <c r="B579" s="20" t="s">
        <v>1165</v>
      </c>
      <c r="C579" s="40" t="s">
        <v>314</v>
      </c>
      <c r="D579" s="40" t="s">
        <v>133</v>
      </c>
      <c r="E579" s="40" t="s">
        <v>143</v>
      </c>
      <c r="F579" s="2"/>
      <c r="G579" s="10">
        <f>G580</f>
        <v>75</v>
      </c>
      <c r="H579" s="222"/>
    </row>
    <row r="580" spans="1:9" s="221" customFormat="1" ht="15.75" customHeight="1" x14ac:dyDescent="0.25">
      <c r="A580" s="25" t="s">
        <v>223</v>
      </c>
      <c r="B580" s="20" t="s">
        <v>1165</v>
      </c>
      <c r="C580" s="40" t="s">
        <v>314</v>
      </c>
      <c r="D580" s="40" t="s">
        <v>133</v>
      </c>
      <c r="E580" s="40" t="s">
        <v>224</v>
      </c>
      <c r="F580" s="2"/>
      <c r="G580" s="10">
        <f>'Пр.3 Рд,пр, ЦС,ВР 20'!F811</f>
        <v>75</v>
      </c>
      <c r="H580" s="222"/>
    </row>
    <row r="581" spans="1:9" s="221" customFormat="1" ht="53.45" customHeight="1" x14ac:dyDescent="0.25">
      <c r="A581" s="25" t="s">
        <v>1269</v>
      </c>
      <c r="B581" s="20" t="s">
        <v>1165</v>
      </c>
      <c r="C581" s="40" t="s">
        <v>314</v>
      </c>
      <c r="D581" s="40" t="s">
        <v>133</v>
      </c>
      <c r="E581" s="40" t="s">
        <v>224</v>
      </c>
      <c r="F581" s="2">
        <v>903</v>
      </c>
      <c r="G581" s="10">
        <f>G580</f>
        <v>75</v>
      </c>
      <c r="H581" s="222"/>
    </row>
    <row r="582" spans="1:9" s="221" customFormat="1" ht="41.25" customHeight="1" x14ac:dyDescent="0.25">
      <c r="A582" s="299" t="s">
        <v>1408</v>
      </c>
      <c r="B582" s="24" t="s">
        <v>1409</v>
      </c>
      <c r="C582" s="24"/>
      <c r="D582" s="24"/>
      <c r="E582" s="40"/>
      <c r="F582" s="2"/>
      <c r="G582" s="59">
        <f>G585</f>
        <v>1330.923</v>
      </c>
      <c r="H582" s="222"/>
    </row>
    <row r="583" spans="1:9" s="221" customFormat="1" ht="19.5" customHeight="1" x14ac:dyDescent="0.25">
      <c r="A583" s="68" t="s">
        <v>313</v>
      </c>
      <c r="B583" s="20" t="s">
        <v>1409</v>
      </c>
      <c r="C583" s="20" t="s">
        <v>314</v>
      </c>
      <c r="D583" s="20"/>
      <c r="E583" s="40"/>
      <c r="F583" s="2"/>
      <c r="G583" s="10">
        <f>G584</f>
        <v>1330.923</v>
      </c>
      <c r="H583" s="222"/>
    </row>
    <row r="584" spans="1:9" s="221" customFormat="1" ht="18" customHeight="1" x14ac:dyDescent="0.25">
      <c r="A584" s="68" t="s">
        <v>315</v>
      </c>
      <c r="B584" s="20" t="s">
        <v>1409</v>
      </c>
      <c r="C584" s="20" t="s">
        <v>314</v>
      </c>
      <c r="D584" s="20" t="s">
        <v>133</v>
      </c>
      <c r="E584" s="40"/>
      <c r="F584" s="2"/>
      <c r="G584" s="10">
        <f>G585</f>
        <v>1330.923</v>
      </c>
      <c r="H584" s="222"/>
    </row>
    <row r="585" spans="1:9" s="221" customFormat="1" ht="49.7" customHeight="1" x14ac:dyDescent="0.25">
      <c r="A585" s="300" t="s">
        <v>1410</v>
      </c>
      <c r="B585" s="20" t="s">
        <v>1411</v>
      </c>
      <c r="C585" s="20" t="s">
        <v>314</v>
      </c>
      <c r="D585" s="20" t="s">
        <v>133</v>
      </c>
      <c r="E585" s="40"/>
      <c r="F585" s="2"/>
      <c r="G585" s="10">
        <f>G586</f>
        <v>1330.923</v>
      </c>
      <c r="H585" s="222"/>
    </row>
    <row r="586" spans="1:9" s="221" customFormat="1" ht="35.450000000000003" customHeight="1" x14ac:dyDescent="0.25">
      <c r="A586" s="25" t="s">
        <v>146</v>
      </c>
      <c r="B586" s="20" t="s">
        <v>1411</v>
      </c>
      <c r="C586" s="20" t="s">
        <v>314</v>
      </c>
      <c r="D586" s="20" t="s">
        <v>133</v>
      </c>
      <c r="E586" s="40" t="s">
        <v>147</v>
      </c>
      <c r="F586" s="2"/>
      <c r="G586" s="10">
        <f>G587</f>
        <v>1330.923</v>
      </c>
      <c r="H586" s="222"/>
    </row>
    <row r="587" spans="1:9" s="221" customFormat="1" ht="36" customHeight="1" x14ac:dyDescent="0.25">
      <c r="A587" s="25" t="s">
        <v>148</v>
      </c>
      <c r="B587" s="20" t="s">
        <v>1411</v>
      </c>
      <c r="C587" s="20" t="s">
        <v>314</v>
      </c>
      <c r="D587" s="20" t="s">
        <v>133</v>
      </c>
      <c r="E587" s="40" t="s">
        <v>149</v>
      </c>
      <c r="F587" s="2"/>
      <c r="G587" s="10">
        <f>'Пр.4 ведом.20'!G369</f>
        <v>1330.923</v>
      </c>
      <c r="H587" s="222"/>
    </row>
    <row r="588" spans="1:9" s="221" customFormat="1" ht="50.25" customHeight="1" x14ac:dyDescent="0.25">
      <c r="A588" s="25" t="s">
        <v>1269</v>
      </c>
      <c r="B588" s="20" t="s">
        <v>1411</v>
      </c>
      <c r="C588" s="20" t="s">
        <v>314</v>
      </c>
      <c r="D588" s="20" t="s">
        <v>133</v>
      </c>
      <c r="E588" s="40" t="s">
        <v>149</v>
      </c>
      <c r="F588" s="2">
        <v>903</v>
      </c>
      <c r="G588" s="10">
        <f>G582</f>
        <v>1330.923</v>
      </c>
      <c r="H588" s="222"/>
    </row>
    <row r="589" spans="1:9" ht="31.5" x14ac:dyDescent="0.25">
      <c r="A589" s="41" t="s">
        <v>327</v>
      </c>
      <c r="B589" s="7" t="s">
        <v>328</v>
      </c>
      <c r="C589" s="7"/>
      <c r="D589" s="7"/>
      <c r="E589" s="7"/>
      <c r="F589" s="75"/>
      <c r="G589" s="59">
        <f>G590+G603+G610+G617+G628</f>
        <v>23670.9</v>
      </c>
      <c r="H589" s="222">
        <v>22439.4</v>
      </c>
      <c r="I589" s="22">
        <f>H589-G589</f>
        <v>-1231.5</v>
      </c>
    </row>
    <row r="590" spans="1:9" s="221" customFormat="1" ht="41.25" customHeight="1" x14ac:dyDescent="0.25">
      <c r="A590" s="23" t="s">
        <v>954</v>
      </c>
      <c r="B590" s="24" t="s">
        <v>958</v>
      </c>
      <c r="C590" s="7"/>
      <c r="D590" s="7"/>
      <c r="E590" s="7"/>
      <c r="F590" s="3"/>
      <c r="G590" s="59">
        <f>G591</f>
        <v>21449.200000000001</v>
      </c>
      <c r="H590" s="222"/>
    </row>
    <row r="591" spans="1:9" ht="15.75" x14ac:dyDescent="0.25">
      <c r="A591" s="73" t="s">
        <v>313</v>
      </c>
      <c r="B591" s="40" t="s">
        <v>958</v>
      </c>
      <c r="C591" s="40" t="s">
        <v>314</v>
      </c>
      <c r="D591" s="40"/>
      <c r="E591" s="40"/>
      <c r="F591" s="74"/>
      <c r="G591" s="10">
        <f t="shared" ref="G591" si="71">G592</f>
        <v>21449.200000000001</v>
      </c>
    </row>
    <row r="592" spans="1:9" ht="15.75" x14ac:dyDescent="0.25">
      <c r="A592" s="73" t="s">
        <v>315</v>
      </c>
      <c r="B592" s="40" t="s">
        <v>958</v>
      </c>
      <c r="C592" s="40" t="s">
        <v>314</v>
      </c>
      <c r="D592" s="40" t="s">
        <v>133</v>
      </c>
      <c r="E592" s="40"/>
      <c r="F592" s="74"/>
      <c r="G592" s="10">
        <f>G593</f>
        <v>21449.200000000001</v>
      </c>
    </row>
    <row r="593" spans="1:8" ht="15.75" x14ac:dyDescent="0.25">
      <c r="A593" s="25" t="s">
        <v>830</v>
      </c>
      <c r="B593" s="20" t="s">
        <v>959</v>
      </c>
      <c r="C593" s="40" t="s">
        <v>314</v>
      </c>
      <c r="D593" s="40" t="s">
        <v>133</v>
      </c>
      <c r="E593" s="40"/>
      <c r="F593" s="2"/>
      <c r="G593" s="10">
        <f>G594+G597+G600</f>
        <v>21449.200000000001</v>
      </c>
    </row>
    <row r="594" spans="1:8" ht="78.75" x14ac:dyDescent="0.25">
      <c r="A594" s="25" t="s">
        <v>142</v>
      </c>
      <c r="B594" s="20" t="s">
        <v>959</v>
      </c>
      <c r="C594" s="40" t="s">
        <v>314</v>
      </c>
      <c r="D594" s="40" t="s">
        <v>133</v>
      </c>
      <c r="E594" s="40" t="s">
        <v>143</v>
      </c>
      <c r="F594" s="2"/>
      <c r="G594" s="10">
        <f>G595</f>
        <v>17673.2</v>
      </c>
    </row>
    <row r="595" spans="1:8" ht="15.75" x14ac:dyDescent="0.25">
      <c r="A595" s="25" t="s">
        <v>223</v>
      </c>
      <c r="B595" s="20" t="s">
        <v>959</v>
      </c>
      <c r="C595" s="40" t="s">
        <v>314</v>
      </c>
      <c r="D595" s="40" t="s">
        <v>133</v>
      </c>
      <c r="E595" s="40" t="s">
        <v>224</v>
      </c>
      <c r="F595" s="2"/>
      <c r="G595" s="10">
        <f>'Пр.4 ведом.20'!G374</f>
        <v>17673.2</v>
      </c>
    </row>
    <row r="596" spans="1:8" s="221" customFormat="1" ht="47.25" x14ac:dyDescent="0.25">
      <c r="A596" s="25" t="s">
        <v>1269</v>
      </c>
      <c r="B596" s="20" t="s">
        <v>959</v>
      </c>
      <c r="C596" s="40" t="s">
        <v>314</v>
      </c>
      <c r="D596" s="40" t="s">
        <v>133</v>
      </c>
      <c r="E596" s="40" t="s">
        <v>224</v>
      </c>
      <c r="F596" s="2">
        <v>903</v>
      </c>
      <c r="G596" s="10">
        <f>G595</f>
        <v>17673.2</v>
      </c>
      <c r="H596" s="222"/>
    </row>
    <row r="597" spans="1:8" ht="31.5" x14ac:dyDescent="0.25">
      <c r="A597" s="25" t="s">
        <v>146</v>
      </c>
      <c r="B597" s="20" t="s">
        <v>959</v>
      </c>
      <c r="C597" s="40" t="s">
        <v>314</v>
      </c>
      <c r="D597" s="40" t="s">
        <v>133</v>
      </c>
      <c r="E597" s="40" t="s">
        <v>147</v>
      </c>
      <c r="F597" s="2"/>
      <c r="G597" s="10">
        <f>G598</f>
        <v>3750</v>
      </c>
    </row>
    <row r="598" spans="1:8" ht="31.5" x14ac:dyDescent="0.25">
      <c r="A598" s="25" t="s">
        <v>148</v>
      </c>
      <c r="B598" s="20" t="s">
        <v>959</v>
      </c>
      <c r="C598" s="40" t="s">
        <v>314</v>
      </c>
      <c r="D598" s="40" t="s">
        <v>133</v>
      </c>
      <c r="E598" s="40" t="s">
        <v>149</v>
      </c>
      <c r="F598" s="2"/>
      <c r="G598" s="10">
        <f>'Пр.4 ведом.20'!G376</f>
        <v>3750</v>
      </c>
    </row>
    <row r="599" spans="1:8" s="221" customFormat="1" ht="47.25" x14ac:dyDescent="0.25">
      <c r="A599" s="25" t="s">
        <v>1269</v>
      </c>
      <c r="B599" s="20" t="s">
        <v>959</v>
      </c>
      <c r="C599" s="40" t="s">
        <v>314</v>
      </c>
      <c r="D599" s="40" t="s">
        <v>133</v>
      </c>
      <c r="E599" s="40" t="s">
        <v>149</v>
      </c>
      <c r="F599" s="2">
        <v>903</v>
      </c>
      <c r="G599" s="10">
        <f>G598</f>
        <v>3750</v>
      </c>
      <c r="H599" s="222"/>
    </row>
    <row r="600" spans="1:8" ht="15.75" customHeight="1" x14ac:dyDescent="0.25">
      <c r="A600" s="25" t="s">
        <v>150</v>
      </c>
      <c r="B600" s="20" t="s">
        <v>959</v>
      </c>
      <c r="C600" s="40" t="s">
        <v>314</v>
      </c>
      <c r="D600" s="40" t="s">
        <v>133</v>
      </c>
      <c r="E600" s="40" t="s">
        <v>160</v>
      </c>
      <c r="F600" s="2"/>
      <c r="G600" s="10">
        <f>G601</f>
        <v>26</v>
      </c>
    </row>
    <row r="601" spans="1:8" ht="15.75" customHeight="1" x14ac:dyDescent="0.25">
      <c r="A601" s="25" t="s">
        <v>152</v>
      </c>
      <c r="B601" s="20" t="s">
        <v>959</v>
      </c>
      <c r="C601" s="40" t="s">
        <v>314</v>
      </c>
      <c r="D601" s="40" t="s">
        <v>133</v>
      </c>
      <c r="E601" s="40" t="s">
        <v>153</v>
      </c>
      <c r="F601" s="2"/>
      <c r="G601" s="10">
        <f>'Пр.4 ведом.20'!G378</f>
        <v>26</v>
      </c>
    </row>
    <row r="602" spans="1:8" s="221" customFormat="1" ht="50.25" customHeight="1" x14ac:dyDescent="0.25">
      <c r="A602" s="25" t="s">
        <v>1269</v>
      </c>
      <c r="B602" s="20" t="s">
        <v>959</v>
      </c>
      <c r="C602" s="40" t="s">
        <v>314</v>
      </c>
      <c r="D602" s="40" t="s">
        <v>133</v>
      </c>
      <c r="E602" s="40" t="s">
        <v>153</v>
      </c>
      <c r="F602" s="2">
        <v>903</v>
      </c>
      <c r="G602" s="10">
        <f>G601</f>
        <v>26</v>
      </c>
      <c r="H602" s="222"/>
    </row>
    <row r="603" spans="1:8" s="221" customFormat="1" ht="30.75" customHeight="1" x14ac:dyDescent="0.25">
      <c r="A603" s="23" t="s">
        <v>971</v>
      </c>
      <c r="B603" s="24" t="s">
        <v>960</v>
      </c>
      <c r="C603" s="7"/>
      <c r="D603" s="7"/>
      <c r="E603" s="7"/>
      <c r="F603" s="3"/>
      <c r="G603" s="59">
        <f>G606</f>
        <v>50</v>
      </c>
      <c r="H603" s="222"/>
    </row>
    <row r="604" spans="1:8" s="221" customFormat="1" ht="15.75" customHeight="1" x14ac:dyDescent="0.25">
      <c r="A604" s="73" t="s">
        <v>313</v>
      </c>
      <c r="B604" s="40" t="s">
        <v>960</v>
      </c>
      <c r="C604" s="40" t="s">
        <v>314</v>
      </c>
      <c r="D604" s="40"/>
      <c r="E604" s="40"/>
      <c r="F604" s="74"/>
      <c r="G604" s="10">
        <f t="shared" ref="G604" si="72">G605</f>
        <v>50</v>
      </c>
      <c r="H604" s="222"/>
    </row>
    <row r="605" spans="1:8" s="221" customFormat="1" ht="18" customHeight="1" x14ac:dyDescent="0.25">
      <c r="A605" s="73" t="s">
        <v>315</v>
      </c>
      <c r="B605" s="40" t="s">
        <v>960</v>
      </c>
      <c r="C605" s="40" t="s">
        <v>314</v>
      </c>
      <c r="D605" s="40" t="s">
        <v>133</v>
      </c>
      <c r="E605" s="40"/>
      <c r="F605" s="74"/>
      <c r="G605" s="10">
        <f>G606</f>
        <v>50</v>
      </c>
      <c r="H605" s="222"/>
    </row>
    <row r="606" spans="1:8" s="221" customFormat="1" ht="33.75" customHeight="1" x14ac:dyDescent="0.25">
      <c r="A606" s="25" t="s">
        <v>864</v>
      </c>
      <c r="B606" s="20" t="s">
        <v>961</v>
      </c>
      <c r="C606" s="40" t="s">
        <v>314</v>
      </c>
      <c r="D606" s="40" t="s">
        <v>133</v>
      </c>
      <c r="E606" s="40"/>
      <c r="F606" s="2"/>
      <c r="G606" s="10">
        <f>G607</f>
        <v>50</v>
      </c>
      <c r="H606" s="222"/>
    </row>
    <row r="607" spans="1:8" s="221" customFormat="1" ht="36.75" customHeight="1" x14ac:dyDescent="0.25">
      <c r="A607" s="25" t="s">
        <v>146</v>
      </c>
      <c r="B607" s="20" t="s">
        <v>961</v>
      </c>
      <c r="C607" s="40" t="s">
        <v>314</v>
      </c>
      <c r="D607" s="40" t="s">
        <v>133</v>
      </c>
      <c r="E607" s="40" t="s">
        <v>147</v>
      </c>
      <c r="F607" s="2"/>
      <c r="G607" s="10">
        <f>G608</f>
        <v>50</v>
      </c>
      <c r="H607" s="222"/>
    </row>
    <row r="608" spans="1:8" s="221" customFormat="1" ht="33" customHeight="1" x14ac:dyDescent="0.25">
      <c r="A608" s="25" t="s">
        <v>148</v>
      </c>
      <c r="B608" s="20" t="s">
        <v>961</v>
      </c>
      <c r="C608" s="40" t="s">
        <v>314</v>
      </c>
      <c r="D608" s="40" t="s">
        <v>133</v>
      </c>
      <c r="E608" s="40" t="s">
        <v>149</v>
      </c>
      <c r="F608" s="2"/>
      <c r="G608" s="10">
        <f>'Пр.4 ведом.20'!G382</f>
        <v>50</v>
      </c>
      <c r="H608" s="222"/>
    </row>
    <row r="609" spans="1:8" s="221" customFormat="1" ht="48.2" customHeight="1" x14ac:dyDescent="0.25">
      <c r="A609" s="25" t="s">
        <v>1269</v>
      </c>
      <c r="B609" s="20" t="s">
        <v>961</v>
      </c>
      <c r="C609" s="40" t="s">
        <v>314</v>
      </c>
      <c r="D609" s="40" t="s">
        <v>133</v>
      </c>
      <c r="E609" s="40" t="s">
        <v>149</v>
      </c>
      <c r="F609" s="2">
        <v>903</v>
      </c>
      <c r="G609" s="10">
        <f>G608</f>
        <v>50</v>
      </c>
      <c r="H609" s="222"/>
    </row>
    <row r="610" spans="1:8" s="221" customFormat="1" ht="36.75" customHeight="1" x14ac:dyDescent="0.25">
      <c r="A610" s="23" t="s">
        <v>1074</v>
      </c>
      <c r="B610" s="24" t="s">
        <v>962</v>
      </c>
      <c r="C610" s="7"/>
      <c r="D610" s="7"/>
      <c r="E610" s="7"/>
      <c r="F610" s="3"/>
      <c r="G610" s="59">
        <f>G613</f>
        <v>507</v>
      </c>
      <c r="H610" s="222"/>
    </row>
    <row r="611" spans="1:8" s="221" customFormat="1" ht="16.5" customHeight="1" x14ac:dyDescent="0.25">
      <c r="A611" s="73" t="s">
        <v>313</v>
      </c>
      <c r="B611" s="40" t="s">
        <v>962</v>
      </c>
      <c r="C611" s="40" t="s">
        <v>314</v>
      </c>
      <c r="D611" s="40"/>
      <c r="E611" s="40"/>
      <c r="F611" s="74"/>
      <c r="G611" s="10">
        <f t="shared" ref="G611" si="73">G612</f>
        <v>507</v>
      </c>
      <c r="H611" s="222"/>
    </row>
    <row r="612" spans="1:8" s="221" customFormat="1" ht="18.75" customHeight="1" x14ac:dyDescent="0.25">
      <c r="A612" s="73" t="s">
        <v>315</v>
      </c>
      <c r="B612" s="40" t="s">
        <v>962</v>
      </c>
      <c r="C612" s="40" t="s">
        <v>314</v>
      </c>
      <c r="D612" s="40" t="s">
        <v>133</v>
      </c>
      <c r="E612" s="40"/>
      <c r="F612" s="74"/>
      <c r="G612" s="10">
        <f>G613</f>
        <v>507</v>
      </c>
      <c r="H612" s="222"/>
    </row>
    <row r="613" spans="1:8" s="221" customFormat="1" ht="44.45" customHeight="1" x14ac:dyDescent="0.25">
      <c r="A613" s="25" t="s">
        <v>883</v>
      </c>
      <c r="B613" s="20" t="s">
        <v>1252</v>
      </c>
      <c r="C613" s="40" t="s">
        <v>314</v>
      </c>
      <c r="D613" s="40" t="s">
        <v>133</v>
      </c>
      <c r="E613" s="40"/>
      <c r="F613" s="2"/>
      <c r="G613" s="10">
        <f>G614</f>
        <v>507</v>
      </c>
      <c r="H613" s="222"/>
    </row>
    <row r="614" spans="1:8" s="221" customFormat="1" ht="78" customHeight="1" x14ac:dyDescent="0.25">
      <c r="A614" s="25" t="s">
        <v>142</v>
      </c>
      <c r="B614" s="20" t="s">
        <v>1252</v>
      </c>
      <c r="C614" s="40" t="s">
        <v>314</v>
      </c>
      <c r="D614" s="40" t="s">
        <v>133</v>
      </c>
      <c r="E614" s="40" t="s">
        <v>143</v>
      </c>
      <c r="F614" s="2"/>
      <c r="G614" s="10">
        <f>G615</f>
        <v>507</v>
      </c>
      <c r="H614" s="222"/>
    </row>
    <row r="615" spans="1:8" s="221" customFormat="1" ht="33" customHeight="1" x14ac:dyDescent="0.25">
      <c r="A615" s="25" t="s">
        <v>144</v>
      </c>
      <c r="B615" s="20" t="s">
        <v>1252</v>
      </c>
      <c r="C615" s="40" t="s">
        <v>314</v>
      </c>
      <c r="D615" s="40" t="s">
        <v>133</v>
      </c>
      <c r="E615" s="40" t="s">
        <v>224</v>
      </c>
      <c r="F615" s="2"/>
      <c r="G615" s="10">
        <f>'Пр.4 ведом.20'!G386</f>
        <v>507</v>
      </c>
      <c r="H615" s="222"/>
    </row>
    <row r="616" spans="1:8" s="221" customFormat="1" ht="44.45" customHeight="1" x14ac:dyDescent="0.25">
      <c r="A616" s="25" t="s">
        <v>1269</v>
      </c>
      <c r="B616" s="20" t="s">
        <v>1252</v>
      </c>
      <c r="C616" s="40" t="s">
        <v>314</v>
      </c>
      <c r="D616" s="40" t="s">
        <v>133</v>
      </c>
      <c r="E616" s="40" t="s">
        <v>224</v>
      </c>
      <c r="F616" s="2">
        <v>903</v>
      </c>
      <c r="G616" s="10">
        <f>G615</f>
        <v>507</v>
      </c>
      <c r="H616" s="222"/>
    </row>
    <row r="617" spans="1:8" s="221" customFormat="1" ht="32.25" customHeight="1" x14ac:dyDescent="0.25">
      <c r="A617" s="23" t="s">
        <v>1161</v>
      </c>
      <c r="B617" s="24" t="s">
        <v>963</v>
      </c>
      <c r="C617" s="7"/>
      <c r="D617" s="7"/>
      <c r="E617" s="7"/>
      <c r="F617" s="3"/>
      <c r="G617" s="59">
        <f>G620+G624</f>
        <v>68.7</v>
      </c>
      <c r="H617" s="222"/>
    </row>
    <row r="618" spans="1:8" s="221" customFormat="1" ht="17.45" customHeight="1" x14ac:dyDescent="0.25">
      <c r="A618" s="68" t="s">
        <v>313</v>
      </c>
      <c r="B618" s="40" t="s">
        <v>963</v>
      </c>
      <c r="C618" s="40" t="s">
        <v>314</v>
      </c>
      <c r="D618" s="40"/>
      <c r="E618" s="40"/>
      <c r="F618" s="74"/>
      <c r="G618" s="10">
        <f t="shared" ref="G618" si="74">G619</f>
        <v>68.7</v>
      </c>
      <c r="H618" s="222"/>
    </row>
    <row r="619" spans="1:8" s="221" customFormat="1" ht="21.2" customHeight="1" x14ac:dyDescent="0.25">
      <c r="A619" s="68" t="s">
        <v>315</v>
      </c>
      <c r="B619" s="40" t="s">
        <v>963</v>
      </c>
      <c r="C619" s="40" t="s">
        <v>314</v>
      </c>
      <c r="D619" s="40" t="s">
        <v>133</v>
      </c>
      <c r="E619" s="40"/>
      <c r="F619" s="74"/>
      <c r="G619" s="10">
        <f>G620+G624</f>
        <v>68.7</v>
      </c>
      <c r="H619" s="222"/>
    </row>
    <row r="620" spans="1:8" s="221" customFormat="1" ht="15.75" customHeight="1" x14ac:dyDescent="0.25">
      <c r="A620" s="25" t="s">
        <v>344</v>
      </c>
      <c r="B620" s="20" t="s">
        <v>1253</v>
      </c>
      <c r="C620" s="40" t="s">
        <v>314</v>
      </c>
      <c r="D620" s="40" t="s">
        <v>133</v>
      </c>
      <c r="E620" s="40"/>
      <c r="F620" s="2"/>
      <c r="G620" s="10">
        <f>G621</f>
        <v>3.5</v>
      </c>
      <c r="H620" s="222"/>
    </row>
    <row r="621" spans="1:8" s="221" customFormat="1" ht="34.5" customHeight="1" x14ac:dyDescent="0.25">
      <c r="A621" s="25" t="s">
        <v>146</v>
      </c>
      <c r="B621" s="20" t="s">
        <v>1253</v>
      </c>
      <c r="C621" s="40" t="s">
        <v>314</v>
      </c>
      <c r="D621" s="40" t="s">
        <v>133</v>
      </c>
      <c r="E621" s="40" t="s">
        <v>147</v>
      </c>
      <c r="F621" s="2"/>
      <c r="G621" s="10">
        <f>G622</f>
        <v>3.5</v>
      </c>
      <c r="H621" s="222"/>
    </row>
    <row r="622" spans="1:8" s="221" customFormat="1" ht="32.25" customHeight="1" x14ac:dyDescent="0.25">
      <c r="A622" s="25" t="s">
        <v>148</v>
      </c>
      <c r="B622" s="20" t="s">
        <v>1253</v>
      </c>
      <c r="C622" s="40" t="s">
        <v>314</v>
      </c>
      <c r="D622" s="40" t="s">
        <v>133</v>
      </c>
      <c r="E622" s="40" t="s">
        <v>149</v>
      </c>
      <c r="F622" s="2"/>
      <c r="G622" s="10">
        <f>'Пр.4 ведом.20'!G390</f>
        <v>3.5</v>
      </c>
      <c r="H622" s="222"/>
    </row>
    <row r="623" spans="1:8" s="221" customFormat="1" ht="50.25" customHeight="1" x14ac:dyDescent="0.25">
      <c r="A623" s="25" t="s">
        <v>1269</v>
      </c>
      <c r="B623" s="20" t="s">
        <v>1253</v>
      </c>
      <c r="C623" s="40" t="s">
        <v>314</v>
      </c>
      <c r="D623" s="40" t="s">
        <v>133</v>
      </c>
      <c r="E623" s="40" t="s">
        <v>149</v>
      </c>
      <c r="F623" s="2">
        <v>903</v>
      </c>
      <c r="G623" s="10">
        <f>G622</f>
        <v>3.5</v>
      </c>
      <c r="H623" s="222"/>
    </row>
    <row r="624" spans="1:8" s="221" customFormat="1" ht="15.75" customHeight="1" x14ac:dyDescent="0.25">
      <c r="A624" s="25" t="s">
        <v>344</v>
      </c>
      <c r="B624" s="20" t="s">
        <v>1254</v>
      </c>
      <c r="C624" s="40" t="s">
        <v>314</v>
      </c>
      <c r="D624" s="40" t="s">
        <v>133</v>
      </c>
      <c r="E624" s="40"/>
      <c r="F624" s="2"/>
      <c r="G624" s="10">
        <f>G625</f>
        <v>65.2</v>
      </c>
      <c r="H624" s="222"/>
    </row>
    <row r="625" spans="1:8" s="221" customFormat="1" ht="36.75" customHeight="1" x14ac:dyDescent="0.25">
      <c r="A625" s="25" t="s">
        <v>146</v>
      </c>
      <c r="B625" s="20" t="s">
        <v>1254</v>
      </c>
      <c r="C625" s="40" t="s">
        <v>314</v>
      </c>
      <c r="D625" s="40" t="s">
        <v>133</v>
      </c>
      <c r="E625" s="40" t="s">
        <v>147</v>
      </c>
      <c r="F625" s="2"/>
      <c r="G625" s="10">
        <f>G626</f>
        <v>65.2</v>
      </c>
      <c r="H625" s="222"/>
    </row>
    <row r="626" spans="1:8" s="221" customFormat="1" ht="37.5" customHeight="1" x14ac:dyDescent="0.25">
      <c r="A626" s="25" t="s">
        <v>148</v>
      </c>
      <c r="B626" s="20" t="s">
        <v>1254</v>
      </c>
      <c r="C626" s="40" t="s">
        <v>314</v>
      </c>
      <c r="D626" s="40" t="s">
        <v>133</v>
      </c>
      <c r="E626" s="40" t="s">
        <v>149</v>
      </c>
      <c r="F626" s="2"/>
      <c r="G626" s="10">
        <f>'Пр.4 ведом.20'!G393</f>
        <v>65.2</v>
      </c>
      <c r="H626" s="222"/>
    </row>
    <row r="627" spans="1:8" s="221" customFormat="1" ht="51.75" customHeight="1" x14ac:dyDescent="0.25">
      <c r="A627" s="25" t="s">
        <v>1269</v>
      </c>
      <c r="B627" s="20" t="s">
        <v>1254</v>
      </c>
      <c r="C627" s="40" t="s">
        <v>314</v>
      </c>
      <c r="D627" s="40" t="s">
        <v>133</v>
      </c>
      <c r="E627" s="40" t="s">
        <v>149</v>
      </c>
      <c r="F627" s="2">
        <v>903</v>
      </c>
      <c r="G627" s="10">
        <f>G626</f>
        <v>65.2</v>
      </c>
      <c r="H627" s="222"/>
    </row>
    <row r="628" spans="1:8" s="221" customFormat="1" ht="49.7" customHeight="1" x14ac:dyDescent="0.25">
      <c r="A628" s="245" t="s">
        <v>969</v>
      </c>
      <c r="B628" s="24" t="s">
        <v>1255</v>
      </c>
      <c r="C628" s="7"/>
      <c r="D628" s="7"/>
      <c r="E628" s="7"/>
      <c r="F628" s="3"/>
      <c r="G628" s="59">
        <f>G629</f>
        <v>1596</v>
      </c>
      <c r="H628" s="222"/>
    </row>
    <row r="629" spans="1:8" s="221" customFormat="1" ht="18" customHeight="1" x14ac:dyDescent="0.25">
      <c r="A629" s="68" t="s">
        <v>313</v>
      </c>
      <c r="B629" s="40" t="s">
        <v>1255</v>
      </c>
      <c r="C629" s="40" t="s">
        <v>314</v>
      </c>
      <c r="D629" s="40"/>
      <c r="E629" s="40"/>
      <c r="F629" s="74"/>
      <c r="G629" s="10">
        <f t="shared" ref="G629" si="75">G630</f>
        <v>1596</v>
      </c>
      <c r="H629" s="222"/>
    </row>
    <row r="630" spans="1:8" s="221" customFormat="1" ht="18.75" customHeight="1" x14ac:dyDescent="0.25">
      <c r="A630" s="68" t="s">
        <v>315</v>
      </c>
      <c r="B630" s="40" t="s">
        <v>1255</v>
      </c>
      <c r="C630" s="40" t="s">
        <v>314</v>
      </c>
      <c r="D630" s="40" t="s">
        <v>133</v>
      </c>
      <c r="E630" s="40"/>
      <c r="F630" s="74"/>
      <c r="G630" s="10">
        <f>G635+G639+G631</f>
        <v>1596</v>
      </c>
      <c r="H630" s="222"/>
    </row>
    <row r="631" spans="1:8" s="361" customFormat="1" ht="101.25" customHeight="1" x14ac:dyDescent="0.25">
      <c r="A631" s="31" t="s">
        <v>308</v>
      </c>
      <c r="B631" s="368" t="s">
        <v>1528</v>
      </c>
      <c r="C631" s="376" t="s">
        <v>314</v>
      </c>
      <c r="D631" s="376" t="s">
        <v>133</v>
      </c>
      <c r="E631" s="376"/>
      <c r="F631" s="2"/>
      <c r="G631" s="365">
        <f>G632</f>
        <v>1159.3</v>
      </c>
      <c r="H631" s="362"/>
    </row>
    <row r="632" spans="1:8" s="361" customFormat="1" ht="85.5" customHeight="1" x14ac:dyDescent="0.25">
      <c r="A632" s="372" t="s">
        <v>142</v>
      </c>
      <c r="B632" s="368" t="s">
        <v>1528</v>
      </c>
      <c r="C632" s="376" t="s">
        <v>314</v>
      </c>
      <c r="D632" s="376" t="s">
        <v>133</v>
      </c>
      <c r="E632" s="376" t="s">
        <v>143</v>
      </c>
      <c r="F632" s="2"/>
      <c r="G632" s="365">
        <f>G633</f>
        <v>1159.3</v>
      </c>
      <c r="H632" s="362"/>
    </row>
    <row r="633" spans="1:8" s="361" customFormat="1" ht="18.75" customHeight="1" x14ac:dyDescent="0.25">
      <c r="A633" s="372" t="s">
        <v>223</v>
      </c>
      <c r="B633" s="368" t="s">
        <v>1528</v>
      </c>
      <c r="C633" s="376" t="s">
        <v>314</v>
      </c>
      <c r="D633" s="376" t="s">
        <v>133</v>
      </c>
      <c r="E633" s="376" t="s">
        <v>224</v>
      </c>
      <c r="F633" s="2"/>
      <c r="G633" s="365">
        <f>'Пр.4 ведом.20'!G397</f>
        <v>1159.3</v>
      </c>
      <c r="H633" s="362"/>
    </row>
    <row r="634" spans="1:8" s="361" customFormat="1" ht="49.5" customHeight="1" x14ac:dyDescent="0.25">
      <c r="A634" s="372" t="s">
        <v>1269</v>
      </c>
      <c r="B634" s="368" t="s">
        <v>1528</v>
      </c>
      <c r="C634" s="376" t="s">
        <v>314</v>
      </c>
      <c r="D634" s="376" t="s">
        <v>133</v>
      </c>
      <c r="E634" s="376" t="s">
        <v>224</v>
      </c>
      <c r="F634" s="2">
        <v>903</v>
      </c>
      <c r="G634" s="365">
        <f>G631</f>
        <v>1159.3</v>
      </c>
      <c r="H634" s="362"/>
    </row>
    <row r="635" spans="1:8" s="221" customFormat="1" ht="66.2" customHeight="1" x14ac:dyDescent="0.25">
      <c r="A635" s="25" t="s">
        <v>346</v>
      </c>
      <c r="B635" s="20" t="s">
        <v>1256</v>
      </c>
      <c r="C635" s="40" t="s">
        <v>314</v>
      </c>
      <c r="D635" s="40" t="s">
        <v>133</v>
      </c>
      <c r="E635" s="40"/>
      <c r="F635" s="2"/>
      <c r="G635" s="10">
        <f>G636</f>
        <v>319.7</v>
      </c>
      <c r="H635" s="222"/>
    </row>
    <row r="636" spans="1:8" s="221" customFormat="1" ht="77.25" customHeight="1" x14ac:dyDescent="0.25">
      <c r="A636" s="25" t="s">
        <v>142</v>
      </c>
      <c r="B636" s="20" t="s">
        <v>1256</v>
      </c>
      <c r="C636" s="40" t="s">
        <v>314</v>
      </c>
      <c r="D636" s="40" t="s">
        <v>133</v>
      </c>
      <c r="E636" s="40" t="s">
        <v>143</v>
      </c>
      <c r="F636" s="2"/>
      <c r="G636" s="10">
        <f>G637</f>
        <v>319.7</v>
      </c>
      <c r="H636" s="222"/>
    </row>
    <row r="637" spans="1:8" s="221" customFormat="1" ht="20.25" customHeight="1" x14ac:dyDescent="0.25">
      <c r="A637" s="25" t="s">
        <v>223</v>
      </c>
      <c r="B637" s="20" t="s">
        <v>1256</v>
      </c>
      <c r="C637" s="40" t="s">
        <v>314</v>
      </c>
      <c r="D637" s="40" t="s">
        <v>133</v>
      </c>
      <c r="E637" s="40" t="s">
        <v>224</v>
      </c>
      <c r="F637" s="2"/>
      <c r="G637" s="10">
        <f>'Пр.4 ведом.20'!G400</f>
        <v>319.7</v>
      </c>
      <c r="H637" s="222"/>
    </row>
    <row r="638" spans="1:8" s="221" customFormat="1" ht="51.75" customHeight="1" x14ac:dyDescent="0.25">
      <c r="A638" s="25" t="s">
        <v>1269</v>
      </c>
      <c r="B638" s="20" t="s">
        <v>1256</v>
      </c>
      <c r="C638" s="40" t="s">
        <v>314</v>
      </c>
      <c r="D638" s="40" t="s">
        <v>133</v>
      </c>
      <c r="E638" s="40" t="s">
        <v>224</v>
      </c>
      <c r="F638" s="2">
        <v>903</v>
      </c>
      <c r="G638" s="10">
        <f>G637</f>
        <v>319.7</v>
      </c>
      <c r="H638" s="222"/>
    </row>
    <row r="639" spans="1:8" s="221" customFormat="1" ht="95.25" customHeight="1" x14ac:dyDescent="0.25">
      <c r="A639" s="31" t="s">
        <v>308</v>
      </c>
      <c r="B639" s="20" t="s">
        <v>1257</v>
      </c>
      <c r="C639" s="40" t="s">
        <v>314</v>
      </c>
      <c r="D639" s="40" t="s">
        <v>133</v>
      </c>
      <c r="E639" s="40"/>
      <c r="F639" s="2"/>
      <c r="G639" s="10">
        <f>G640</f>
        <v>117</v>
      </c>
      <c r="H639" s="222"/>
    </row>
    <row r="640" spans="1:8" s="221" customFormat="1" ht="30.75" customHeight="1" x14ac:dyDescent="0.25">
      <c r="A640" s="25" t="s">
        <v>142</v>
      </c>
      <c r="B640" s="20" t="s">
        <v>1257</v>
      </c>
      <c r="C640" s="40" t="s">
        <v>314</v>
      </c>
      <c r="D640" s="40" t="s">
        <v>133</v>
      </c>
      <c r="E640" s="40" t="s">
        <v>143</v>
      </c>
      <c r="F640" s="2"/>
      <c r="G640" s="10">
        <f>G641</f>
        <v>117</v>
      </c>
      <c r="H640" s="222"/>
    </row>
    <row r="641" spans="1:8" s="221" customFormat="1" ht="22.7" customHeight="1" x14ac:dyDescent="0.25">
      <c r="A641" s="25" t="s">
        <v>223</v>
      </c>
      <c r="B641" s="20" t="s">
        <v>1257</v>
      </c>
      <c r="C641" s="40" t="s">
        <v>314</v>
      </c>
      <c r="D641" s="40" t="s">
        <v>133</v>
      </c>
      <c r="E641" s="40" t="s">
        <v>224</v>
      </c>
      <c r="F641" s="2"/>
      <c r="G641" s="10">
        <f>'Пр.4 ведом.20'!G403</f>
        <v>117</v>
      </c>
      <c r="H641" s="222"/>
    </row>
    <row r="642" spans="1:8" s="221" customFormat="1" ht="48.75" customHeight="1" x14ac:dyDescent="0.25">
      <c r="A642" s="25" t="s">
        <v>1269</v>
      </c>
      <c r="B642" s="20" t="s">
        <v>1257</v>
      </c>
      <c r="C642" s="40" t="s">
        <v>314</v>
      </c>
      <c r="D642" s="40" t="s">
        <v>133</v>
      </c>
      <c r="E642" s="40" t="s">
        <v>224</v>
      </c>
      <c r="F642" s="2">
        <v>903</v>
      </c>
      <c r="G642" s="10">
        <f>G641</f>
        <v>117</v>
      </c>
      <c r="H642" s="222"/>
    </row>
    <row r="643" spans="1:8" s="221" customFormat="1" ht="69" customHeight="1" x14ac:dyDescent="0.25">
      <c r="A643" s="23" t="s">
        <v>283</v>
      </c>
      <c r="B643" s="24" t="s">
        <v>284</v>
      </c>
      <c r="C643" s="7"/>
      <c r="D643" s="7"/>
      <c r="E643" s="7"/>
      <c r="F643" s="3"/>
      <c r="G643" s="59">
        <f>G644+G657+G664+G674+G681</f>
        <v>17073.7</v>
      </c>
      <c r="H643" s="222"/>
    </row>
    <row r="644" spans="1:8" s="221" customFormat="1" ht="37.5" customHeight="1" x14ac:dyDescent="0.25">
      <c r="A644" s="23" t="s">
        <v>939</v>
      </c>
      <c r="B644" s="24" t="s">
        <v>940</v>
      </c>
      <c r="C644" s="7"/>
      <c r="D644" s="7"/>
      <c r="E644" s="7"/>
      <c r="F644" s="3"/>
      <c r="G644" s="59">
        <f>G645</f>
        <v>15441</v>
      </c>
      <c r="H644" s="222"/>
    </row>
    <row r="645" spans="1:8" s="221" customFormat="1" ht="15.75" customHeight="1" x14ac:dyDescent="0.25">
      <c r="A645" s="25" t="s">
        <v>278</v>
      </c>
      <c r="B645" s="20" t="s">
        <v>940</v>
      </c>
      <c r="C645" s="40" t="s">
        <v>279</v>
      </c>
      <c r="D645" s="40"/>
      <c r="E645" s="40"/>
      <c r="F645" s="2"/>
      <c r="G645" s="10">
        <f>G646</f>
        <v>15441</v>
      </c>
      <c r="H645" s="222"/>
    </row>
    <row r="646" spans="1:8" s="221" customFormat="1" ht="20.25" customHeight="1" x14ac:dyDescent="0.25">
      <c r="A646" s="25" t="s">
        <v>280</v>
      </c>
      <c r="B646" s="20" t="s">
        <v>940</v>
      </c>
      <c r="C646" s="40" t="s">
        <v>279</v>
      </c>
      <c r="D646" s="40" t="s">
        <v>230</v>
      </c>
      <c r="E646" s="40"/>
      <c r="F646" s="2"/>
      <c r="G646" s="10">
        <f>G647</f>
        <v>15441</v>
      </c>
      <c r="H646" s="222"/>
    </row>
    <row r="647" spans="1:8" s="221" customFormat="1" ht="18.75" customHeight="1" x14ac:dyDescent="0.25">
      <c r="A647" s="25" t="s">
        <v>830</v>
      </c>
      <c r="B647" s="20" t="s">
        <v>938</v>
      </c>
      <c r="C647" s="40" t="s">
        <v>279</v>
      </c>
      <c r="D647" s="40" t="s">
        <v>230</v>
      </c>
      <c r="E647" s="40"/>
      <c r="F647" s="2"/>
      <c r="G647" s="10">
        <f>G648+G651+G654</f>
        <v>15441</v>
      </c>
      <c r="H647" s="222"/>
    </row>
    <row r="648" spans="1:8" s="221" customFormat="1" ht="86.25" customHeight="1" x14ac:dyDescent="0.25">
      <c r="A648" s="25" t="s">
        <v>142</v>
      </c>
      <c r="B648" s="20" t="s">
        <v>938</v>
      </c>
      <c r="C648" s="40" t="s">
        <v>279</v>
      </c>
      <c r="D648" s="40" t="s">
        <v>230</v>
      </c>
      <c r="E648" s="20" t="s">
        <v>143</v>
      </c>
      <c r="F648" s="2"/>
      <c r="G648" s="10">
        <f>G649</f>
        <v>13412.5</v>
      </c>
      <c r="H648" s="222"/>
    </row>
    <row r="649" spans="1:8" s="221" customFormat="1" ht="15.75" customHeight="1" x14ac:dyDescent="0.25">
      <c r="A649" s="46" t="s">
        <v>357</v>
      </c>
      <c r="B649" s="20" t="s">
        <v>938</v>
      </c>
      <c r="C649" s="40" t="s">
        <v>279</v>
      </c>
      <c r="D649" s="40" t="s">
        <v>230</v>
      </c>
      <c r="E649" s="20" t="s">
        <v>224</v>
      </c>
      <c r="F649" s="2"/>
      <c r="G649" s="10">
        <f>'Пр.4 ведом.20'!G280</f>
        <v>13412.5</v>
      </c>
      <c r="H649" s="222"/>
    </row>
    <row r="650" spans="1:8" s="221" customFormat="1" ht="48.2" customHeight="1" x14ac:dyDescent="0.25">
      <c r="A650" s="25" t="s">
        <v>1269</v>
      </c>
      <c r="B650" s="20" t="s">
        <v>938</v>
      </c>
      <c r="C650" s="40" t="s">
        <v>279</v>
      </c>
      <c r="D650" s="40" t="s">
        <v>230</v>
      </c>
      <c r="E650" s="20" t="s">
        <v>224</v>
      </c>
      <c r="F650" s="2">
        <v>903</v>
      </c>
      <c r="G650" s="10">
        <f>G649</f>
        <v>13412.5</v>
      </c>
      <c r="H650" s="222"/>
    </row>
    <row r="651" spans="1:8" s="221" customFormat="1" ht="36" customHeight="1" x14ac:dyDescent="0.25">
      <c r="A651" s="25" t="s">
        <v>146</v>
      </c>
      <c r="B651" s="20" t="s">
        <v>938</v>
      </c>
      <c r="C651" s="40" t="s">
        <v>279</v>
      </c>
      <c r="D651" s="40" t="s">
        <v>230</v>
      </c>
      <c r="E651" s="20" t="s">
        <v>147</v>
      </c>
      <c r="F651" s="2"/>
      <c r="G651" s="10">
        <f>G652</f>
        <v>1950.5</v>
      </c>
      <c r="H651" s="222"/>
    </row>
    <row r="652" spans="1:8" s="221" customFormat="1" ht="29.25" customHeight="1" x14ac:dyDescent="0.25">
      <c r="A652" s="25" t="s">
        <v>148</v>
      </c>
      <c r="B652" s="20" t="s">
        <v>938</v>
      </c>
      <c r="C652" s="40" t="s">
        <v>279</v>
      </c>
      <c r="D652" s="40" t="s">
        <v>230</v>
      </c>
      <c r="E652" s="20" t="s">
        <v>149</v>
      </c>
      <c r="F652" s="2"/>
      <c r="G652" s="10">
        <f>'Пр.4 ведом.20'!G282</f>
        <v>1950.5</v>
      </c>
      <c r="H652" s="222"/>
    </row>
    <row r="653" spans="1:8" s="221" customFormat="1" ht="48.2" customHeight="1" x14ac:dyDescent="0.25">
      <c r="A653" s="25" t="s">
        <v>1269</v>
      </c>
      <c r="B653" s="20" t="s">
        <v>938</v>
      </c>
      <c r="C653" s="40" t="s">
        <v>279</v>
      </c>
      <c r="D653" s="40" t="s">
        <v>230</v>
      </c>
      <c r="E653" s="20" t="s">
        <v>149</v>
      </c>
      <c r="F653" s="2">
        <v>903</v>
      </c>
      <c r="G653" s="10">
        <f>G652</f>
        <v>1950.5</v>
      </c>
      <c r="H653" s="222"/>
    </row>
    <row r="654" spans="1:8" s="221" customFormat="1" ht="15.75" customHeight="1" x14ac:dyDescent="0.25">
      <c r="A654" s="25" t="s">
        <v>150</v>
      </c>
      <c r="B654" s="20" t="s">
        <v>938</v>
      </c>
      <c r="C654" s="40" t="s">
        <v>279</v>
      </c>
      <c r="D654" s="40" t="s">
        <v>230</v>
      </c>
      <c r="E654" s="20" t="s">
        <v>160</v>
      </c>
      <c r="F654" s="2"/>
      <c r="G654" s="10">
        <f>G655</f>
        <v>78</v>
      </c>
      <c r="H654" s="222"/>
    </row>
    <row r="655" spans="1:8" s="221" customFormat="1" ht="15.75" customHeight="1" x14ac:dyDescent="0.25">
      <c r="A655" s="25" t="s">
        <v>725</v>
      </c>
      <c r="B655" s="20" t="s">
        <v>938</v>
      </c>
      <c r="C655" s="40" t="s">
        <v>279</v>
      </c>
      <c r="D655" s="40" t="s">
        <v>230</v>
      </c>
      <c r="E655" s="20" t="s">
        <v>153</v>
      </c>
      <c r="F655" s="2"/>
      <c r="G655" s="10">
        <f>'Пр.4 ведом.20'!G284</f>
        <v>78</v>
      </c>
      <c r="H655" s="222"/>
    </row>
    <row r="656" spans="1:8" s="221" customFormat="1" ht="54.75" customHeight="1" x14ac:dyDescent="0.25">
      <c r="A656" s="25" t="s">
        <v>1269</v>
      </c>
      <c r="B656" s="20" t="s">
        <v>938</v>
      </c>
      <c r="C656" s="40" t="s">
        <v>279</v>
      </c>
      <c r="D656" s="40" t="s">
        <v>230</v>
      </c>
      <c r="E656" s="20" t="s">
        <v>153</v>
      </c>
      <c r="F656" s="2">
        <v>903</v>
      </c>
      <c r="G656" s="10">
        <f>G655</f>
        <v>78</v>
      </c>
      <c r="H656" s="222"/>
    </row>
    <row r="657" spans="1:8" s="221" customFormat="1" ht="48.2" customHeight="1" x14ac:dyDescent="0.25">
      <c r="A657" s="243" t="s">
        <v>1187</v>
      </c>
      <c r="B657" s="24" t="s">
        <v>942</v>
      </c>
      <c r="C657" s="7"/>
      <c r="D657" s="7"/>
      <c r="E657" s="24"/>
      <c r="F657" s="3"/>
      <c r="G657" s="59">
        <f>G660</f>
        <v>45</v>
      </c>
      <c r="H657" s="222"/>
    </row>
    <row r="658" spans="1:8" s="221" customFormat="1" ht="18" customHeight="1" x14ac:dyDescent="0.25">
      <c r="A658" s="25" t="s">
        <v>278</v>
      </c>
      <c r="B658" s="20" t="s">
        <v>942</v>
      </c>
      <c r="C658" s="40" t="s">
        <v>279</v>
      </c>
      <c r="D658" s="40"/>
      <c r="E658" s="40"/>
      <c r="F658" s="2"/>
      <c r="G658" s="10">
        <f>G659</f>
        <v>45</v>
      </c>
      <c r="H658" s="222"/>
    </row>
    <row r="659" spans="1:8" s="221" customFormat="1" ht="15.75" customHeight="1" x14ac:dyDescent="0.25">
      <c r="A659" s="25" t="s">
        <v>280</v>
      </c>
      <c r="B659" s="20" t="s">
        <v>942</v>
      </c>
      <c r="C659" s="40" t="s">
        <v>279</v>
      </c>
      <c r="D659" s="40" t="s">
        <v>230</v>
      </c>
      <c r="E659" s="40"/>
      <c r="F659" s="2"/>
      <c r="G659" s="10">
        <f>G660</f>
        <v>45</v>
      </c>
      <c r="H659" s="222"/>
    </row>
    <row r="660" spans="1:8" s="221" customFormat="1" ht="15.75" customHeight="1" x14ac:dyDescent="0.25">
      <c r="A660" s="212" t="s">
        <v>829</v>
      </c>
      <c r="B660" s="20" t="s">
        <v>941</v>
      </c>
      <c r="C660" s="40" t="s">
        <v>279</v>
      </c>
      <c r="D660" s="40" t="s">
        <v>230</v>
      </c>
      <c r="E660" s="20"/>
      <c r="F660" s="2"/>
      <c r="G660" s="10">
        <f>G661</f>
        <v>45</v>
      </c>
      <c r="H660" s="222"/>
    </row>
    <row r="661" spans="1:8" s="221" customFormat="1" ht="15.75" customHeight="1" x14ac:dyDescent="0.25">
      <c r="A661" s="25" t="s">
        <v>263</v>
      </c>
      <c r="B661" s="20" t="s">
        <v>941</v>
      </c>
      <c r="C661" s="40" t="s">
        <v>279</v>
      </c>
      <c r="D661" s="40" t="s">
        <v>230</v>
      </c>
      <c r="E661" s="20" t="s">
        <v>264</v>
      </c>
      <c r="F661" s="2"/>
      <c r="G661" s="10">
        <f>G662</f>
        <v>45</v>
      </c>
      <c r="H661" s="222"/>
    </row>
    <row r="662" spans="1:8" s="221" customFormat="1" ht="15.75" customHeight="1" x14ac:dyDescent="0.25">
      <c r="A662" s="25" t="s">
        <v>863</v>
      </c>
      <c r="B662" s="20" t="s">
        <v>941</v>
      </c>
      <c r="C662" s="40" t="s">
        <v>279</v>
      </c>
      <c r="D662" s="40" t="s">
        <v>230</v>
      </c>
      <c r="E662" s="20" t="s">
        <v>862</v>
      </c>
      <c r="F662" s="2"/>
      <c r="G662" s="10">
        <f>'Пр.4 ведом.20'!G288</f>
        <v>45</v>
      </c>
      <c r="H662" s="222"/>
    </row>
    <row r="663" spans="1:8" s="221" customFormat="1" ht="49.7" customHeight="1" x14ac:dyDescent="0.25">
      <c r="A663" s="25" t="s">
        <v>1269</v>
      </c>
      <c r="B663" s="20" t="s">
        <v>941</v>
      </c>
      <c r="C663" s="40" t="s">
        <v>279</v>
      </c>
      <c r="D663" s="40" t="s">
        <v>230</v>
      </c>
      <c r="E663" s="20" t="s">
        <v>862</v>
      </c>
      <c r="F663" s="2">
        <v>903</v>
      </c>
      <c r="G663" s="10">
        <f>G662</f>
        <v>45</v>
      </c>
      <c r="H663" s="222"/>
    </row>
    <row r="664" spans="1:8" s="221" customFormat="1" ht="53.45" customHeight="1" x14ac:dyDescent="0.25">
      <c r="A664" s="248" t="s">
        <v>1166</v>
      </c>
      <c r="B664" s="24" t="s">
        <v>943</v>
      </c>
      <c r="C664" s="7"/>
      <c r="D664" s="7"/>
      <c r="E664" s="24"/>
      <c r="F664" s="3"/>
      <c r="G664" s="59">
        <f>G667</f>
        <v>250.00000000000003</v>
      </c>
      <c r="H664" s="222"/>
    </row>
    <row r="665" spans="1:8" s="221" customFormat="1" ht="16.5" customHeight="1" x14ac:dyDescent="0.25">
      <c r="A665" s="25" t="s">
        <v>278</v>
      </c>
      <c r="B665" s="20" t="s">
        <v>943</v>
      </c>
      <c r="C665" s="40" t="s">
        <v>279</v>
      </c>
      <c r="D665" s="40"/>
      <c r="E665" s="40"/>
      <c r="F665" s="2"/>
      <c r="G665" s="10">
        <f>G666</f>
        <v>250.00000000000003</v>
      </c>
      <c r="H665" s="222"/>
    </row>
    <row r="666" spans="1:8" s="221" customFormat="1" ht="16.5" customHeight="1" x14ac:dyDescent="0.25">
      <c r="A666" s="25" t="s">
        <v>280</v>
      </c>
      <c r="B666" s="20" t="s">
        <v>943</v>
      </c>
      <c r="C666" s="40" t="s">
        <v>279</v>
      </c>
      <c r="D666" s="40" t="s">
        <v>230</v>
      </c>
      <c r="E666" s="40"/>
      <c r="F666" s="2"/>
      <c r="G666" s="10">
        <f>G667</f>
        <v>250.00000000000003</v>
      </c>
      <c r="H666" s="222"/>
    </row>
    <row r="667" spans="1:8" s="221" customFormat="1" ht="34.5" customHeight="1" x14ac:dyDescent="0.25">
      <c r="A667" s="31" t="s">
        <v>858</v>
      </c>
      <c r="B667" s="20" t="s">
        <v>944</v>
      </c>
      <c r="C667" s="40" t="s">
        <v>279</v>
      </c>
      <c r="D667" s="40" t="s">
        <v>230</v>
      </c>
      <c r="E667" s="20"/>
      <c r="F667" s="2"/>
      <c r="G667" s="10">
        <f>G668+G671</f>
        <v>250.00000000000003</v>
      </c>
      <c r="H667" s="222"/>
    </row>
    <row r="668" spans="1:8" s="221" customFormat="1" ht="84.2" customHeight="1" x14ac:dyDescent="0.25">
      <c r="A668" s="25" t="s">
        <v>142</v>
      </c>
      <c r="B668" s="20" t="s">
        <v>944</v>
      </c>
      <c r="C668" s="40" t="s">
        <v>279</v>
      </c>
      <c r="D668" s="40" t="s">
        <v>230</v>
      </c>
      <c r="E668" s="20" t="s">
        <v>143</v>
      </c>
      <c r="F668" s="2"/>
      <c r="G668" s="10">
        <f>G669</f>
        <v>250.00000000000003</v>
      </c>
      <c r="H668" s="222"/>
    </row>
    <row r="669" spans="1:8" s="221" customFormat="1" ht="15.75" customHeight="1" x14ac:dyDescent="0.25">
      <c r="A669" s="46" t="s">
        <v>357</v>
      </c>
      <c r="B669" s="20" t="s">
        <v>944</v>
      </c>
      <c r="C669" s="40" t="s">
        <v>279</v>
      </c>
      <c r="D669" s="40" t="s">
        <v>230</v>
      </c>
      <c r="E669" s="20" t="s">
        <v>224</v>
      </c>
      <c r="F669" s="2"/>
      <c r="G669" s="10">
        <f>'Пр.4 ведом.20'!G292</f>
        <v>250.00000000000003</v>
      </c>
      <c r="H669" s="222"/>
    </row>
    <row r="670" spans="1:8" s="221" customFormat="1" ht="49.7" customHeight="1" x14ac:dyDescent="0.25">
      <c r="A670" s="25" t="s">
        <v>1269</v>
      </c>
      <c r="B670" s="20" t="s">
        <v>944</v>
      </c>
      <c r="C670" s="40" t="s">
        <v>279</v>
      </c>
      <c r="D670" s="40" t="s">
        <v>230</v>
      </c>
      <c r="E670" s="20" t="s">
        <v>224</v>
      </c>
      <c r="F670" s="2">
        <v>903</v>
      </c>
      <c r="G670" s="10">
        <f>G669</f>
        <v>250.00000000000003</v>
      </c>
      <c r="H670" s="222"/>
    </row>
    <row r="671" spans="1:8" s="221" customFormat="1" ht="36.75" hidden="1" customHeight="1" x14ac:dyDescent="0.25">
      <c r="A671" s="25" t="s">
        <v>146</v>
      </c>
      <c r="B671" s="20" t="s">
        <v>944</v>
      </c>
      <c r="C671" s="40" t="s">
        <v>279</v>
      </c>
      <c r="D671" s="40" t="s">
        <v>230</v>
      </c>
      <c r="E671" s="20" t="s">
        <v>147</v>
      </c>
      <c r="F671" s="2"/>
      <c r="G671" s="10">
        <f>G672</f>
        <v>0</v>
      </c>
      <c r="H671" s="222"/>
    </row>
    <row r="672" spans="1:8" s="221" customFormat="1" ht="15.75" hidden="1" customHeight="1" x14ac:dyDescent="0.25">
      <c r="A672" s="25" t="s">
        <v>148</v>
      </c>
      <c r="B672" s="20" t="s">
        <v>944</v>
      </c>
      <c r="C672" s="40" t="s">
        <v>279</v>
      </c>
      <c r="D672" s="40" t="s">
        <v>230</v>
      </c>
      <c r="E672" s="20" t="s">
        <v>149</v>
      </c>
      <c r="F672" s="2"/>
      <c r="G672" s="10">
        <f>'Пр.4 ведом.20'!G294</f>
        <v>0</v>
      </c>
      <c r="H672" s="222"/>
    </row>
    <row r="673" spans="1:8" s="221" customFormat="1" ht="48.2" hidden="1" customHeight="1" x14ac:dyDescent="0.25">
      <c r="A673" s="25" t="s">
        <v>1269</v>
      </c>
      <c r="B673" s="20" t="s">
        <v>944</v>
      </c>
      <c r="C673" s="40" t="s">
        <v>279</v>
      </c>
      <c r="D673" s="40" t="s">
        <v>230</v>
      </c>
      <c r="E673" s="20" t="s">
        <v>149</v>
      </c>
      <c r="F673" s="2">
        <v>903</v>
      </c>
      <c r="G673" s="10">
        <f>G672</f>
        <v>0</v>
      </c>
      <c r="H673" s="222"/>
    </row>
    <row r="674" spans="1:8" s="221" customFormat="1" ht="36.75" customHeight="1" x14ac:dyDescent="0.25">
      <c r="A674" s="23" t="s">
        <v>1074</v>
      </c>
      <c r="B674" s="24" t="s">
        <v>949</v>
      </c>
      <c r="C674" s="7"/>
      <c r="D674" s="7"/>
      <c r="E674" s="24"/>
      <c r="F674" s="3"/>
      <c r="G674" s="59">
        <f>G677</f>
        <v>336</v>
      </c>
      <c r="H674" s="222"/>
    </row>
    <row r="675" spans="1:8" s="221" customFormat="1" ht="17.45" customHeight="1" x14ac:dyDescent="0.25">
      <c r="A675" s="25" t="s">
        <v>278</v>
      </c>
      <c r="B675" s="20" t="s">
        <v>949</v>
      </c>
      <c r="C675" s="40" t="s">
        <v>279</v>
      </c>
      <c r="D675" s="40"/>
      <c r="E675" s="40"/>
      <c r="F675" s="2"/>
      <c r="G675" s="10">
        <f>G676</f>
        <v>336</v>
      </c>
      <c r="H675" s="222"/>
    </row>
    <row r="676" spans="1:8" s="221" customFormat="1" ht="18.75" customHeight="1" x14ac:dyDescent="0.25">
      <c r="A676" s="25" t="s">
        <v>280</v>
      </c>
      <c r="B676" s="20" t="s">
        <v>949</v>
      </c>
      <c r="C676" s="40" t="s">
        <v>279</v>
      </c>
      <c r="D676" s="40" t="s">
        <v>230</v>
      </c>
      <c r="E676" s="40"/>
      <c r="F676" s="2"/>
      <c r="G676" s="10">
        <f>G677</f>
        <v>336</v>
      </c>
      <c r="H676" s="222"/>
    </row>
    <row r="677" spans="1:8" s="221" customFormat="1" ht="49.7" customHeight="1" x14ac:dyDescent="0.25">
      <c r="A677" s="25" t="s">
        <v>883</v>
      </c>
      <c r="B677" s="20" t="s">
        <v>1263</v>
      </c>
      <c r="C677" s="40" t="s">
        <v>279</v>
      </c>
      <c r="D677" s="40" t="s">
        <v>230</v>
      </c>
      <c r="E677" s="20"/>
      <c r="F677" s="2"/>
      <c r="G677" s="10">
        <f>G678</f>
        <v>336</v>
      </c>
      <c r="H677" s="222"/>
    </row>
    <row r="678" spans="1:8" s="221" customFormat="1" ht="83.25" customHeight="1" x14ac:dyDescent="0.25">
      <c r="A678" s="25" t="s">
        <v>142</v>
      </c>
      <c r="B678" s="20" t="s">
        <v>1263</v>
      </c>
      <c r="C678" s="40" t="s">
        <v>279</v>
      </c>
      <c r="D678" s="40" t="s">
        <v>230</v>
      </c>
      <c r="E678" s="20" t="s">
        <v>143</v>
      </c>
      <c r="F678" s="2"/>
      <c r="G678" s="10">
        <f>G679</f>
        <v>336</v>
      </c>
      <c r="H678" s="222"/>
    </row>
    <row r="679" spans="1:8" s="221" customFormat="1" ht="36" customHeight="1" x14ac:dyDescent="0.25">
      <c r="A679" s="25" t="s">
        <v>144</v>
      </c>
      <c r="B679" s="20" t="s">
        <v>1263</v>
      </c>
      <c r="C679" s="40" t="s">
        <v>279</v>
      </c>
      <c r="D679" s="40" t="s">
        <v>230</v>
      </c>
      <c r="E679" s="20" t="s">
        <v>224</v>
      </c>
      <c r="F679" s="2"/>
      <c r="G679" s="10">
        <f>'Пр.4 ведом.20'!G298</f>
        <v>336</v>
      </c>
      <c r="H679" s="222"/>
    </row>
    <row r="680" spans="1:8" s="221" customFormat="1" ht="53.45" customHeight="1" x14ac:dyDescent="0.25">
      <c r="A680" s="25" t="s">
        <v>1269</v>
      </c>
      <c r="B680" s="20" t="s">
        <v>1263</v>
      </c>
      <c r="C680" s="40" t="s">
        <v>279</v>
      </c>
      <c r="D680" s="40" t="s">
        <v>230</v>
      </c>
      <c r="E680" s="20" t="s">
        <v>224</v>
      </c>
      <c r="F680" s="2">
        <v>903</v>
      </c>
      <c r="G680" s="10">
        <f>G679</f>
        <v>336</v>
      </c>
      <c r="H680" s="222"/>
    </row>
    <row r="681" spans="1:8" s="221" customFormat="1" ht="48.2" customHeight="1" x14ac:dyDescent="0.25">
      <c r="A681" s="23" t="s">
        <v>969</v>
      </c>
      <c r="B681" s="24" t="s">
        <v>1264</v>
      </c>
      <c r="C681" s="7"/>
      <c r="D681" s="7"/>
      <c r="E681" s="24"/>
      <c r="F681" s="3"/>
      <c r="G681" s="59">
        <f>G688+G692+G696+G684</f>
        <v>1001.7</v>
      </c>
      <c r="H681" s="222"/>
    </row>
    <row r="682" spans="1:8" s="221" customFormat="1" ht="18.75" customHeight="1" x14ac:dyDescent="0.25">
      <c r="A682" s="25" t="s">
        <v>278</v>
      </c>
      <c r="B682" s="20" t="s">
        <v>1264</v>
      </c>
      <c r="C682" s="40" t="s">
        <v>279</v>
      </c>
      <c r="D682" s="40"/>
      <c r="E682" s="40"/>
      <c r="F682" s="2"/>
      <c r="G682" s="10">
        <f>G683</f>
        <v>1001.7</v>
      </c>
      <c r="H682" s="222"/>
    </row>
    <row r="683" spans="1:8" s="221" customFormat="1" ht="19.5" customHeight="1" x14ac:dyDescent="0.25">
      <c r="A683" s="25" t="s">
        <v>280</v>
      </c>
      <c r="B683" s="20" t="s">
        <v>1264</v>
      </c>
      <c r="C683" s="40" t="s">
        <v>279</v>
      </c>
      <c r="D683" s="40" t="s">
        <v>230</v>
      </c>
      <c r="E683" s="40"/>
      <c r="F683" s="2"/>
      <c r="G683" s="10">
        <f>G688+G692+G696+G684</f>
        <v>1001.7</v>
      </c>
      <c r="H683" s="222"/>
    </row>
    <row r="684" spans="1:8" s="361" customFormat="1" ht="94.5" x14ac:dyDescent="0.25">
      <c r="A684" s="31" t="s">
        <v>308</v>
      </c>
      <c r="B684" s="368" t="s">
        <v>1524</v>
      </c>
      <c r="C684" s="376" t="s">
        <v>279</v>
      </c>
      <c r="D684" s="376" t="s">
        <v>230</v>
      </c>
      <c r="E684" s="376"/>
      <c r="F684" s="2"/>
      <c r="G684" s="365">
        <f>G685</f>
        <v>422.5</v>
      </c>
      <c r="H684" s="362"/>
    </row>
    <row r="685" spans="1:8" s="361" customFormat="1" ht="78.75" x14ac:dyDescent="0.25">
      <c r="A685" s="372" t="s">
        <v>142</v>
      </c>
      <c r="B685" s="368" t="s">
        <v>1524</v>
      </c>
      <c r="C685" s="376" t="s">
        <v>279</v>
      </c>
      <c r="D685" s="376" t="s">
        <v>230</v>
      </c>
      <c r="E685" s="376" t="s">
        <v>143</v>
      </c>
      <c r="F685" s="2"/>
      <c r="G685" s="365">
        <f>G686</f>
        <v>422.5</v>
      </c>
      <c r="H685" s="362"/>
    </row>
    <row r="686" spans="1:8" s="361" customFormat="1" ht="15.75" x14ac:dyDescent="0.25">
      <c r="A686" s="46" t="s">
        <v>357</v>
      </c>
      <c r="B686" s="368" t="s">
        <v>1524</v>
      </c>
      <c r="C686" s="376" t="s">
        <v>279</v>
      </c>
      <c r="D686" s="376" t="s">
        <v>230</v>
      </c>
      <c r="E686" s="376" t="s">
        <v>224</v>
      </c>
      <c r="F686" s="2"/>
      <c r="G686" s="365">
        <f>'Пр.4 ведом.20'!G302</f>
        <v>422.5</v>
      </c>
      <c r="H686" s="362"/>
    </row>
    <row r="687" spans="1:8" s="361" customFormat="1" ht="47.25" x14ac:dyDescent="0.25">
      <c r="A687" s="372" t="s">
        <v>1269</v>
      </c>
      <c r="B687" s="368" t="s">
        <v>1524</v>
      </c>
      <c r="C687" s="376" t="s">
        <v>279</v>
      </c>
      <c r="D687" s="376" t="s">
        <v>230</v>
      </c>
      <c r="E687" s="376" t="s">
        <v>224</v>
      </c>
      <c r="F687" s="2">
        <v>903</v>
      </c>
      <c r="G687" s="365">
        <f>G684</f>
        <v>422.5</v>
      </c>
      <c r="H687" s="362"/>
    </row>
    <row r="688" spans="1:8" s="221" customFormat="1" ht="66.75" customHeight="1" x14ac:dyDescent="0.25">
      <c r="A688" s="31" t="s">
        <v>304</v>
      </c>
      <c r="B688" s="20" t="s">
        <v>1265</v>
      </c>
      <c r="C688" s="40" t="s">
        <v>279</v>
      </c>
      <c r="D688" s="40" t="s">
        <v>230</v>
      </c>
      <c r="E688" s="20"/>
      <c r="F688" s="2"/>
      <c r="G688" s="10">
        <f>G689</f>
        <v>100.8</v>
      </c>
      <c r="H688" s="222"/>
    </row>
    <row r="689" spans="1:8" s="221" customFormat="1" ht="87.75" customHeight="1" x14ac:dyDescent="0.25">
      <c r="A689" s="25" t="s">
        <v>142</v>
      </c>
      <c r="B689" s="20" t="s">
        <v>1265</v>
      </c>
      <c r="C689" s="40" t="s">
        <v>279</v>
      </c>
      <c r="D689" s="40" t="s">
        <v>230</v>
      </c>
      <c r="E689" s="20" t="s">
        <v>143</v>
      </c>
      <c r="F689" s="2"/>
      <c r="G689" s="10">
        <f>G690</f>
        <v>100.8</v>
      </c>
      <c r="H689" s="222"/>
    </row>
    <row r="690" spans="1:8" s="221" customFormat="1" ht="18.75" customHeight="1" x14ac:dyDescent="0.25">
      <c r="A690" s="46" t="s">
        <v>357</v>
      </c>
      <c r="B690" s="20" t="s">
        <v>1265</v>
      </c>
      <c r="C690" s="40" t="s">
        <v>279</v>
      </c>
      <c r="D690" s="40" t="s">
        <v>230</v>
      </c>
      <c r="E690" s="20" t="s">
        <v>224</v>
      </c>
      <c r="F690" s="2"/>
      <c r="G690" s="10">
        <f>'Пр.4 ведом.20'!G305</f>
        <v>100.8</v>
      </c>
      <c r="H690" s="222"/>
    </row>
    <row r="691" spans="1:8" s="221" customFormat="1" ht="55.5" customHeight="1" x14ac:dyDescent="0.25">
      <c r="A691" s="25" t="s">
        <v>1269</v>
      </c>
      <c r="B691" s="20" t="s">
        <v>1265</v>
      </c>
      <c r="C691" s="40" t="s">
        <v>279</v>
      </c>
      <c r="D691" s="40" t="s">
        <v>230</v>
      </c>
      <c r="E691" s="20" t="s">
        <v>224</v>
      </c>
      <c r="F691" s="2">
        <v>903</v>
      </c>
      <c r="G691" s="10">
        <f>G690</f>
        <v>100.8</v>
      </c>
      <c r="H691" s="222"/>
    </row>
    <row r="692" spans="1:8" s="221" customFormat="1" ht="70.5" customHeight="1" x14ac:dyDescent="0.25">
      <c r="A692" s="31" t="s">
        <v>306</v>
      </c>
      <c r="B692" s="20" t="s">
        <v>1266</v>
      </c>
      <c r="C692" s="40" t="s">
        <v>279</v>
      </c>
      <c r="D692" s="40" t="s">
        <v>230</v>
      </c>
      <c r="E692" s="20"/>
      <c r="F692" s="2"/>
      <c r="G692" s="10">
        <f>G693</f>
        <v>298.40000000000003</v>
      </c>
      <c r="H692" s="222"/>
    </row>
    <row r="693" spans="1:8" s="221" customFormat="1" ht="88.5" customHeight="1" x14ac:dyDescent="0.25">
      <c r="A693" s="25" t="s">
        <v>142</v>
      </c>
      <c r="B693" s="20" t="s">
        <v>1266</v>
      </c>
      <c r="C693" s="40" t="s">
        <v>279</v>
      </c>
      <c r="D693" s="40" t="s">
        <v>230</v>
      </c>
      <c r="E693" s="20" t="s">
        <v>143</v>
      </c>
      <c r="F693" s="2"/>
      <c r="G693" s="10">
        <f>G694</f>
        <v>298.40000000000003</v>
      </c>
      <c r="H693" s="222"/>
    </row>
    <row r="694" spans="1:8" s="221" customFormat="1" ht="20.25" customHeight="1" x14ac:dyDescent="0.25">
      <c r="A694" s="46" t="s">
        <v>357</v>
      </c>
      <c r="B694" s="20" t="s">
        <v>1266</v>
      </c>
      <c r="C694" s="40" t="s">
        <v>279</v>
      </c>
      <c r="D694" s="40" t="s">
        <v>230</v>
      </c>
      <c r="E694" s="20" t="s">
        <v>224</v>
      </c>
      <c r="F694" s="2"/>
      <c r="G694" s="10">
        <f>'Пр.4 ведом.20'!G308</f>
        <v>298.40000000000003</v>
      </c>
      <c r="H694" s="222"/>
    </row>
    <row r="695" spans="1:8" s="221" customFormat="1" ht="51.75" customHeight="1" x14ac:dyDescent="0.25">
      <c r="A695" s="25" t="s">
        <v>1269</v>
      </c>
      <c r="B695" s="20" t="s">
        <v>1266</v>
      </c>
      <c r="C695" s="40" t="s">
        <v>279</v>
      </c>
      <c r="D695" s="40" t="s">
        <v>230</v>
      </c>
      <c r="E695" s="20" t="s">
        <v>224</v>
      </c>
      <c r="F695" s="2">
        <v>903</v>
      </c>
      <c r="G695" s="10">
        <f>G694</f>
        <v>298.40000000000003</v>
      </c>
      <c r="H695" s="222"/>
    </row>
    <row r="696" spans="1:8" s="221" customFormat="1" ht="96" customHeight="1" x14ac:dyDescent="0.25">
      <c r="A696" s="31" t="s">
        <v>308</v>
      </c>
      <c r="B696" s="20" t="s">
        <v>1267</v>
      </c>
      <c r="C696" s="40" t="s">
        <v>279</v>
      </c>
      <c r="D696" s="40" t="s">
        <v>230</v>
      </c>
      <c r="E696" s="20"/>
      <c r="F696" s="2"/>
      <c r="G696" s="10">
        <f>G697</f>
        <v>180</v>
      </c>
      <c r="H696" s="222"/>
    </row>
    <row r="697" spans="1:8" s="221" customFormat="1" ht="79.5" customHeight="1" x14ac:dyDescent="0.25">
      <c r="A697" s="25" t="s">
        <v>142</v>
      </c>
      <c r="B697" s="20" t="s">
        <v>1267</v>
      </c>
      <c r="C697" s="40" t="s">
        <v>279</v>
      </c>
      <c r="D697" s="40" t="s">
        <v>230</v>
      </c>
      <c r="E697" s="20" t="s">
        <v>143</v>
      </c>
      <c r="F697" s="2"/>
      <c r="G697" s="10">
        <f>G698</f>
        <v>180</v>
      </c>
      <c r="H697" s="222"/>
    </row>
    <row r="698" spans="1:8" s="221" customFormat="1" ht="15.75" customHeight="1" x14ac:dyDescent="0.25">
      <c r="A698" s="46" t="s">
        <v>357</v>
      </c>
      <c r="B698" s="20" t="s">
        <v>1267</v>
      </c>
      <c r="C698" s="40" t="s">
        <v>279</v>
      </c>
      <c r="D698" s="40" t="s">
        <v>230</v>
      </c>
      <c r="E698" s="20" t="s">
        <v>224</v>
      </c>
      <c r="F698" s="2"/>
      <c r="G698" s="10">
        <f>'Пр.4 ведом.20'!G311</f>
        <v>180</v>
      </c>
      <c r="H698" s="222"/>
    </row>
    <row r="699" spans="1:8" s="221" customFormat="1" ht="49.7" customHeight="1" x14ac:dyDescent="0.25">
      <c r="A699" s="25" t="s">
        <v>1269</v>
      </c>
      <c r="B699" s="20" t="s">
        <v>1267</v>
      </c>
      <c r="C699" s="40" t="s">
        <v>279</v>
      </c>
      <c r="D699" s="40" t="s">
        <v>230</v>
      </c>
      <c r="E699" s="20" t="s">
        <v>224</v>
      </c>
      <c r="F699" s="2">
        <v>903</v>
      </c>
      <c r="G699" s="10">
        <f>G698</f>
        <v>180</v>
      </c>
      <c r="H699" s="222"/>
    </row>
    <row r="700" spans="1:8" s="1" customFormat="1" ht="66" customHeight="1" x14ac:dyDescent="0.25">
      <c r="A700" s="41" t="s">
        <v>819</v>
      </c>
      <c r="B700" s="7" t="s">
        <v>339</v>
      </c>
      <c r="C700" s="72"/>
      <c r="D700" s="72"/>
      <c r="E700" s="72"/>
      <c r="F700" s="72"/>
      <c r="G700" s="59">
        <f>G701</f>
        <v>307</v>
      </c>
      <c r="H700" s="222"/>
    </row>
    <row r="701" spans="1:8" s="222" customFormat="1" ht="64.5" customHeight="1" x14ac:dyDescent="0.25">
      <c r="A701" s="34" t="s">
        <v>1189</v>
      </c>
      <c r="B701" s="7" t="s">
        <v>1023</v>
      </c>
      <c r="C701" s="7"/>
      <c r="D701" s="7"/>
      <c r="E701" s="72"/>
      <c r="F701" s="72"/>
      <c r="G701" s="59">
        <f>G702+G708+G719+G725</f>
        <v>307</v>
      </c>
    </row>
    <row r="702" spans="1:8" s="222" customFormat="1" ht="18.75" customHeight="1" x14ac:dyDescent="0.25">
      <c r="A702" s="31" t="s">
        <v>405</v>
      </c>
      <c r="B702" s="40" t="s">
        <v>1023</v>
      </c>
      <c r="C702" s="40" t="s">
        <v>249</v>
      </c>
      <c r="D702" s="40"/>
      <c r="E702" s="72"/>
      <c r="F702" s="72"/>
      <c r="G702" s="10">
        <f>G703</f>
        <v>57</v>
      </c>
    </row>
    <row r="703" spans="1:8" s="222" customFormat="1" ht="37.5" customHeight="1" x14ac:dyDescent="0.25">
      <c r="A703" s="31" t="s">
        <v>584</v>
      </c>
      <c r="B703" s="40" t="s">
        <v>1023</v>
      </c>
      <c r="C703" s="40" t="s">
        <v>249</v>
      </c>
      <c r="D703" s="40" t="s">
        <v>249</v>
      </c>
      <c r="E703" s="72"/>
      <c r="F703" s="72"/>
      <c r="G703" s="10">
        <f>G704</f>
        <v>57</v>
      </c>
    </row>
    <row r="704" spans="1:8" s="222" customFormat="1" ht="51.75" customHeight="1" x14ac:dyDescent="0.25">
      <c r="A704" s="31" t="s">
        <v>1273</v>
      </c>
      <c r="B704" s="20" t="s">
        <v>1190</v>
      </c>
      <c r="C704" s="40" t="s">
        <v>249</v>
      </c>
      <c r="D704" s="40" t="s">
        <v>249</v>
      </c>
      <c r="E704" s="72"/>
      <c r="F704" s="72"/>
      <c r="G704" s="10">
        <f>G705</f>
        <v>57</v>
      </c>
    </row>
    <row r="705" spans="1:8" s="222" customFormat="1" ht="35.450000000000003" customHeight="1" x14ac:dyDescent="0.25">
      <c r="A705" s="25" t="s">
        <v>146</v>
      </c>
      <c r="B705" s="20" t="s">
        <v>1190</v>
      </c>
      <c r="C705" s="40" t="s">
        <v>249</v>
      </c>
      <c r="D705" s="40" t="s">
        <v>249</v>
      </c>
      <c r="E705" s="2">
        <v>200</v>
      </c>
      <c r="F705" s="72"/>
      <c r="G705" s="10">
        <f>G706</f>
        <v>57</v>
      </c>
    </row>
    <row r="706" spans="1:8" s="222" customFormat="1" ht="34.5" customHeight="1" x14ac:dyDescent="0.25">
      <c r="A706" s="25" t="s">
        <v>148</v>
      </c>
      <c r="B706" s="20" t="s">
        <v>1190</v>
      </c>
      <c r="C706" s="40" t="s">
        <v>249</v>
      </c>
      <c r="D706" s="40" t="s">
        <v>249</v>
      </c>
      <c r="E706" s="2">
        <v>240</v>
      </c>
      <c r="F706" s="72"/>
      <c r="G706" s="10">
        <f>G707</f>
        <v>57</v>
      </c>
    </row>
    <row r="707" spans="1:8" s="222" customFormat="1" ht="52.5" customHeight="1" x14ac:dyDescent="0.25">
      <c r="A707" s="31" t="s">
        <v>1308</v>
      </c>
      <c r="B707" s="20" t="s">
        <v>1190</v>
      </c>
      <c r="C707" s="40" t="s">
        <v>249</v>
      </c>
      <c r="D707" s="40" t="s">
        <v>249</v>
      </c>
      <c r="E707" s="2">
        <v>240</v>
      </c>
      <c r="F707" s="2">
        <v>908</v>
      </c>
      <c r="G707" s="10">
        <f>'Пр.4 ведом.20'!G1093</f>
        <v>57</v>
      </c>
    </row>
    <row r="708" spans="1:8" s="1" customFormat="1" ht="15.75" x14ac:dyDescent="0.25">
      <c r="A708" s="25" t="s">
        <v>278</v>
      </c>
      <c r="B708" s="40" t="s">
        <v>1023</v>
      </c>
      <c r="C708" s="40" t="s">
        <v>279</v>
      </c>
      <c r="D708" s="73"/>
      <c r="E708" s="73"/>
      <c r="F708" s="73"/>
      <c r="G708" s="10">
        <f>G709+G714</f>
        <v>150</v>
      </c>
      <c r="H708" s="222"/>
    </row>
    <row r="709" spans="1:8" s="1" customFormat="1" ht="15.75" hidden="1" x14ac:dyDescent="0.25">
      <c r="A709" s="25" t="s">
        <v>419</v>
      </c>
      <c r="B709" s="40" t="s">
        <v>1023</v>
      </c>
      <c r="C709" s="40" t="s">
        <v>279</v>
      </c>
      <c r="D709" s="40" t="s">
        <v>133</v>
      </c>
      <c r="E709" s="73"/>
      <c r="F709" s="73"/>
      <c r="G709" s="10">
        <f>G710</f>
        <v>0</v>
      </c>
      <c r="H709" s="222"/>
    </row>
    <row r="710" spans="1:8" s="1" customFormat="1" ht="47.25" hidden="1" x14ac:dyDescent="0.25">
      <c r="A710" s="31" t="s">
        <v>1274</v>
      </c>
      <c r="B710" s="20" t="s">
        <v>1024</v>
      </c>
      <c r="C710" s="40" t="s">
        <v>279</v>
      </c>
      <c r="D710" s="40" t="s">
        <v>133</v>
      </c>
      <c r="E710" s="72"/>
      <c r="F710" s="72"/>
      <c r="G710" s="10">
        <f>G711</f>
        <v>0</v>
      </c>
      <c r="H710" s="222"/>
    </row>
    <row r="711" spans="1:8" s="1" customFormat="1" ht="31.5" hidden="1" x14ac:dyDescent="0.25">
      <c r="A711" s="31" t="s">
        <v>287</v>
      </c>
      <c r="B711" s="20" t="s">
        <v>1024</v>
      </c>
      <c r="C711" s="40" t="s">
        <v>279</v>
      </c>
      <c r="D711" s="40" t="s">
        <v>133</v>
      </c>
      <c r="E711" s="40" t="s">
        <v>288</v>
      </c>
      <c r="F711" s="72"/>
      <c r="G711" s="10">
        <f>G712</f>
        <v>0</v>
      </c>
      <c r="H711" s="222"/>
    </row>
    <row r="712" spans="1:8" s="1" customFormat="1" ht="15.75" hidden="1" x14ac:dyDescent="0.25">
      <c r="A712" s="31" t="s">
        <v>289</v>
      </c>
      <c r="B712" s="20" t="s">
        <v>1024</v>
      </c>
      <c r="C712" s="40" t="s">
        <v>279</v>
      </c>
      <c r="D712" s="40" t="s">
        <v>133</v>
      </c>
      <c r="E712" s="40" t="s">
        <v>290</v>
      </c>
      <c r="F712" s="72"/>
      <c r="G712" s="10">
        <f>'Пр.4 ведом.20'!G617</f>
        <v>0</v>
      </c>
      <c r="H712" s="222"/>
    </row>
    <row r="713" spans="1:8" s="222" customFormat="1" ht="31.5" hidden="1" x14ac:dyDescent="0.25">
      <c r="A713" s="31" t="s">
        <v>418</v>
      </c>
      <c r="B713" s="20" t="s">
        <v>1024</v>
      </c>
      <c r="C713" s="40" t="s">
        <v>279</v>
      </c>
      <c r="D713" s="40" t="s">
        <v>133</v>
      </c>
      <c r="E713" s="40" t="s">
        <v>290</v>
      </c>
      <c r="F713" s="2">
        <v>906</v>
      </c>
      <c r="G713" s="10">
        <f>G712</f>
        <v>0</v>
      </c>
    </row>
    <row r="714" spans="1:8" s="1" customFormat="1" ht="15.75" x14ac:dyDescent="0.25">
      <c r="A714" s="29" t="s">
        <v>440</v>
      </c>
      <c r="B714" s="40" t="s">
        <v>1023</v>
      </c>
      <c r="C714" s="40" t="s">
        <v>279</v>
      </c>
      <c r="D714" s="40" t="s">
        <v>228</v>
      </c>
      <c r="E714" s="40"/>
      <c r="F714" s="73"/>
      <c r="G714" s="10">
        <f>G715</f>
        <v>150</v>
      </c>
      <c r="H714" s="222"/>
    </row>
    <row r="715" spans="1:8" s="1" customFormat="1" ht="47.25" x14ac:dyDescent="0.25">
      <c r="A715" s="31" t="s">
        <v>1274</v>
      </c>
      <c r="B715" s="20" t="s">
        <v>1024</v>
      </c>
      <c r="C715" s="40" t="s">
        <v>279</v>
      </c>
      <c r="D715" s="40" t="s">
        <v>228</v>
      </c>
      <c r="E715" s="40"/>
      <c r="F715" s="72"/>
      <c r="G715" s="10">
        <f>G716</f>
        <v>150</v>
      </c>
      <c r="H715" s="222"/>
    </row>
    <row r="716" spans="1:8" s="1" customFormat="1" ht="31.5" x14ac:dyDescent="0.25">
      <c r="A716" s="31" t="s">
        <v>287</v>
      </c>
      <c r="B716" s="20" t="s">
        <v>1024</v>
      </c>
      <c r="C716" s="40" t="s">
        <v>279</v>
      </c>
      <c r="D716" s="40" t="s">
        <v>228</v>
      </c>
      <c r="E716" s="40" t="s">
        <v>288</v>
      </c>
      <c r="F716" s="72"/>
      <c r="G716" s="10">
        <f>G717</f>
        <v>150</v>
      </c>
      <c r="H716" s="222"/>
    </row>
    <row r="717" spans="1:8" s="1" customFormat="1" ht="15.75" x14ac:dyDescent="0.25">
      <c r="A717" s="31" t="s">
        <v>289</v>
      </c>
      <c r="B717" s="20" t="s">
        <v>1024</v>
      </c>
      <c r="C717" s="40" t="s">
        <v>279</v>
      </c>
      <c r="D717" s="40" t="s">
        <v>228</v>
      </c>
      <c r="E717" s="40" t="s">
        <v>290</v>
      </c>
      <c r="F717" s="72"/>
      <c r="G717" s="10">
        <f>'Пр.4 ведом.20'!G701</f>
        <v>150</v>
      </c>
      <c r="H717" s="222"/>
    </row>
    <row r="718" spans="1:8" s="1" customFormat="1" ht="31.5" x14ac:dyDescent="0.25">
      <c r="A718" s="31" t="s">
        <v>418</v>
      </c>
      <c r="B718" s="20" t="s">
        <v>1024</v>
      </c>
      <c r="C718" s="40" t="s">
        <v>279</v>
      </c>
      <c r="D718" s="40" t="s">
        <v>228</v>
      </c>
      <c r="E718" s="40" t="s">
        <v>290</v>
      </c>
      <c r="F718" s="2">
        <v>906</v>
      </c>
      <c r="G718" s="10">
        <f>G717</f>
        <v>150</v>
      </c>
      <c r="H718" s="222"/>
    </row>
    <row r="719" spans="1:8" s="222" customFormat="1" ht="15.75" x14ac:dyDescent="0.25">
      <c r="A719" s="31" t="s">
        <v>313</v>
      </c>
      <c r="B719" s="20" t="s">
        <v>1023</v>
      </c>
      <c r="C719" s="40" t="s">
        <v>314</v>
      </c>
      <c r="D719" s="40"/>
      <c r="E719" s="40"/>
      <c r="F719" s="2"/>
      <c r="G719" s="10">
        <f>G720</f>
        <v>100</v>
      </c>
    </row>
    <row r="720" spans="1:8" s="222" customFormat="1" ht="15.75" x14ac:dyDescent="0.25">
      <c r="A720" s="31" t="s">
        <v>315</v>
      </c>
      <c r="B720" s="20" t="s">
        <v>1023</v>
      </c>
      <c r="C720" s="40" t="s">
        <v>314</v>
      </c>
      <c r="D720" s="40" t="s">
        <v>133</v>
      </c>
      <c r="E720" s="40"/>
      <c r="F720" s="2"/>
      <c r="G720" s="10">
        <f>G721</f>
        <v>100</v>
      </c>
    </row>
    <row r="721" spans="1:8" s="222" customFormat="1" ht="47.25" x14ac:dyDescent="0.25">
      <c r="A721" s="31" t="s">
        <v>1273</v>
      </c>
      <c r="B721" s="20" t="s">
        <v>1190</v>
      </c>
      <c r="C721" s="40" t="s">
        <v>314</v>
      </c>
      <c r="D721" s="40" t="s">
        <v>133</v>
      </c>
      <c r="E721" s="40"/>
      <c r="F721" s="2"/>
      <c r="G721" s="10">
        <f>G722</f>
        <v>100</v>
      </c>
    </row>
    <row r="722" spans="1:8" s="222" customFormat="1" ht="31.5" x14ac:dyDescent="0.25">
      <c r="A722" s="25" t="s">
        <v>146</v>
      </c>
      <c r="B722" s="20" t="s">
        <v>1190</v>
      </c>
      <c r="C722" s="40" t="s">
        <v>314</v>
      </c>
      <c r="D722" s="40" t="s">
        <v>133</v>
      </c>
      <c r="E722" s="40" t="s">
        <v>147</v>
      </c>
      <c r="F722" s="2"/>
      <c r="G722" s="10">
        <f>G723</f>
        <v>100</v>
      </c>
    </row>
    <row r="723" spans="1:8" s="222" customFormat="1" ht="31.5" x14ac:dyDescent="0.25">
      <c r="A723" s="25" t="s">
        <v>148</v>
      </c>
      <c r="B723" s="20" t="s">
        <v>1190</v>
      </c>
      <c r="C723" s="40" t="s">
        <v>314</v>
      </c>
      <c r="D723" s="40" t="s">
        <v>133</v>
      </c>
      <c r="E723" s="40" t="s">
        <v>149</v>
      </c>
      <c r="F723" s="2"/>
      <c r="G723" s="10">
        <f>'Пр.4 ведом.20'!G408</f>
        <v>100</v>
      </c>
    </row>
    <row r="724" spans="1:8" s="222" customFormat="1" ht="47.25" x14ac:dyDescent="0.25">
      <c r="A724" s="25" t="s">
        <v>276</v>
      </c>
      <c r="B724" s="20" t="s">
        <v>1190</v>
      </c>
      <c r="C724" s="40" t="s">
        <v>314</v>
      </c>
      <c r="D724" s="40" t="s">
        <v>133</v>
      </c>
      <c r="E724" s="40" t="s">
        <v>149</v>
      </c>
      <c r="F724" s="2">
        <v>903</v>
      </c>
      <c r="G724" s="10">
        <f>G723</f>
        <v>100</v>
      </c>
    </row>
    <row r="725" spans="1:8" s="1" customFormat="1" ht="15.75" hidden="1" customHeight="1" x14ac:dyDescent="0.25">
      <c r="A725" s="73" t="s">
        <v>505</v>
      </c>
      <c r="B725" s="40" t="s">
        <v>1023</v>
      </c>
      <c r="C725" s="40" t="s">
        <v>506</v>
      </c>
      <c r="D725" s="73"/>
      <c r="E725" s="73"/>
      <c r="F725" s="73"/>
      <c r="G725" s="10">
        <f t="shared" ref="G725" si="76">G726</f>
        <v>0</v>
      </c>
      <c r="H725" s="222"/>
    </row>
    <row r="726" spans="1:8" s="1" customFormat="1" ht="15.75" hidden="1" customHeight="1" x14ac:dyDescent="0.25">
      <c r="A726" s="73" t="s">
        <v>507</v>
      </c>
      <c r="B726" s="40" t="s">
        <v>1023</v>
      </c>
      <c r="C726" s="40" t="s">
        <v>506</v>
      </c>
      <c r="D726" s="40" t="s">
        <v>133</v>
      </c>
      <c r="E726" s="73"/>
      <c r="F726" s="73"/>
      <c r="G726" s="10">
        <f t="shared" ref="G726" si="77">G727</f>
        <v>0</v>
      </c>
      <c r="H726" s="222"/>
    </row>
    <row r="727" spans="1:8" s="1" customFormat="1" ht="47.25" hidden="1" customHeight="1" x14ac:dyDescent="0.25">
      <c r="A727" s="31" t="s">
        <v>1274</v>
      </c>
      <c r="B727" s="40" t="s">
        <v>1024</v>
      </c>
      <c r="C727" s="40" t="s">
        <v>506</v>
      </c>
      <c r="D727" s="40" t="s">
        <v>133</v>
      </c>
      <c r="E727" s="73"/>
      <c r="F727" s="73"/>
      <c r="G727" s="10">
        <f>G728</f>
        <v>0</v>
      </c>
      <c r="H727" s="222"/>
    </row>
    <row r="728" spans="1:8" s="1" customFormat="1" ht="31.7" hidden="1" customHeight="1" x14ac:dyDescent="0.25">
      <c r="A728" s="25" t="s">
        <v>287</v>
      </c>
      <c r="B728" s="40" t="s">
        <v>1024</v>
      </c>
      <c r="C728" s="40" t="s">
        <v>506</v>
      </c>
      <c r="D728" s="40" t="s">
        <v>133</v>
      </c>
      <c r="E728" s="40" t="s">
        <v>288</v>
      </c>
      <c r="F728" s="73"/>
      <c r="G728" s="10">
        <f>G729</f>
        <v>0</v>
      </c>
      <c r="H728" s="222"/>
    </row>
    <row r="729" spans="1:8" s="1" customFormat="1" ht="15.75" hidden="1" customHeight="1" x14ac:dyDescent="0.25">
      <c r="A729" s="25" t="s">
        <v>289</v>
      </c>
      <c r="B729" s="40" t="s">
        <v>1024</v>
      </c>
      <c r="C729" s="40" t="s">
        <v>506</v>
      </c>
      <c r="D729" s="40" t="s">
        <v>133</v>
      </c>
      <c r="E729" s="40" t="s">
        <v>290</v>
      </c>
      <c r="F729" s="73"/>
      <c r="G729" s="10"/>
      <c r="H729" s="222"/>
    </row>
    <row r="730" spans="1:8" s="1" customFormat="1" ht="31.7" hidden="1" customHeight="1" x14ac:dyDescent="0.25">
      <c r="A730" s="45" t="s">
        <v>495</v>
      </c>
      <c r="B730" s="40" t="s">
        <v>1024</v>
      </c>
      <c r="C730" s="40" t="s">
        <v>506</v>
      </c>
      <c r="D730" s="40" t="s">
        <v>133</v>
      </c>
      <c r="E730" s="40" t="s">
        <v>290</v>
      </c>
      <c r="F730" s="2">
        <v>907</v>
      </c>
      <c r="G730" s="10">
        <f>G729</f>
        <v>0</v>
      </c>
      <c r="H730" s="222"/>
    </row>
    <row r="731" spans="1:8" ht="47.25" x14ac:dyDescent="0.25">
      <c r="A731" s="41" t="s">
        <v>557</v>
      </c>
      <c r="B731" s="7" t="s">
        <v>558</v>
      </c>
      <c r="C731" s="2"/>
      <c r="D731" s="2"/>
      <c r="E731" s="2"/>
      <c r="F731" s="2"/>
      <c r="G731" s="59">
        <f t="shared" ref="G731" si="78">G732+G754</f>
        <v>3068.3</v>
      </c>
      <c r="H731" s="222">
        <v>4921.6000000000004</v>
      </c>
    </row>
    <row r="732" spans="1:8" ht="47.25" x14ac:dyDescent="0.25">
      <c r="A732" s="41" t="s">
        <v>559</v>
      </c>
      <c r="B732" s="7" t="s">
        <v>560</v>
      </c>
      <c r="C732" s="7"/>
      <c r="D732" s="7"/>
      <c r="E732" s="3"/>
      <c r="F732" s="3"/>
      <c r="G732" s="59">
        <f t="shared" ref="G732" si="79">G734</f>
        <v>763.8</v>
      </c>
    </row>
    <row r="733" spans="1:8" s="221" customFormat="1" ht="31.5" x14ac:dyDescent="0.25">
      <c r="A733" s="23" t="s">
        <v>1120</v>
      </c>
      <c r="B733" s="7" t="s">
        <v>1118</v>
      </c>
      <c r="C733" s="7"/>
      <c r="D733" s="7"/>
      <c r="E733" s="3"/>
      <c r="F733" s="3"/>
      <c r="G733" s="59">
        <f>G734</f>
        <v>763.8</v>
      </c>
      <c r="H733" s="222"/>
    </row>
    <row r="734" spans="1:8" ht="15.75" x14ac:dyDescent="0.25">
      <c r="A734" s="73" t="s">
        <v>405</v>
      </c>
      <c r="B734" s="40" t="s">
        <v>1118</v>
      </c>
      <c r="C734" s="40" t="s">
        <v>249</v>
      </c>
      <c r="D734" s="40"/>
      <c r="E734" s="2"/>
      <c r="F734" s="2"/>
      <c r="G734" s="10">
        <f t="shared" ref="G734" si="80">G735</f>
        <v>763.8</v>
      </c>
    </row>
    <row r="735" spans="1:8" ht="15.75" x14ac:dyDescent="0.25">
      <c r="A735" s="73" t="s">
        <v>556</v>
      </c>
      <c r="B735" s="40" t="s">
        <v>1118</v>
      </c>
      <c r="C735" s="40" t="s">
        <v>249</v>
      </c>
      <c r="D735" s="40" t="s">
        <v>230</v>
      </c>
      <c r="E735" s="2"/>
      <c r="F735" s="2"/>
      <c r="G735" s="10">
        <f t="shared" ref="G735" si="81">G736+G740+G750</f>
        <v>763.8</v>
      </c>
    </row>
    <row r="736" spans="1:8" ht="15.75" customHeight="1" x14ac:dyDescent="0.25">
      <c r="A736" s="25" t="s">
        <v>561</v>
      </c>
      <c r="B736" s="20" t="s">
        <v>1119</v>
      </c>
      <c r="C736" s="40" t="s">
        <v>249</v>
      </c>
      <c r="D736" s="40" t="s">
        <v>230</v>
      </c>
      <c r="E736" s="2"/>
      <c r="F736" s="2"/>
      <c r="G736" s="10">
        <f t="shared" ref="G736:G737" si="82">G737</f>
        <v>90</v>
      </c>
    </row>
    <row r="737" spans="1:8" ht="41.25" customHeight="1" x14ac:dyDescent="0.25">
      <c r="A737" s="25" t="s">
        <v>146</v>
      </c>
      <c r="B737" s="20" t="s">
        <v>1119</v>
      </c>
      <c r="C737" s="40" t="s">
        <v>249</v>
      </c>
      <c r="D737" s="40" t="s">
        <v>230</v>
      </c>
      <c r="E737" s="2">
        <v>200</v>
      </c>
      <c r="F737" s="2"/>
      <c r="G737" s="10">
        <f t="shared" si="82"/>
        <v>90</v>
      </c>
    </row>
    <row r="738" spans="1:8" ht="31.7" customHeight="1" x14ac:dyDescent="0.25">
      <c r="A738" s="25" t="s">
        <v>148</v>
      </c>
      <c r="B738" s="20" t="s">
        <v>1119</v>
      </c>
      <c r="C738" s="40" t="s">
        <v>249</v>
      </c>
      <c r="D738" s="40" t="s">
        <v>230</v>
      </c>
      <c r="E738" s="2">
        <v>240</v>
      </c>
      <c r="F738" s="2"/>
      <c r="G738" s="10">
        <f>'Пр.4 ведом.20'!G1019</f>
        <v>90</v>
      </c>
    </row>
    <row r="739" spans="1:8" s="221" customFormat="1" ht="31.7" customHeight="1" x14ac:dyDescent="0.25">
      <c r="A739" s="45" t="s">
        <v>638</v>
      </c>
      <c r="B739" s="20" t="s">
        <v>1119</v>
      </c>
      <c r="C739" s="40" t="s">
        <v>249</v>
      </c>
      <c r="D739" s="40" t="s">
        <v>230</v>
      </c>
      <c r="E739" s="2">
        <v>240</v>
      </c>
      <c r="F739" s="2">
        <v>908</v>
      </c>
      <c r="G739" s="10">
        <f>G738</f>
        <v>90</v>
      </c>
      <c r="H739" s="222"/>
    </row>
    <row r="740" spans="1:8" ht="17.45" customHeight="1" x14ac:dyDescent="0.25">
      <c r="A740" s="25" t="s">
        <v>563</v>
      </c>
      <c r="B740" s="20" t="s">
        <v>1121</v>
      </c>
      <c r="C740" s="40" t="s">
        <v>249</v>
      </c>
      <c r="D740" s="40" t="s">
        <v>230</v>
      </c>
      <c r="E740" s="2"/>
      <c r="F740" s="2"/>
      <c r="G740" s="10">
        <f>G741+G744+G747</f>
        <v>657.8</v>
      </c>
    </row>
    <row r="741" spans="1:8" ht="31.5" x14ac:dyDescent="0.25">
      <c r="A741" s="25" t="s">
        <v>146</v>
      </c>
      <c r="B741" s="20" t="s">
        <v>1121</v>
      </c>
      <c r="C741" s="40" t="s">
        <v>249</v>
      </c>
      <c r="D741" s="40" t="s">
        <v>230</v>
      </c>
      <c r="E741" s="2">
        <v>200</v>
      </c>
      <c r="F741" s="2"/>
      <c r="G741" s="10">
        <f t="shared" ref="G741" si="83">G742</f>
        <v>657.8</v>
      </c>
    </row>
    <row r="742" spans="1:8" ht="31.5" x14ac:dyDescent="0.25">
      <c r="A742" s="25" t="s">
        <v>148</v>
      </c>
      <c r="B742" s="20" t="s">
        <v>1121</v>
      </c>
      <c r="C742" s="40" t="s">
        <v>249</v>
      </c>
      <c r="D742" s="40" t="s">
        <v>230</v>
      </c>
      <c r="E742" s="2">
        <v>240</v>
      </c>
      <c r="F742" s="2"/>
      <c r="G742" s="10">
        <f>'Пр.4 ведом.20'!G1022</f>
        <v>657.8</v>
      </c>
    </row>
    <row r="743" spans="1:8" s="221" customFormat="1" ht="31.5" x14ac:dyDescent="0.25">
      <c r="A743" s="45" t="s">
        <v>638</v>
      </c>
      <c r="B743" s="20" t="s">
        <v>1121</v>
      </c>
      <c r="C743" s="40" t="s">
        <v>249</v>
      </c>
      <c r="D743" s="40" t="s">
        <v>230</v>
      </c>
      <c r="E743" s="2">
        <v>240</v>
      </c>
      <c r="F743" s="2">
        <v>908</v>
      </c>
      <c r="G743" s="10">
        <f>G742</f>
        <v>657.8</v>
      </c>
      <c r="H743" s="222"/>
    </row>
    <row r="744" spans="1:8" ht="15.75" hidden="1" x14ac:dyDescent="0.25">
      <c r="A744" s="25" t="s">
        <v>150</v>
      </c>
      <c r="B744" s="20" t="s">
        <v>1121</v>
      </c>
      <c r="C744" s="40" t="s">
        <v>249</v>
      </c>
      <c r="D744" s="40" t="s">
        <v>230</v>
      </c>
      <c r="E744" s="2">
        <v>800</v>
      </c>
      <c r="F744" s="2"/>
      <c r="G744" s="10">
        <f>G745</f>
        <v>0</v>
      </c>
    </row>
    <row r="745" spans="1:8" s="221" customFormat="1" ht="47.25" hidden="1" x14ac:dyDescent="0.25">
      <c r="A745" s="25" t="s">
        <v>880</v>
      </c>
      <c r="B745" s="20" t="s">
        <v>1121</v>
      </c>
      <c r="C745" s="40" t="s">
        <v>249</v>
      </c>
      <c r="D745" s="40" t="s">
        <v>230</v>
      </c>
      <c r="E745" s="2">
        <v>830</v>
      </c>
      <c r="F745" s="2"/>
      <c r="G745" s="10">
        <f>'Пр.3 Рд,пр, ЦС,ВР 20'!F423</f>
        <v>0</v>
      </c>
      <c r="H745" s="222"/>
    </row>
    <row r="746" spans="1:8" s="221" customFormat="1" ht="31.5" hidden="1" x14ac:dyDescent="0.25">
      <c r="A746" s="45" t="s">
        <v>638</v>
      </c>
      <c r="B746" s="20" t="s">
        <v>1121</v>
      </c>
      <c r="C746" s="40" t="s">
        <v>249</v>
      </c>
      <c r="D746" s="40" t="s">
        <v>230</v>
      </c>
      <c r="E746" s="2">
        <v>830</v>
      </c>
      <c r="F746" s="2">
        <v>908</v>
      </c>
      <c r="G746" s="10">
        <f>G745</f>
        <v>0</v>
      </c>
      <c r="H746" s="222"/>
    </row>
    <row r="747" spans="1:8" s="221" customFormat="1" ht="15.75" hidden="1" x14ac:dyDescent="0.25">
      <c r="A747" s="25" t="s">
        <v>150</v>
      </c>
      <c r="B747" s="20" t="s">
        <v>1121</v>
      </c>
      <c r="C747" s="40" t="s">
        <v>249</v>
      </c>
      <c r="D747" s="40" t="s">
        <v>230</v>
      </c>
      <c r="E747" s="2">
        <v>800</v>
      </c>
      <c r="F747" s="2"/>
      <c r="G747" s="10">
        <f>G748</f>
        <v>0</v>
      </c>
      <c r="H747" s="222"/>
    </row>
    <row r="748" spans="1:8" ht="15.75" hidden="1" x14ac:dyDescent="0.25">
      <c r="A748" s="25" t="s">
        <v>1270</v>
      </c>
      <c r="B748" s="20" t="s">
        <v>1121</v>
      </c>
      <c r="C748" s="40" t="s">
        <v>249</v>
      </c>
      <c r="D748" s="40" t="s">
        <v>230</v>
      </c>
      <c r="E748" s="2">
        <v>850</v>
      </c>
      <c r="F748" s="2"/>
      <c r="G748" s="10">
        <f>'Пр.3 Рд,пр, ЦС,ВР 20'!F424</f>
        <v>0</v>
      </c>
    </row>
    <row r="749" spans="1:8" s="221" customFormat="1" ht="31.5" hidden="1" x14ac:dyDescent="0.25">
      <c r="A749" s="45" t="s">
        <v>638</v>
      </c>
      <c r="B749" s="20" t="s">
        <v>1121</v>
      </c>
      <c r="C749" s="40" t="s">
        <v>249</v>
      </c>
      <c r="D749" s="40" t="s">
        <v>230</v>
      </c>
      <c r="E749" s="2">
        <v>850</v>
      </c>
      <c r="F749" s="2">
        <v>908</v>
      </c>
      <c r="G749" s="10">
        <f>G748</f>
        <v>0</v>
      </c>
      <c r="H749" s="222"/>
    </row>
    <row r="750" spans="1:8" ht="15.75" x14ac:dyDescent="0.25">
      <c r="A750" s="25" t="s">
        <v>565</v>
      </c>
      <c r="B750" s="20" t="s">
        <v>1122</v>
      </c>
      <c r="C750" s="40" t="s">
        <v>249</v>
      </c>
      <c r="D750" s="40" t="s">
        <v>230</v>
      </c>
      <c r="E750" s="2"/>
      <c r="F750" s="2"/>
      <c r="G750" s="10">
        <f t="shared" ref="G750" si="84">G751</f>
        <v>16</v>
      </c>
    </row>
    <row r="751" spans="1:8" ht="31.5" x14ac:dyDescent="0.25">
      <c r="A751" s="25" t="s">
        <v>146</v>
      </c>
      <c r="B751" s="20" t="s">
        <v>1122</v>
      </c>
      <c r="C751" s="40" t="s">
        <v>249</v>
      </c>
      <c r="D751" s="40" t="s">
        <v>230</v>
      </c>
      <c r="E751" s="2">
        <v>200</v>
      </c>
      <c r="F751" s="2"/>
      <c r="G751" s="10">
        <f>G752</f>
        <v>16</v>
      </c>
    </row>
    <row r="752" spans="1:8" ht="31.5" x14ac:dyDescent="0.25">
      <c r="A752" s="25" t="s">
        <v>148</v>
      </c>
      <c r="B752" s="20" t="s">
        <v>1122</v>
      </c>
      <c r="C752" s="40" t="s">
        <v>249</v>
      </c>
      <c r="D752" s="40" t="s">
        <v>230</v>
      </c>
      <c r="E752" s="2">
        <v>240</v>
      </c>
      <c r="F752" s="2"/>
      <c r="G752" s="10">
        <f>'Пр.4 ведом.20'!G1028</f>
        <v>16</v>
      </c>
    </row>
    <row r="753" spans="1:8" ht="31.5" x14ac:dyDescent="0.25">
      <c r="A753" s="45" t="s">
        <v>638</v>
      </c>
      <c r="B753" s="20" t="s">
        <v>1122</v>
      </c>
      <c r="C753" s="40" t="s">
        <v>249</v>
      </c>
      <c r="D753" s="40" t="s">
        <v>230</v>
      </c>
      <c r="E753" s="2">
        <v>240</v>
      </c>
      <c r="F753" s="2">
        <v>908</v>
      </c>
      <c r="G753" s="10">
        <f>G752</f>
        <v>16</v>
      </c>
    </row>
    <row r="754" spans="1:8" ht="47.25" x14ac:dyDescent="0.25">
      <c r="A754" s="23" t="s">
        <v>567</v>
      </c>
      <c r="B754" s="7" t="s">
        <v>568</v>
      </c>
      <c r="C754" s="7"/>
      <c r="D754" s="7"/>
      <c r="E754" s="3"/>
      <c r="F754" s="3"/>
      <c r="G754" s="59">
        <f>G756+G777</f>
        <v>2304.5</v>
      </c>
    </row>
    <row r="755" spans="1:8" s="221" customFormat="1" ht="31.5" x14ac:dyDescent="0.25">
      <c r="A755" s="23" t="s">
        <v>1138</v>
      </c>
      <c r="B755" s="7" t="s">
        <v>1123</v>
      </c>
      <c r="C755" s="7"/>
      <c r="D755" s="7"/>
      <c r="E755" s="3"/>
      <c r="F755" s="3"/>
      <c r="G755" s="59">
        <f>G756</f>
        <v>390</v>
      </c>
      <c r="H755" s="222"/>
    </row>
    <row r="756" spans="1:8" ht="15.75" x14ac:dyDescent="0.25">
      <c r="A756" s="73" t="s">
        <v>405</v>
      </c>
      <c r="B756" s="40" t="s">
        <v>1123</v>
      </c>
      <c r="C756" s="40" t="s">
        <v>249</v>
      </c>
      <c r="D756" s="40"/>
      <c r="E756" s="2"/>
      <c r="F756" s="2"/>
      <c r="G756" s="10">
        <f t="shared" ref="G756" si="85">G757</f>
        <v>390</v>
      </c>
    </row>
    <row r="757" spans="1:8" ht="15.75" x14ac:dyDescent="0.25">
      <c r="A757" s="73" t="s">
        <v>556</v>
      </c>
      <c r="B757" s="40" t="s">
        <v>1123</v>
      </c>
      <c r="C757" s="40" t="s">
        <v>249</v>
      </c>
      <c r="D757" s="40" t="s">
        <v>230</v>
      </c>
      <c r="E757" s="2"/>
      <c r="F757" s="2"/>
      <c r="G757" s="10">
        <f>G773+G758+G762+G769</f>
        <v>390</v>
      </c>
    </row>
    <row r="758" spans="1:8" ht="15.75" x14ac:dyDescent="0.25">
      <c r="A758" s="25" t="s">
        <v>570</v>
      </c>
      <c r="B758" s="20" t="s">
        <v>1125</v>
      </c>
      <c r="C758" s="40" t="s">
        <v>249</v>
      </c>
      <c r="D758" s="40" t="s">
        <v>230</v>
      </c>
      <c r="E758" s="2"/>
      <c r="F758" s="2"/>
      <c r="G758" s="10">
        <f t="shared" ref="G758:G759" si="86">G759</f>
        <v>4</v>
      </c>
    </row>
    <row r="759" spans="1:8" ht="31.5" x14ac:dyDescent="0.25">
      <c r="A759" s="25" t="s">
        <v>146</v>
      </c>
      <c r="B759" s="20" t="s">
        <v>1125</v>
      </c>
      <c r="C759" s="40" t="s">
        <v>249</v>
      </c>
      <c r="D759" s="40" t="s">
        <v>230</v>
      </c>
      <c r="E759" s="2">
        <v>200</v>
      </c>
      <c r="F759" s="2"/>
      <c r="G759" s="10">
        <f t="shared" si="86"/>
        <v>4</v>
      </c>
    </row>
    <row r="760" spans="1:8" ht="31.5" x14ac:dyDescent="0.25">
      <c r="A760" s="25" t="s">
        <v>148</v>
      </c>
      <c r="B760" s="20" t="s">
        <v>1125</v>
      </c>
      <c r="C760" s="40" t="s">
        <v>249</v>
      </c>
      <c r="D760" s="40" t="s">
        <v>230</v>
      </c>
      <c r="E760" s="2">
        <v>240</v>
      </c>
      <c r="F760" s="2"/>
      <c r="G760" s="10">
        <f>'Пр.4 ведом.20'!G1033</f>
        <v>4</v>
      </c>
    </row>
    <row r="761" spans="1:8" s="221" customFormat="1" ht="31.5" x14ac:dyDescent="0.25">
      <c r="A761" s="45" t="s">
        <v>638</v>
      </c>
      <c r="B761" s="20" t="s">
        <v>1125</v>
      </c>
      <c r="C761" s="40" t="s">
        <v>249</v>
      </c>
      <c r="D761" s="40" t="s">
        <v>230</v>
      </c>
      <c r="E761" s="2">
        <v>240</v>
      </c>
      <c r="F761" s="2">
        <v>908</v>
      </c>
      <c r="G761" s="10">
        <f>G760</f>
        <v>4</v>
      </c>
      <c r="H761" s="222"/>
    </row>
    <row r="762" spans="1:8" ht="47.25" x14ac:dyDescent="0.25">
      <c r="A762" s="45" t="s">
        <v>572</v>
      </c>
      <c r="B762" s="20" t="s">
        <v>1126</v>
      </c>
      <c r="C762" s="40" t="s">
        <v>249</v>
      </c>
      <c r="D762" s="40" t="s">
        <v>230</v>
      </c>
      <c r="E762" s="2"/>
      <c r="F762" s="2"/>
      <c r="G762" s="10">
        <f>G763+G766</f>
        <v>375</v>
      </c>
    </row>
    <row r="763" spans="1:8" ht="31.5" x14ac:dyDescent="0.25">
      <c r="A763" s="25" t="s">
        <v>146</v>
      </c>
      <c r="B763" s="20" t="s">
        <v>1126</v>
      </c>
      <c r="C763" s="40" t="s">
        <v>249</v>
      </c>
      <c r="D763" s="40" t="s">
        <v>230</v>
      </c>
      <c r="E763" s="2">
        <v>200</v>
      </c>
      <c r="F763" s="2"/>
      <c r="G763" s="10">
        <f t="shared" ref="G763" si="87">G764</f>
        <v>300</v>
      </c>
    </row>
    <row r="764" spans="1:8" ht="31.5" x14ac:dyDescent="0.25">
      <c r="A764" s="25" t="s">
        <v>148</v>
      </c>
      <c r="B764" s="20" t="s">
        <v>1126</v>
      </c>
      <c r="C764" s="40" t="s">
        <v>249</v>
      </c>
      <c r="D764" s="40" t="s">
        <v>230</v>
      </c>
      <c r="E764" s="2">
        <v>240</v>
      </c>
      <c r="F764" s="2"/>
      <c r="G764" s="10">
        <f>'Пр.4 ведом.20'!G1036</f>
        <v>300</v>
      </c>
    </row>
    <row r="765" spans="1:8" s="221" customFormat="1" ht="31.5" x14ac:dyDescent="0.25">
      <c r="A765" s="45" t="s">
        <v>638</v>
      </c>
      <c r="B765" s="20" t="s">
        <v>1126</v>
      </c>
      <c r="C765" s="40" t="s">
        <v>249</v>
      </c>
      <c r="D765" s="40" t="s">
        <v>230</v>
      </c>
      <c r="E765" s="2">
        <v>240</v>
      </c>
      <c r="F765" s="2">
        <v>908</v>
      </c>
      <c r="G765" s="10">
        <f>G764</f>
        <v>300</v>
      </c>
      <c r="H765" s="222"/>
    </row>
    <row r="766" spans="1:8" s="221" customFormat="1" ht="15.75" x14ac:dyDescent="0.25">
      <c r="A766" s="29" t="s">
        <v>150</v>
      </c>
      <c r="B766" s="20" t="s">
        <v>1126</v>
      </c>
      <c r="C766" s="40" t="s">
        <v>249</v>
      </c>
      <c r="D766" s="40" t="s">
        <v>230</v>
      </c>
      <c r="E766" s="2">
        <v>800</v>
      </c>
      <c r="F766" s="2"/>
      <c r="G766" s="10">
        <f>G767</f>
        <v>75</v>
      </c>
      <c r="H766" s="222"/>
    </row>
    <row r="767" spans="1:8" s="221" customFormat="1" ht="15.75" x14ac:dyDescent="0.25">
      <c r="A767" s="25" t="s">
        <v>725</v>
      </c>
      <c r="B767" s="20" t="s">
        <v>1126</v>
      </c>
      <c r="C767" s="40" t="s">
        <v>249</v>
      </c>
      <c r="D767" s="40" t="s">
        <v>230</v>
      </c>
      <c r="E767" s="2">
        <v>850</v>
      </c>
      <c r="F767" s="2"/>
      <c r="G767" s="10">
        <f>'Пр.4 ведом.20'!G1038</f>
        <v>75</v>
      </c>
      <c r="H767" s="222"/>
    </row>
    <row r="768" spans="1:8" s="221" customFormat="1" ht="31.5" x14ac:dyDescent="0.25">
      <c r="A768" s="45" t="s">
        <v>638</v>
      </c>
      <c r="B768" s="20" t="s">
        <v>1126</v>
      </c>
      <c r="C768" s="40" t="s">
        <v>249</v>
      </c>
      <c r="D768" s="40" t="s">
        <v>230</v>
      </c>
      <c r="E768" s="2">
        <v>850</v>
      </c>
      <c r="F768" s="2">
        <v>908</v>
      </c>
      <c r="G768" s="10">
        <f>G767</f>
        <v>75</v>
      </c>
      <c r="H768" s="222"/>
    </row>
    <row r="769" spans="1:8" ht="15.75" hidden="1" customHeight="1" x14ac:dyDescent="0.25">
      <c r="A769" s="45" t="s">
        <v>574</v>
      </c>
      <c r="B769" s="20" t="s">
        <v>1127</v>
      </c>
      <c r="C769" s="40" t="s">
        <v>249</v>
      </c>
      <c r="D769" s="40" t="s">
        <v>230</v>
      </c>
      <c r="E769" s="2"/>
      <c r="F769" s="2"/>
      <c r="G769" s="10">
        <f t="shared" ref="G769:G770" si="88">G770</f>
        <v>0</v>
      </c>
    </row>
    <row r="770" spans="1:8" ht="31.7" hidden="1" customHeight="1" x14ac:dyDescent="0.25">
      <c r="A770" s="25" t="s">
        <v>146</v>
      </c>
      <c r="B770" s="20" t="s">
        <v>1127</v>
      </c>
      <c r="C770" s="40" t="s">
        <v>249</v>
      </c>
      <c r="D770" s="40" t="s">
        <v>230</v>
      </c>
      <c r="E770" s="2">
        <v>200</v>
      </c>
      <c r="F770" s="2"/>
      <c r="G770" s="10">
        <f t="shared" si="88"/>
        <v>0</v>
      </c>
    </row>
    <row r="771" spans="1:8" ht="31.7" hidden="1" customHeight="1" x14ac:dyDescent="0.25">
      <c r="A771" s="25" t="s">
        <v>148</v>
      </c>
      <c r="B771" s="20" t="s">
        <v>1127</v>
      </c>
      <c r="C771" s="40" t="s">
        <v>249</v>
      </c>
      <c r="D771" s="40" t="s">
        <v>230</v>
      </c>
      <c r="E771" s="2">
        <v>240</v>
      </c>
      <c r="F771" s="2"/>
      <c r="G771" s="10">
        <f>'Пр.3 Рд,пр, ЦС,ВР 20'!F443</f>
        <v>0</v>
      </c>
    </row>
    <row r="772" spans="1:8" ht="31.5" hidden="1" x14ac:dyDescent="0.25">
      <c r="A772" s="45" t="s">
        <v>638</v>
      </c>
      <c r="B772" s="20" t="s">
        <v>1127</v>
      </c>
      <c r="C772" s="40" t="s">
        <v>249</v>
      </c>
      <c r="D772" s="40" t="s">
        <v>230</v>
      </c>
      <c r="E772" s="2">
        <v>850</v>
      </c>
      <c r="F772" s="2">
        <v>908</v>
      </c>
      <c r="G772" s="10">
        <f>G771</f>
        <v>0</v>
      </c>
    </row>
    <row r="773" spans="1:8" s="221" customFormat="1" ht="31.5" x14ac:dyDescent="0.25">
      <c r="A773" s="259" t="s">
        <v>1290</v>
      </c>
      <c r="B773" s="20" t="s">
        <v>1291</v>
      </c>
      <c r="C773" s="40" t="s">
        <v>249</v>
      </c>
      <c r="D773" s="40" t="s">
        <v>230</v>
      </c>
      <c r="E773" s="2"/>
      <c r="F773" s="2"/>
      <c r="G773" s="10">
        <f>G774</f>
        <v>11</v>
      </c>
      <c r="H773" s="222"/>
    </row>
    <row r="774" spans="1:8" s="221" customFormat="1" ht="31.5" x14ac:dyDescent="0.25">
      <c r="A774" s="25" t="s">
        <v>146</v>
      </c>
      <c r="B774" s="20" t="s">
        <v>1291</v>
      </c>
      <c r="C774" s="40" t="s">
        <v>249</v>
      </c>
      <c r="D774" s="40" t="s">
        <v>230</v>
      </c>
      <c r="E774" s="2">
        <v>200</v>
      </c>
      <c r="F774" s="2"/>
      <c r="G774" s="10">
        <f>G775</f>
        <v>11</v>
      </c>
      <c r="H774" s="222"/>
    </row>
    <row r="775" spans="1:8" s="221" customFormat="1" ht="31.5" x14ac:dyDescent="0.25">
      <c r="A775" s="25" t="s">
        <v>148</v>
      </c>
      <c r="B775" s="20" t="s">
        <v>1291</v>
      </c>
      <c r="C775" s="40" t="s">
        <v>249</v>
      </c>
      <c r="D775" s="40" t="s">
        <v>230</v>
      </c>
      <c r="E775" s="2">
        <v>240</v>
      </c>
      <c r="F775" s="2"/>
      <c r="G775" s="10">
        <f>'Пр.4 ведом.20'!G1044</f>
        <v>11</v>
      </c>
      <c r="H775" s="222"/>
    </row>
    <row r="776" spans="1:8" s="221" customFormat="1" ht="31.5" x14ac:dyDescent="0.25">
      <c r="A776" s="45" t="s">
        <v>638</v>
      </c>
      <c r="B776" s="20" t="s">
        <v>1291</v>
      </c>
      <c r="C776" s="40" t="s">
        <v>249</v>
      </c>
      <c r="D776" s="40" t="s">
        <v>230</v>
      </c>
      <c r="E776" s="2">
        <v>240</v>
      </c>
      <c r="F776" s="2">
        <v>908</v>
      </c>
      <c r="G776" s="10">
        <f>G775</f>
        <v>11</v>
      </c>
      <c r="H776" s="222"/>
    </row>
    <row r="777" spans="1:8" s="221" customFormat="1" ht="31.5" x14ac:dyDescent="0.25">
      <c r="A777" s="23" t="s">
        <v>948</v>
      </c>
      <c r="B777" s="24" t="s">
        <v>1128</v>
      </c>
      <c r="C777" s="7"/>
      <c r="D777" s="7"/>
      <c r="E777" s="3"/>
      <c r="F777" s="3"/>
      <c r="G777" s="59">
        <f>G778</f>
        <v>1914.5</v>
      </c>
      <c r="H777" s="222"/>
    </row>
    <row r="778" spans="1:8" s="221" customFormat="1" ht="15.75" x14ac:dyDescent="0.25">
      <c r="A778" s="73" t="s">
        <v>405</v>
      </c>
      <c r="B778" s="40" t="s">
        <v>1128</v>
      </c>
      <c r="C778" s="40" t="s">
        <v>249</v>
      </c>
      <c r="D778" s="40"/>
      <c r="E778" s="2"/>
      <c r="F778" s="2"/>
      <c r="G778" s="10">
        <f t="shared" ref="G778" si="89">G779</f>
        <v>1914.5</v>
      </c>
      <c r="H778" s="222"/>
    </row>
    <row r="779" spans="1:8" s="221" customFormat="1" ht="15.75" x14ac:dyDescent="0.25">
      <c r="A779" s="73" t="s">
        <v>556</v>
      </c>
      <c r="B779" s="40" t="s">
        <v>1128</v>
      </c>
      <c r="C779" s="40" t="s">
        <v>249</v>
      </c>
      <c r="D779" s="40" t="s">
        <v>230</v>
      </c>
      <c r="E779" s="2"/>
      <c r="F779" s="2"/>
      <c r="G779" s="10">
        <f>G780+G784</f>
        <v>1914.5</v>
      </c>
      <c r="H779" s="222"/>
    </row>
    <row r="780" spans="1:8" s="221" customFormat="1" ht="31.5" hidden="1" x14ac:dyDescent="0.25">
      <c r="A780" s="25" t="s">
        <v>705</v>
      </c>
      <c r="B780" s="20" t="s">
        <v>1129</v>
      </c>
      <c r="C780" s="40" t="s">
        <v>249</v>
      </c>
      <c r="D780" s="40" t="s">
        <v>230</v>
      </c>
      <c r="E780" s="2"/>
      <c r="F780" s="2"/>
      <c r="G780" s="10">
        <f>G781</f>
        <v>0</v>
      </c>
      <c r="H780" s="222"/>
    </row>
    <row r="781" spans="1:8" s="221" customFormat="1" ht="31.5" hidden="1" x14ac:dyDescent="0.25">
      <c r="A781" s="25" t="s">
        <v>146</v>
      </c>
      <c r="B781" s="20" t="s">
        <v>1129</v>
      </c>
      <c r="C781" s="40" t="s">
        <v>249</v>
      </c>
      <c r="D781" s="40" t="s">
        <v>230</v>
      </c>
      <c r="E781" s="20" t="s">
        <v>147</v>
      </c>
      <c r="F781" s="2"/>
      <c r="G781" s="10">
        <f>G782</f>
        <v>0</v>
      </c>
      <c r="H781" s="222"/>
    </row>
    <row r="782" spans="1:8" s="221" customFormat="1" ht="31.5" hidden="1" x14ac:dyDescent="0.25">
      <c r="A782" s="25" t="s">
        <v>148</v>
      </c>
      <c r="B782" s="20" t="s">
        <v>1129</v>
      </c>
      <c r="C782" s="40" t="s">
        <v>249</v>
      </c>
      <c r="D782" s="40" t="s">
        <v>230</v>
      </c>
      <c r="E782" s="20" t="s">
        <v>149</v>
      </c>
      <c r="F782" s="2"/>
      <c r="G782" s="10">
        <f>'Пр.3 Рд,пр, ЦС,ВР 20'!F447</f>
        <v>0</v>
      </c>
      <c r="H782" s="222"/>
    </row>
    <row r="783" spans="1:8" s="221" customFormat="1" ht="31.5" hidden="1" x14ac:dyDescent="0.25">
      <c r="A783" s="45" t="s">
        <v>638</v>
      </c>
      <c r="B783" s="20" t="s">
        <v>1129</v>
      </c>
      <c r="C783" s="40" t="s">
        <v>249</v>
      </c>
      <c r="D783" s="40" t="s">
        <v>230</v>
      </c>
      <c r="E783" s="20" t="s">
        <v>149</v>
      </c>
      <c r="F783" s="2">
        <v>908</v>
      </c>
      <c r="G783" s="10">
        <f>G782</f>
        <v>0</v>
      </c>
      <c r="H783" s="222"/>
    </row>
    <row r="784" spans="1:8" s="221" customFormat="1" ht="63" x14ac:dyDescent="0.25">
      <c r="A784" s="25" t="s">
        <v>1249</v>
      </c>
      <c r="B784" s="20" t="s">
        <v>1250</v>
      </c>
      <c r="C784" s="40" t="s">
        <v>249</v>
      </c>
      <c r="D784" s="40" t="s">
        <v>230</v>
      </c>
      <c r="E784" s="20"/>
      <c r="F784" s="2"/>
      <c r="G784" s="10">
        <f>G785</f>
        <v>1914.5</v>
      </c>
      <c r="H784" s="222"/>
    </row>
    <row r="785" spans="1:8" s="221" customFormat="1" ht="31.5" x14ac:dyDescent="0.25">
      <c r="A785" s="25" t="s">
        <v>146</v>
      </c>
      <c r="B785" s="20" t="s">
        <v>1250</v>
      </c>
      <c r="C785" s="40" t="s">
        <v>249</v>
      </c>
      <c r="D785" s="40" t="s">
        <v>230</v>
      </c>
      <c r="E785" s="20" t="s">
        <v>147</v>
      </c>
      <c r="F785" s="2"/>
      <c r="G785" s="10">
        <f>G786</f>
        <v>1914.5</v>
      </c>
      <c r="H785" s="222"/>
    </row>
    <row r="786" spans="1:8" s="221" customFormat="1" ht="31.5" x14ac:dyDescent="0.25">
      <c r="A786" s="25" t="s">
        <v>148</v>
      </c>
      <c r="B786" s="20" t="s">
        <v>1250</v>
      </c>
      <c r="C786" s="40" t="s">
        <v>249</v>
      </c>
      <c r="D786" s="40" t="s">
        <v>230</v>
      </c>
      <c r="E786" s="20" t="s">
        <v>149</v>
      </c>
      <c r="F786" s="2"/>
      <c r="G786" s="10">
        <f>'Пр.3 Рд,пр, ЦС,ВР 20'!F450</f>
        <v>1914.5</v>
      </c>
      <c r="H786" s="222"/>
    </row>
    <row r="787" spans="1:8" s="221" customFormat="1" ht="31.5" x14ac:dyDescent="0.25">
      <c r="A787" s="45" t="s">
        <v>638</v>
      </c>
      <c r="B787" s="20" t="s">
        <v>1250</v>
      </c>
      <c r="C787" s="40" t="s">
        <v>249</v>
      </c>
      <c r="D787" s="40" t="s">
        <v>230</v>
      </c>
      <c r="E787" s="20" t="s">
        <v>149</v>
      </c>
      <c r="F787" s="2">
        <v>908</v>
      </c>
      <c r="G787" s="10">
        <f>G786</f>
        <v>1914.5</v>
      </c>
      <c r="H787" s="222"/>
    </row>
    <row r="788" spans="1:8" ht="47.25" x14ac:dyDescent="0.25">
      <c r="A788" s="34" t="s">
        <v>196</v>
      </c>
      <c r="B788" s="210" t="s">
        <v>197</v>
      </c>
      <c r="C788" s="7"/>
      <c r="D788" s="7"/>
      <c r="E788" s="7"/>
      <c r="F788" s="3"/>
      <c r="G788" s="59">
        <f>G789+G800</f>
        <v>306</v>
      </c>
      <c r="H788" s="222">
        <v>355</v>
      </c>
    </row>
    <row r="789" spans="1:8" s="221" customFormat="1" ht="31.5" x14ac:dyDescent="0.25">
      <c r="A789" s="34" t="s">
        <v>1157</v>
      </c>
      <c r="B789" s="210" t="s">
        <v>921</v>
      </c>
      <c r="C789" s="7"/>
      <c r="D789" s="7"/>
      <c r="E789" s="7"/>
      <c r="F789" s="3"/>
      <c r="G789" s="59">
        <f>G790</f>
        <v>285</v>
      </c>
      <c r="H789" s="222"/>
    </row>
    <row r="790" spans="1:8" ht="15.75" x14ac:dyDescent="0.25">
      <c r="A790" s="29" t="s">
        <v>247</v>
      </c>
      <c r="B790" s="5" t="s">
        <v>921</v>
      </c>
      <c r="C790" s="40" t="s">
        <v>165</v>
      </c>
      <c r="D790" s="40"/>
      <c r="E790" s="40"/>
      <c r="F790" s="2"/>
      <c r="G790" s="10">
        <f t="shared" ref="G790:G793" si="90">G791</f>
        <v>285</v>
      </c>
    </row>
    <row r="791" spans="1:8" ht="15.75" x14ac:dyDescent="0.25">
      <c r="A791" s="29" t="s">
        <v>248</v>
      </c>
      <c r="B791" s="30" t="s">
        <v>921</v>
      </c>
      <c r="C791" s="40" t="s">
        <v>165</v>
      </c>
      <c r="D791" s="40" t="s">
        <v>249</v>
      </c>
      <c r="E791" s="40"/>
      <c r="F791" s="2"/>
      <c r="G791" s="10">
        <f>G792+G796</f>
        <v>285</v>
      </c>
    </row>
    <row r="792" spans="1:8" ht="15.75" x14ac:dyDescent="0.25">
      <c r="A792" s="25" t="s">
        <v>922</v>
      </c>
      <c r="B792" s="20" t="s">
        <v>966</v>
      </c>
      <c r="C792" s="40" t="s">
        <v>165</v>
      </c>
      <c r="D792" s="40" t="s">
        <v>249</v>
      </c>
      <c r="E792" s="40"/>
      <c r="F792" s="2"/>
      <c r="G792" s="10">
        <f t="shared" si="90"/>
        <v>30</v>
      </c>
    </row>
    <row r="793" spans="1:8" ht="15.75" x14ac:dyDescent="0.25">
      <c r="A793" s="29" t="s">
        <v>150</v>
      </c>
      <c r="B793" s="20" t="s">
        <v>966</v>
      </c>
      <c r="C793" s="40" t="s">
        <v>165</v>
      </c>
      <c r="D793" s="40" t="s">
        <v>249</v>
      </c>
      <c r="E793" s="40" t="s">
        <v>160</v>
      </c>
      <c r="F793" s="2"/>
      <c r="G793" s="10">
        <f t="shared" si="90"/>
        <v>30</v>
      </c>
    </row>
    <row r="794" spans="1:8" ht="47.25" x14ac:dyDescent="0.25">
      <c r="A794" s="29" t="s">
        <v>199</v>
      </c>
      <c r="B794" s="20" t="s">
        <v>966</v>
      </c>
      <c r="C794" s="40" t="s">
        <v>165</v>
      </c>
      <c r="D794" s="40" t="s">
        <v>249</v>
      </c>
      <c r="E794" s="40" t="s">
        <v>175</v>
      </c>
      <c r="F794" s="2"/>
      <c r="G794" s="10">
        <f>'Пр.4 ведом.20'!G165</f>
        <v>30</v>
      </c>
    </row>
    <row r="795" spans="1:8" ht="15.75" x14ac:dyDescent="0.25">
      <c r="A795" s="29" t="s">
        <v>163</v>
      </c>
      <c r="B795" s="20" t="s">
        <v>966</v>
      </c>
      <c r="C795" s="40" t="s">
        <v>165</v>
      </c>
      <c r="D795" s="40" t="s">
        <v>249</v>
      </c>
      <c r="E795" s="40" t="s">
        <v>175</v>
      </c>
      <c r="F795" s="2">
        <v>902</v>
      </c>
      <c r="G795" s="10">
        <f>G794</f>
        <v>30</v>
      </c>
    </row>
    <row r="796" spans="1:8" s="221" customFormat="1" ht="31.5" x14ac:dyDescent="0.25">
      <c r="A796" s="25" t="s">
        <v>250</v>
      </c>
      <c r="B796" s="20" t="s">
        <v>925</v>
      </c>
      <c r="C796" s="40" t="s">
        <v>165</v>
      </c>
      <c r="D796" s="40" t="s">
        <v>249</v>
      </c>
      <c r="E796" s="40"/>
      <c r="F796" s="2"/>
      <c r="G796" s="10">
        <f>G797</f>
        <v>255</v>
      </c>
      <c r="H796" s="222"/>
    </row>
    <row r="797" spans="1:8" s="221" customFormat="1" ht="15.75" x14ac:dyDescent="0.25">
      <c r="A797" s="25" t="s">
        <v>150</v>
      </c>
      <c r="B797" s="20" t="s">
        <v>925</v>
      </c>
      <c r="C797" s="40" t="s">
        <v>165</v>
      </c>
      <c r="D797" s="40" t="s">
        <v>249</v>
      </c>
      <c r="E797" s="40" t="s">
        <v>160</v>
      </c>
      <c r="F797" s="2"/>
      <c r="G797" s="10">
        <f>G798</f>
        <v>255</v>
      </c>
      <c r="H797" s="222"/>
    </row>
    <row r="798" spans="1:8" s="221" customFormat="1" ht="47.25" x14ac:dyDescent="0.25">
      <c r="A798" s="25" t="s">
        <v>199</v>
      </c>
      <c r="B798" s="20" t="s">
        <v>925</v>
      </c>
      <c r="C798" s="40" t="s">
        <v>165</v>
      </c>
      <c r="D798" s="40" t="s">
        <v>249</v>
      </c>
      <c r="E798" s="40" t="s">
        <v>175</v>
      </c>
      <c r="F798" s="2"/>
      <c r="G798" s="10">
        <f>'Пр.3 Рд,пр, ЦС,ВР 20'!F252</f>
        <v>255</v>
      </c>
      <c r="H798" s="222"/>
    </row>
    <row r="799" spans="1:8" s="221" customFormat="1" ht="15.75" x14ac:dyDescent="0.25">
      <c r="A799" s="29" t="s">
        <v>163</v>
      </c>
      <c r="B799" s="20" t="s">
        <v>925</v>
      </c>
      <c r="C799" s="40" t="s">
        <v>165</v>
      </c>
      <c r="D799" s="40" t="s">
        <v>249</v>
      </c>
      <c r="E799" s="40" t="s">
        <v>175</v>
      </c>
      <c r="F799" s="2">
        <v>902</v>
      </c>
      <c r="G799" s="10">
        <f>G798</f>
        <v>255</v>
      </c>
      <c r="H799" s="222"/>
    </row>
    <row r="800" spans="1:8" s="221" customFormat="1" ht="47.25" x14ac:dyDescent="0.25">
      <c r="A800" s="241" t="s">
        <v>1158</v>
      </c>
      <c r="B800" s="24" t="s">
        <v>924</v>
      </c>
      <c r="C800" s="40"/>
      <c r="D800" s="40"/>
      <c r="E800" s="40"/>
      <c r="F800" s="2"/>
      <c r="G800" s="10">
        <f>G801</f>
        <v>21</v>
      </c>
      <c r="H800" s="222"/>
    </row>
    <row r="801" spans="1:8" s="221" customFormat="1" ht="15.75" x14ac:dyDescent="0.25">
      <c r="A801" s="29" t="s">
        <v>247</v>
      </c>
      <c r="B801" s="5" t="s">
        <v>921</v>
      </c>
      <c r="C801" s="40" t="s">
        <v>165</v>
      </c>
      <c r="D801" s="40"/>
      <c r="E801" s="40"/>
      <c r="F801" s="2"/>
      <c r="G801" s="10">
        <f>G802</f>
        <v>21</v>
      </c>
      <c r="H801" s="222"/>
    </row>
    <row r="802" spans="1:8" s="221" customFormat="1" ht="15.75" x14ac:dyDescent="0.25">
      <c r="A802" s="29" t="s">
        <v>248</v>
      </c>
      <c r="B802" s="30" t="s">
        <v>921</v>
      </c>
      <c r="C802" s="40" t="s">
        <v>165</v>
      </c>
      <c r="D802" s="40" t="s">
        <v>249</v>
      </c>
      <c r="E802" s="40"/>
      <c r="F802" s="2"/>
      <c r="G802" s="10">
        <f>G803</f>
        <v>21</v>
      </c>
      <c r="H802" s="222"/>
    </row>
    <row r="803" spans="1:8" s="221" customFormat="1" ht="15.75" x14ac:dyDescent="0.25">
      <c r="A803" s="25" t="s">
        <v>923</v>
      </c>
      <c r="B803" s="5" t="s">
        <v>967</v>
      </c>
      <c r="C803" s="40" t="s">
        <v>165</v>
      </c>
      <c r="D803" s="40" t="s">
        <v>249</v>
      </c>
      <c r="E803" s="40"/>
      <c r="F803" s="2"/>
      <c r="G803" s="10">
        <f>G804</f>
        <v>21</v>
      </c>
      <c r="H803" s="222"/>
    </row>
    <row r="804" spans="1:8" s="221" customFormat="1" ht="15.75" x14ac:dyDescent="0.25">
      <c r="A804" s="29" t="s">
        <v>150</v>
      </c>
      <c r="B804" s="5" t="s">
        <v>967</v>
      </c>
      <c r="C804" s="40" t="s">
        <v>165</v>
      </c>
      <c r="D804" s="40" t="s">
        <v>249</v>
      </c>
      <c r="E804" s="40" t="s">
        <v>160</v>
      </c>
      <c r="F804" s="2"/>
      <c r="G804" s="10">
        <f>G805</f>
        <v>21</v>
      </c>
      <c r="H804" s="222"/>
    </row>
    <row r="805" spans="1:8" s="221" customFormat="1" ht="47.25" x14ac:dyDescent="0.25">
      <c r="A805" s="29" t="s">
        <v>199</v>
      </c>
      <c r="B805" s="5" t="s">
        <v>967</v>
      </c>
      <c r="C805" s="40" t="s">
        <v>165</v>
      </c>
      <c r="D805" s="40" t="s">
        <v>249</v>
      </c>
      <c r="E805" s="40" t="s">
        <v>175</v>
      </c>
      <c r="F805" s="2"/>
      <c r="G805" s="10">
        <f>'Пр.3 Рд,пр, ЦС,ВР 20'!F256</f>
        <v>21</v>
      </c>
      <c r="H805" s="222"/>
    </row>
    <row r="806" spans="1:8" s="221" customFormat="1" ht="15.75" x14ac:dyDescent="0.25">
      <c r="A806" s="29" t="s">
        <v>163</v>
      </c>
      <c r="B806" s="20" t="s">
        <v>925</v>
      </c>
      <c r="C806" s="40" t="s">
        <v>165</v>
      </c>
      <c r="D806" s="40" t="s">
        <v>249</v>
      </c>
      <c r="E806" s="40" t="s">
        <v>175</v>
      </c>
      <c r="F806" s="2">
        <v>902</v>
      </c>
      <c r="G806" s="10">
        <f>G805</f>
        <v>21</v>
      </c>
      <c r="H806" s="222"/>
    </row>
    <row r="807" spans="1:8" ht="52.5" customHeight="1" x14ac:dyDescent="0.25">
      <c r="A807" s="41" t="s">
        <v>1360</v>
      </c>
      <c r="B807" s="7" t="s">
        <v>533</v>
      </c>
      <c r="C807" s="7"/>
      <c r="D807" s="7"/>
      <c r="E807" s="72"/>
      <c r="F807" s="3"/>
      <c r="G807" s="59">
        <f>G808+G815+G822+G829+G836+G843+G850</f>
        <v>129</v>
      </c>
      <c r="H807" s="222">
        <v>8940</v>
      </c>
    </row>
    <row r="808" spans="1:8" s="221" customFormat="1" ht="31.7" hidden="1" customHeight="1" x14ac:dyDescent="0.25">
      <c r="A808" s="23" t="s">
        <v>1097</v>
      </c>
      <c r="B808" s="24" t="s">
        <v>1099</v>
      </c>
      <c r="C808" s="40"/>
      <c r="D808" s="40"/>
      <c r="E808" s="40"/>
      <c r="F808" s="2"/>
      <c r="G808" s="59">
        <f>G809</f>
        <v>0</v>
      </c>
      <c r="H808" s="222"/>
    </row>
    <row r="809" spans="1:8" s="221" customFormat="1" ht="18" hidden="1" customHeight="1" x14ac:dyDescent="0.25">
      <c r="A809" s="29" t="s">
        <v>405</v>
      </c>
      <c r="B809" s="40" t="s">
        <v>1099</v>
      </c>
      <c r="C809" s="40" t="s">
        <v>249</v>
      </c>
      <c r="D809" s="40"/>
      <c r="E809" s="73"/>
      <c r="F809" s="2"/>
      <c r="G809" s="10">
        <f t="shared" ref="G809" si="91">G810</f>
        <v>0</v>
      </c>
      <c r="H809" s="222"/>
    </row>
    <row r="810" spans="1:8" s="221" customFormat="1" ht="19.5" hidden="1" customHeight="1" x14ac:dyDescent="0.25">
      <c r="A810" s="29" t="s">
        <v>532</v>
      </c>
      <c r="B810" s="40" t="s">
        <v>1099</v>
      </c>
      <c r="C810" s="40" t="s">
        <v>249</v>
      </c>
      <c r="D810" s="40" t="s">
        <v>228</v>
      </c>
      <c r="E810" s="73"/>
      <c r="F810" s="2"/>
      <c r="G810" s="10">
        <f>G811</f>
        <v>0</v>
      </c>
      <c r="H810" s="222"/>
    </row>
    <row r="811" spans="1:8" ht="15.75" hidden="1" x14ac:dyDescent="0.25">
      <c r="A811" s="45" t="s">
        <v>536</v>
      </c>
      <c r="B811" s="20" t="s">
        <v>1100</v>
      </c>
      <c r="C811" s="40" t="s">
        <v>249</v>
      </c>
      <c r="D811" s="40" t="s">
        <v>228</v>
      </c>
      <c r="E811" s="40"/>
      <c r="F811" s="2"/>
      <c r="G811" s="10">
        <f t="shared" ref="G811:G812" si="92">G812</f>
        <v>0</v>
      </c>
    </row>
    <row r="812" spans="1:8" ht="31.5" hidden="1" x14ac:dyDescent="0.25">
      <c r="A812" s="31" t="s">
        <v>146</v>
      </c>
      <c r="B812" s="20" t="s">
        <v>1100</v>
      </c>
      <c r="C812" s="40" t="s">
        <v>249</v>
      </c>
      <c r="D812" s="40" t="s">
        <v>228</v>
      </c>
      <c r="E812" s="40" t="s">
        <v>147</v>
      </c>
      <c r="F812" s="2"/>
      <c r="G812" s="10">
        <f t="shared" si="92"/>
        <v>0</v>
      </c>
    </row>
    <row r="813" spans="1:8" ht="31.5" hidden="1" x14ac:dyDescent="0.25">
      <c r="A813" s="31" t="s">
        <v>148</v>
      </c>
      <c r="B813" s="20" t="s">
        <v>1100</v>
      </c>
      <c r="C813" s="40" t="s">
        <v>249</v>
      </c>
      <c r="D813" s="40" t="s">
        <v>228</v>
      </c>
      <c r="E813" s="40" t="s">
        <v>149</v>
      </c>
      <c r="F813" s="2"/>
      <c r="G813" s="10">
        <f>'Пр.3 Рд,пр, ЦС,ВР 20'!F377</f>
        <v>0</v>
      </c>
    </row>
    <row r="814" spans="1:8" s="221" customFormat="1" ht="31.5" hidden="1" x14ac:dyDescent="0.25">
      <c r="A814" s="45" t="s">
        <v>638</v>
      </c>
      <c r="B814" s="20" t="s">
        <v>1100</v>
      </c>
      <c r="C814" s="40" t="s">
        <v>249</v>
      </c>
      <c r="D814" s="40" t="s">
        <v>228</v>
      </c>
      <c r="E814" s="40" t="s">
        <v>149</v>
      </c>
      <c r="F814" s="2">
        <v>908</v>
      </c>
      <c r="G814" s="6">
        <f>G813</f>
        <v>0</v>
      </c>
      <c r="H814" s="222"/>
    </row>
    <row r="815" spans="1:8" s="221" customFormat="1" ht="31.5" x14ac:dyDescent="0.25">
      <c r="A815" s="34" t="s">
        <v>1101</v>
      </c>
      <c r="B815" s="24" t="s">
        <v>1102</v>
      </c>
      <c r="C815" s="40"/>
      <c r="D815" s="40"/>
      <c r="E815" s="40"/>
      <c r="F815" s="2"/>
      <c r="G815" s="59">
        <f>G816</f>
        <v>85</v>
      </c>
      <c r="H815" s="222"/>
    </row>
    <row r="816" spans="1:8" s="221" customFormat="1" ht="15.75" x14ac:dyDescent="0.25">
      <c r="A816" s="29" t="s">
        <v>405</v>
      </c>
      <c r="B816" s="40" t="s">
        <v>1102</v>
      </c>
      <c r="C816" s="40" t="s">
        <v>249</v>
      </c>
      <c r="D816" s="40"/>
      <c r="E816" s="73"/>
      <c r="F816" s="2"/>
      <c r="G816" s="10">
        <f t="shared" ref="G816" si="93">G817</f>
        <v>85</v>
      </c>
      <c r="H816" s="222"/>
    </row>
    <row r="817" spans="1:8" s="221" customFormat="1" ht="15.75" x14ac:dyDescent="0.25">
      <c r="A817" s="29" t="s">
        <v>532</v>
      </c>
      <c r="B817" s="40" t="s">
        <v>1102</v>
      </c>
      <c r="C817" s="40" t="s">
        <v>249</v>
      </c>
      <c r="D817" s="40" t="s">
        <v>228</v>
      </c>
      <c r="E817" s="73"/>
      <c r="F817" s="2"/>
      <c r="G817" s="10">
        <f>G818</f>
        <v>85</v>
      </c>
      <c r="H817" s="222"/>
    </row>
    <row r="818" spans="1:8" ht="15.75" customHeight="1" x14ac:dyDescent="0.25">
      <c r="A818" s="45" t="s">
        <v>538</v>
      </c>
      <c r="B818" s="20" t="s">
        <v>1105</v>
      </c>
      <c r="C818" s="40" t="s">
        <v>249</v>
      </c>
      <c r="D818" s="40" t="s">
        <v>228</v>
      </c>
      <c r="E818" s="40"/>
      <c r="F818" s="2"/>
      <c r="G818" s="10">
        <f>G819</f>
        <v>85</v>
      </c>
    </row>
    <row r="819" spans="1:8" ht="31.7" customHeight="1" x14ac:dyDescent="0.25">
      <c r="A819" s="31" t="s">
        <v>146</v>
      </c>
      <c r="B819" s="20" t="s">
        <v>1105</v>
      </c>
      <c r="C819" s="40" t="s">
        <v>249</v>
      </c>
      <c r="D819" s="40" t="s">
        <v>228</v>
      </c>
      <c r="E819" s="40" t="s">
        <v>147</v>
      </c>
      <c r="F819" s="2"/>
      <c r="G819" s="10">
        <f t="shared" ref="G819" si="94">G820</f>
        <v>85</v>
      </c>
    </row>
    <row r="820" spans="1:8" ht="31.7" customHeight="1" x14ac:dyDescent="0.25">
      <c r="A820" s="31" t="s">
        <v>148</v>
      </c>
      <c r="B820" s="20" t="s">
        <v>1105</v>
      </c>
      <c r="C820" s="40" t="s">
        <v>249</v>
      </c>
      <c r="D820" s="40" t="s">
        <v>228</v>
      </c>
      <c r="E820" s="40" t="s">
        <v>149</v>
      </c>
      <c r="F820" s="2"/>
      <c r="G820" s="10">
        <f>'Пр.3 Рд,пр, ЦС,ВР 20'!F381</f>
        <v>85</v>
      </c>
    </row>
    <row r="821" spans="1:8" s="221" customFormat="1" ht="31.7" customHeight="1" x14ac:dyDescent="0.25">
      <c r="A821" s="45" t="s">
        <v>638</v>
      </c>
      <c r="B821" s="20" t="s">
        <v>1105</v>
      </c>
      <c r="C821" s="40" t="s">
        <v>249</v>
      </c>
      <c r="D821" s="40" t="s">
        <v>228</v>
      </c>
      <c r="E821" s="40" t="s">
        <v>149</v>
      </c>
      <c r="F821" s="2">
        <v>908</v>
      </c>
      <c r="G821" s="6">
        <f>G820</f>
        <v>85</v>
      </c>
      <c r="H821" s="222"/>
    </row>
    <row r="822" spans="1:8" s="221" customFormat="1" ht="15.75" hidden="1" customHeight="1" x14ac:dyDescent="0.25">
      <c r="A822" s="58" t="s">
        <v>1103</v>
      </c>
      <c r="B822" s="24" t="s">
        <v>1104</v>
      </c>
      <c r="C822" s="40"/>
      <c r="D822" s="40"/>
      <c r="E822" s="40"/>
      <c r="F822" s="2"/>
      <c r="G822" s="59">
        <f>G823</f>
        <v>0</v>
      </c>
      <c r="H822" s="222"/>
    </row>
    <row r="823" spans="1:8" s="221" customFormat="1" ht="15.75" hidden="1" customHeight="1" x14ac:dyDescent="0.25">
      <c r="A823" s="29" t="s">
        <v>405</v>
      </c>
      <c r="B823" s="40" t="s">
        <v>1104</v>
      </c>
      <c r="C823" s="40" t="s">
        <v>249</v>
      </c>
      <c r="D823" s="40"/>
      <c r="E823" s="73"/>
      <c r="F823" s="2"/>
      <c r="G823" s="10">
        <f t="shared" ref="G823" si="95">G824</f>
        <v>0</v>
      </c>
      <c r="H823" s="222"/>
    </row>
    <row r="824" spans="1:8" s="221" customFormat="1" ht="15.75" hidden="1" customHeight="1" x14ac:dyDescent="0.25">
      <c r="A824" s="29" t="s">
        <v>532</v>
      </c>
      <c r="B824" s="40" t="s">
        <v>1104</v>
      </c>
      <c r="C824" s="40" t="s">
        <v>249</v>
      </c>
      <c r="D824" s="40" t="s">
        <v>228</v>
      </c>
      <c r="E824" s="73"/>
      <c r="F824" s="2"/>
      <c r="G824" s="10">
        <f>G825</f>
        <v>0</v>
      </c>
      <c r="H824" s="222"/>
    </row>
    <row r="825" spans="1:8" ht="15.75" hidden="1" customHeight="1" x14ac:dyDescent="0.25">
      <c r="A825" s="45" t="s">
        <v>540</v>
      </c>
      <c r="B825" s="20" t="s">
        <v>1106</v>
      </c>
      <c r="C825" s="40" t="s">
        <v>249</v>
      </c>
      <c r="D825" s="40" t="s">
        <v>228</v>
      </c>
      <c r="E825" s="40"/>
      <c r="F825" s="2"/>
      <c r="G825" s="10">
        <f>G826</f>
        <v>0</v>
      </c>
    </row>
    <row r="826" spans="1:8" ht="31.7" hidden="1" customHeight="1" x14ac:dyDescent="0.25">
      <c r="A826" s="31" t="s">
        <v>146</v>
      </c>
      <c r="B826" s="20" t="s">
        <v>1106</v>
      </c>
      <c r="C826" s="40" t="s">
        <v>249</v>
      </c>
      <c r="D826" s="40" t="s">
        <v>228</v>
      </c>
      <c r="E826" s="40" t="s">
        <v>147</v>
      </c>
      <c r="F826" s="2"/>
      <c r="G826" s="10">
        <f t="shared" ref="G826" si="96">G827</f>
        <v>0</v>
      </c>
    </row>
    <row r="827" spans="1:8" ht="31.7" hidden="1" customHeight="1" x14ac:dyDescent="0.25">
      <c r="A827" s="31" t="s">
        <v>148</v>
      </c>
      <c r="B827" s="20" t="s">
        <v>1106</v>
      </c>
      <c r="C827" s="40" t="s">
        <v>249</v>
      </c>
      <c r="D827" s="40" t="s">
        <v>228</v>
      </c>
      <c r="E827" s="40" t="s">
        <v>149</v>
      </c>
      <c r="F827" s="2"/>
      <c r="G827" s="10">
        <f>'Пр.3 Рд,пр, ЦС,ВР 20'!F385</f>
        <v>0</v>
      </c>
    </row>
    <row r="828" spans="1:8" s="221" customFormat="1" ht="31.7" hidden="1" customHeight="1" x14ac:dyDescent="0.25">
      <c r="A828" s="45" t="s">
        <v>638</v>
      </c>
      <c r="B828" s="20" t="s">
        <v>1106</v>
      </c>
      <c r="C828" s="40" t="s">
        <v>249</v>
      </c>
      <c r="D828" s="40" t="s">
        <v>228</v>
      </c>
      <c r="E828" s="40" t="s">
        <v>149</v>
      </c>
      <c r="F828" s="2">
        <v>908</v>
      </c>
      <c r="G828" s="6">
        <f>G827</f>
        <v>0</v>
      </c>
      <c r="H828" s="222"/>
    </row>
    <row r="829" spans="1:8" s="221" customFormat="1" ht="15.75" customHeight="1" x14ac:dyDescent="0.25">
      <c r="A829" s="58" t="s">
        <v>1107</v>
      </c>
      <c r="B829" s="24" t="s">
        <v>1108</v>
      </c>
      <c r="C829" s="40"/>
      <c r="D829" s="40"/>
      <c r="E829" s="40"/>
      <c r="F829" s="2"/>
      <c r="G829" s="59">
        <f>G830</f>
        <v>44</v>
      </c>
      <c r="H829" s="222"/>
    </row>
    <row r="830" spans="1:8" s="221" customFormat="1" ht="15.75" customHeight="1" x14ac:dyDescent="0.25">
      <c r="A830" s="29" t="s">
        <v>405</v>
      </c>
      <c r="B830" s="40" t="s">
        <v>1108</v>
      </c>
      <c r="C830" s="40" t="s">
        <v>249</v>
      </c>
      <c r="D830" s="40"/>
      <c r="E830" s="73"/>
      <c r="F830" s="2"/>
      <c r="G830" s="10">
        <f>G831</f>
        <v>44</v>
      </c>
      <c r="H830" s="222"/>
    </row>
    <row r="831" spans="1:8" s="221" customFormat="1" ht="15.75" customHeight="1" x14ac:dyDescent="0.25">
      <c r="A831" s="29" t="s">
        <v>532</v>
      </c>
      <c r="B831" s="40" t="s">
        <v>1108</v>
      </c>
      <c r="C831" s="40" t="s">
        <v>249</v>
      </c>
      <c r="D831" s="40" t="s">
        <v>228</v>
      </c>
      <c r="E831" s="73"/>
      <c r="F831" s="2"/>
      <c r="G831" s="10">
        <f>G832</f>
        <v>44</v>
      </c>
      <c r="H831" s="222"/>
    </row>
    <row r="832" spans="1:8" ht="15.75" x14ac:dyDescent="0.25">
      <c r="A832" s="45" t="s">
        <v>542</v>
      </c>
      <c r="B832" s="20" t="s">
        <v>1109</v>
      </c>
      <c r="C832" s="40" t="s">
        <v>249</v>
      </c>
      <c r="D832" s="40" t="s">
        <v>228</v>
      </c>
      <c r="E832" s="40"/>
      <c r="F832" s="2"/>
      <c r="G832" s="10">
        <f t="shared" ref="G832:G833" si="97">G833</f>
        <v>44</v>
      </c>
    </row>
    <row r="833" spans="1:8" ht="31.5" x14ac:dyDescent="0.25">
      <c r="A833" s="31" t="s">
        <v>146</v>
      </c>
      <c r="B833" s="20" t="s">
        <v>1109</v>
      </c>
      <c r="C833" s="40" t="s">
        <v>249</v>
      </c>
      <c r="D833" s="40" t="s">
        <v>228</v>
      </c>
      <c r="E833" s="40" t="s">
        <v>147</v>
      </c>
      <c r="F833" s="2"/>
      <c r="G833" s="10">
        <f t="shared" si="97"/>
        <v>44</v>
      </c>
    </row>
    <row r="834" spans="1:8" ht="31.5" x14ac:dyDescent="0.25">
      <c r="A834" s="31" t="s">
        <v>148</v>
      </c>
      <c r="B834" s="20" t="s">
        <v>1109</v>
      </c>
      <c r="C834" s="40" t="s">
        <v>249</v>
      </c>
      <c r="D834" s="40" t="s">
        <v>228</v>
      </c>
      <c r="E834" s="40" t="s">
        <v>149</v>
      </c>
      <c r="F834" s="2"/>
      <c r="G834" s="10">
        <f>'Пр.3 Рд,пр, ЦС,ВР 20'!F389</f>
        <v>44</v>
      </c>
    </row>
    <row r="835" spans="1:8" s="221" customFormat="1" ht="31.5" x14ac:dyDescent="0.25">
      <c r="A835" s="45" t="s">
        <v>638</v>
      </c>
      <c r="B835" s="20" t="s">
        <v>1109</v>
      </c>
      <c r="C835" s="40" t="s">
        <v>249</v>
      </c>
      <c r="D835" s="40" t="s">
        <v>228</v>
      </c>
      <c r="E835" s="40" t="s">
        <v>149</v>
      </c>
      <c r="F835" s="2">
        <v>908</v>
      </c>
      <c r="G835" s="6">
        <f>G834</f>
        <v>44</v>
      </c>
      <c r="H835" s="222"/>
    </row>
    <row r="836" spans="1:8" s="221" customFormat="1" ht="31.5" hidden="1" x14ac:dyDescent="0.25">
      <c r="A836" s="34" t="s">
        <v>1170</v>
      </c>
      <c r="B836" s="24" t="s">
        <v>1171</v>
      </c>
      <c r="C836" s="40"/>
      <c r="D836" s="40"/>
      <c r="E836" s="40"/>
      <c r="F836" s="2"/>
      <c r="G836" s="59">
        <f>G837</f>
        <v>0</v>
      </c>
      <c r="H836" s="222"/>
    </row>
    <row r="837" spans="1:8" s="221" customFormat="1" ht="15.75" hidden="1" x14ac:dyDescent="0.25">
      <c r="A837" s="29" t="s">
        <v>405</v>
      </c>
      <c r="B837" s="40" t="s">
        <v>533</v>
      </c>
      <c r="C837" s="40" t="s">
        <v>249</v>
      </c>
      <c r="D837" s="40"/>
      <c r="E837" s="73"/>
      <c r="F837" s="2"/>
      <c r="G837" s="10">
        <f t="shared" ref="G837" si="98">G838</f>
        <v>0</v>
      </c>
      <c r="H837" s="222"/>
    </row>
    <row r="838" spans="1:8" s="221" customFormat="1" ht="15.75" hidden="1" x14ac:dyDescent="0.25">
      <c r="A838" s="29" t="s">
        <v>532</v>
      </c>
      <c r="B838" s="40" t="s">
        <v>533</v>
      </c>
      <c r="C838" s="40" t="s">
        <v>249</v>
      </c>
      <c r="D838" s="40" t="s">
        <v>228</v>
      </c>
      <c r="E838" s="73"/>
      <c r="F838" s="2"/>
      <c r="G838" s="10">
        <f>G839</f>
        <v>0</v>
      </c>
      <c r="H838" s="222"/>
    </row>
    <row r="839" spans="1:8" ht="15.75" hidden="1" customHeight="1" x14ac:dyDescent="0.25">
      <c r="A839" s="45" t="s">
        <v>544</v>
      </c>
      <c r="B839" s="20" t="s">
        <v>1174</v>
      </c>
      <c r="C839" s="40" t="s">
        <v>249</v>
      </c>
      <c r="D839" s="40" t="s">
        <v>228</v>
      </c>
      <c r="E839" s="40"/>
      <c r="F839" s="2"/>
      <c r="G839" s="10">
        <f t="shared" ref="G839:G840" si="99">G840</f>
        <v>0</v>
      </c>
    </row>
    <row r="840" spans="1:8" ht="31.7" hidden="1" customHeight="1" x14ac:dyDescent="0.25">
      <c r="A840" s="31" t="s">
        <v>146</v>
      </c>
      <c r="B840" s="20" t="s">
        <v>1174</v>
      </c>
      <c r="C840" s="40" t="s">
        <v>249</v>
      </c>
      <c r="D840" s="40" t="s">
        <v>228</v>
      </c>
      <c r="E840" s="40" t="s">
        <v>147</v>
      </c>
      <c r="F840" s="2"/>
      <c r="G840" s="10">
        <f t="shared" si="99"/>
        <v>0</v>
      </c>
    </row>
    <row r="841" spans="1:8" ht="31.7" hidden="1" customHeight="1" x14ac:dyDescent="0.25">
      <c r="A841" s="31" t="s">
        <v>148</v>
      </c>
      <c r="B841" s="20" t="s">
        <v>1174</v>
      </c>
      <c r="C841" s="40" t="s">
        <v>249</v>
      </c>
      <c r="D841" s="40" t="s">
        <v>228</v>
      </c>
      <c r="E841" s="40" t="s">
        <v>149</v>
      </c>
      <c r="F841" s="2"/>
      <c r="G841" s="10">
        <f>'Пр.3 Рд,пр, ЦС,ВР 20'!F393</f>
        <v>0</v>
      </c>
    </row>
    <row r="842" spans="1:8" s="221" customFormat="1" ht="31.7" hidden="1" customHeight="1" x14ac:dyDescent="0.25">
      <c r="A842" s="45" t="s">
        <v>638</v>
      </c>
      <c r="B842" s="20" t="s">
        <v>1174</v>
      </c>
      <c r="C842" s="40" t="s">
        <v>249</v>
      </c>
      <c r="D842" s="40" t="s">
        <v>228</v>
      </c>
      <c r="E842" s="40" t="s">
        <v>149</v>
      </c>
      <c r="F842" s="2">
        <v>908</v>
      </c>
      <c r="G842" s="6">
        <f>G841</f>
        <v>0</v>
      </c>
      <c r="H842" s="222"/>
    </row>
    <row r="843" spans="1:8" s="221" customFormat="1" ht="31.7" hidden="1" customHeight="1" x14ac:dyDescent="0.25">
      <c r="A843" s="247" t="s">
        <v>1172</v>
      </c>
      <c r="B843" s="24" t="s">
        <v>1173</v>
      </c>
      <c r="C843" s="40"/>
      <c r="D843" s="40"/>
      <c r="E843" s="40"/>
      <c r="F843" s="2"/>
      <c r="G843" s="59">
        <f>G844</f>
        <v>0</v>
      </c>
      <c r="H843" s="222"/>
    </row>
    <row r="844" spans="1:8" s="221" customFormat="1" ht="16.5" hidden="1" customHeight="1" x14ac:dyDescent="0.25">
      <c r="A844" s="29" t="s">
        <v>405</v>
      </c>
      <c r="B844" s="40" t="s">
        <v>533</v>
      </c>
      <c r="C844" s="40" t="s">
        <v>249</v>
      </c>
      <c r="D844" s="40"/>
      <c r="E844" s="73"/>
      <c r="F844" s="2"/>
      <c r="G844" s="10">
        <f t="shared" ref="G844" si="100">G845</f>
        <v>0</v>
      </c>
      <c r="H844" s="222"/>
    </row>
    <row r="845" spans="1:8" s="221" customFormat="1" ht="19.5" hidden="1" customHeight="1" x14ac:dyDescent="0.25">
      <c r="A845" s="29" t="s">
        <v>532</v>
      </c>
      <c r="B845" s="40" t="s">
        <v>533</v>
      </c>
      <c r="C845" s="40" t="s">
        <v>249</v>
      </c>
      <c r="D845" s="40" t="s">
        <v>228</v>
      </c>
      <c r="E845" s="73"/>
      <c r="F845" s="2"/>
      <c r="G845" s="10">
        <f>G846</f>
        <v>0</v>
      </c>
      <c r="H845" s="222"/>
    </row>
    <row r="846" spans="1:8" ht="31.7" hidden="1" customHeight="1" x14ac:dyDescent="0.25">
      <c r="A846" s="178" t="s">
        <v>546</v>
      </c>
      <c r="B846" s="20" t="s">
        <v>1175</v>
      </c>
      <c r="C846" s="40" t="s">
        <v>249</v>
      </c>
      <c r="D846" s="40" t="s">
        <v>228</v>
      </c>
      <c r="E846" s="40"/>
      <c r="F846" s="2"/>
      <c r="G846" s="10">
        <f t="shared" ref="G846:G847" si="101">G847</f>
        <v>0</v>
      </c>
    </row>
    <row r="847" spans="1:8" ht="31.7" hidden="1" customHeight="1" x14ac:dyDescent="0.25">
      <c r="A847" s="31" t="s">
        <v>146</v>
      </c>
      <c r="B847" s="20" t="s">
        <v>1175</v>
      </c>
      <c r="C847" s="40" t="s">
        <v>249</v>
      </c>
      <c r="D847" s="40" t="s">
        <v>228</v>
      </c>
      <c r="E847" s="40" t="s">
        <v>147</v>
      </c>
      <c r="F847" s="2"/>
      <c r="G847" s="10">
        <f t="shared" si="101"/>
        <v>0</v>
      </c>
    </row>
    <row r="848" spans="1:8" ht="31.7" hidden="1" customHeight="1" x14ac:dyDescent="0.25">
      <c r="A848" s="31" t="s">
        <v>148</v>
      </c>
      <c r="B848" s="20" t="s">
        <v>1175</v>
      </c>
      <c r="C848" s="40" t="s">
        <v>249</v>
      </c>
      <c r="D848" s="40" t="s">
        <v>228</v>
      </c>
      <c r="E848" s="40" t="s">
        <v>149</v>
      </c>
      <c r="F848" s="2"/>
      <c r="G848" s="10">
        <f>'Пр.3 Рд,пр, ЦС,ВР 20'!F397</f>
        <v>0</v>
      </c>
    </row>
    <row r="849" spans="1:8" s="221" customFormat="1" ht="31.7" hidden="1" customHeight="1" x14ac:dyDescent="0.25">
      <c r="A849" s="45" t="s">
        <v>638</v>
      </c>
      <c r="B849" s="20" t="s">
        <v>1175</v>
      </c>
      <c r="C849" s="40" t="s">
        <v>249</v>
      </c>
      <c r="D849" s="40" t="s">
        <v>228</v>
      </c>
      <c r="E849" s="40" t="s">
        <v>149</v>
      </c>
      <c r="F849" s="2">
        <v>908</v>
      </c>
      <c r="G849" s="6">
        <f>G848</f>
        <v>0</v>
      </c>
      <c r="H849" s="222"/>
    </row>
    <row r="850" spans="1:8" s="221" customFormat="1" ht="31.7" hidden="1" customHeight="1" x14ac:dyDescent="0.25">
      <c r="A850" s="247" t="s">
        <v>1111</v>
      </c>
      <c r="B850" s="24" t="s">
        <v>1112</v>
      </c>
      <c r="C850" s="40"/>
      <c r="D850" s="40"/>
      <c r="E850" s="40"/>
      <c r="F850" s="2"/>
      <c r="G850" s="59">
        <f>G851</f>
        <v>0</v>
      </c>
      <c r="H850" s="222"/>
    </row>
    <row r="851" spans="1:8" s="221" customFormat="1" ht="17.45" hidden="1" customHeight="1" x14ac:dyDescent="0.25">
      <c r="A851" s="29" t="s">
        <v>405</v>
      </c>
      <c r="B851" s="40" t="s">
        <v>533</v>
      </c>
      <c r="C851" s="40" t="s">
        <v>249</v>
      </c>
      <c r="D851" s="40"/>
      <c r="E851" s="73"/>
      <c r="F851" s="2"/>
      <c r="G851" s="10">
        <f>G852</f>
        <v>0</v>
      </c>
      <c r="H851" s="222"/>
    </row>
    <row r="852" spans="1:8" s="221" customFormat="1" ht="20.25" hidden="1" customHeight="1" x14ac:dyDescent="0.25">
      <c r="A852" s="29" t="s">
        <v>532</v>
      </c>
      <c r="B852" s="40" t="s">
        <v>533</v>
      </c>
      <c r="C852" s="40" t="s">
        <v>249</v>
      </c>
      <c r="D852" s="40" t="s">
        <v>228</v>
      </c>
      <c r="E852" s="73"/>
      <c r="F852" s="2"/>
      <c r="G852" s="10">
        <f>G853</f>
        <v>0</v>
      </c>
      <c r="H852" s="222"/>
    </row>
    <row r="853" spans="1:8" ht="15.75" hidden="1" x14ac:dyDescent="0.25">
      <c r="A853" s="178" t="s">
        <v>548</v>
      </c>
      <c r="B853" s="20" t="s">
        <v>1110</v>
      </c>
      <c r="C853" s="40" t="s">
        <v>249</v>
      </c>
      <c r="D853" s="40" t="s">
        <v>228</v>
      </c>
      <c r="E853" s="40"/>
      <c r="F853" s="2"/>
      <c r="G853" s="10">
        <f t="shared" ref="G853:G854" si="102">G854</f>
        <v>0</v>
      </c>
    </row>
    <row r="854" spans="1:8" ht="31.5" hidden="1" x14ac:dyDescent="0.3">
      <c r="A854" s="25" t="s">
        <v>146</v>
      </c>
      <c r="B854" s="20" t="s">
        <v>1110</v>
      </c>
      <c r="C854" s="40" t="s">
        <v>249</v>
      </c>
      <c r="D854" s="40" t="s">
        <v>228</v>
      </c>
      <c r="E854" s="2">
        <v>200</v>
      </c>
      <c r="F854" s="77"/>
      <c r="G854" s="6">
        <f t="shared" si="102"/>
        <v>0</v>
      </c>
    </row>
    <row r="855" spans="1:8" ht="31.5" hidden="1" x14ac:dyDescent="0.3">
      <c r="A855" s="25" t="s">
        <v>148</v>
      </c>
      <c r="B855" s="20" t="s">
        <v>1110</v>
      </c>
      <c r="C855" s="40" t="s">
        <v>249</v>
      </c>
      <c r="D855" s="40" t="s">
        <v>228</v>
      </c>
      <c r="E855" s="2">
        <v>240</v>
      </c>
      <c r="F855" s="77"/>
      <c r="G855" s="6">
        <f>'Пр.3 Рд,пр, ЦС,ВР 20'!F401</f>
        <v>0</v>
      </c>
    </row>
    <row r="856" spans="1:8" ht="31.5" hidden="1" x14ac:dyDescent="0.25">
      <c r="A856" s="45" t="s">
        <v>638</v>
      </c>
      <c r="B856" s="20" t="s">
        <v>1110</v>
      </c>
      <c r="C856" s="40" t="s">
        <v>249</v>
      </c>
      <c r="D856" s="40" t="s">
        <v>228</v>
      </c>
      <c r="E856" s="2">
        <v>240</v>
      </c>
      <c r="F856" s="2">
        <v>908</v>
      </c>
      <c r="G856" s="6">
        <f>G855</f>
        <v>0</v>
      </c>
    </row>
    <row r="857" spans="1:8" ht="47.25" x14ac:dyDescent="0.25">
      <c r="A857" s="23" t="s">
        <v>349</v>
      </c>
      <c r="B857" s="24" t="s">
        <v>350</v>
      </c>
      <c r="C857" s="7"/>
      <c r="D857" s="7"/>
      <c r="E857" s="3"/>
      <c r="F857" s="3"/>
      <c r="G857" s="4">
        <f>G858</f>
        <v>175</v>
      </c>
      <c r="H857" s="222">
        <v>275</v>
      </c>
    </row>
    <row r="858" spans="1:8" s="221" customFormat="1" ht="31.5" x14ac:dyDescent="0.25">
      <c r="A858" s="23" t="s">
        <v>1225</v>
      </c>
      <c r="B858" s="24" t="s">
        <v>1226</v>
      </c>
      <c r="C858" s="7"/>
      <c r="D858" s="7"/>
      <c r="E858" s="3"/>
      <c r="F858" s="3"/>
      <c r="G858" s="4">
        <f>G859</f>
        <v>175</v>
      </c>
      <c r="H858" s="222"/>
    </row>
    <row r="859" spans="1:8" ht="15.75" x14ac:dyDescent="0.25">
      <c r="A859" s="29" t="s">
        <v>132</v>
      </c>
      <c r="B859" s="20" t="s">
        <v>1226</v>
      </c>
      <c r="C859" s="40" t="s">
        <v>133</v>
      </c>
      <c r="D859" s="40"/>
      <c r="E859" s="2"/>
      <c r="F859" s="2"/>
      <c r="G859" s="6">
        <f>G860</f>
        <v>175</v>
      </c>
    </row>
    <row r="860" spans="1:8" ht="15.75" x14ac:dyDescent="0.25">
      <c r="A860" s="29" t="s">
        <v>154</v>
      </c>
      <c r="B860" s="20" t="s">
        <v>1226</v>
      </c>
      <c r="C860" s="40" t="s">
        <v>133</v>
      </c>
      <c r="D860" s="40" t="s">
        <v>155</v>
      </c>
      <c r="E860" s="2"/>
      <c r="F860" s="2"/>
      <c r="G860" s="6">
        <f>G861+G868+G872+G876+G880+G884+G888</f>
        <v>175</v>
      </c>
    </row>
    <row r="861" spans="1:8" ht="31.5" x14ac:dyDescent="0.25">
      <c r="A861" s="25" t="s">
        <v>351</v>
      </c>
      <c r="B861" s="20" t="s">
        <v>1227</v>
      </c>
      <c r="C861" s="40" t="s">
        <v>133</v>
      </c>
      <c r="D861" s="40" t="s">
        <v>155</v>
      </c>
      <c r="E861" s="2"/>
      <c r="F861" s="2"/>
      <c r="G861" s="6">
        <f>G862+G865</f>
        <v>120</v>
      </c>
    </row>
    <row r="862" spans="1:8" ht="31.5" x14ac:dyDescent="0.25">
      <c r="A862" s="25" t="s">
        <v>146</v>
      </c>
      <c r="B862" s="20" t="s">
        <v>1227</v>
      </c>
      <c r="C862" s="40" t="s">
        <v>133</v>
      </c>
      <c r="D862" s="40" t="s">
        <v>155</v>
      </c>
      <c r="E862" s="2">
        <v>200</v>
      </c>
      <c r="F862" s="2"/>
      <c r="G862" s="6">
        <f t="shared" ref="G862" si="103">G863</f>
        <v>50</v>
      </c>
    </row>
    <row r="863" spans="1:8" ht="31.5" x14ac:dyDescent="0.25">
      <c r="A863" s="25" t="s">
        <v>148</v>
      </c>
      <c r="B863" s="20" t="s">
        <v>1227</v>
      </c>
      <c r="C863" s="40" t="s">
        <v>133</v>
      </c>
      <c r="D863" s="40" t="s">
        <v>155</v>
      </c>
      <c r="E863" s="2">
        <v>240</v>
      </c>
      <c r="F863" s="2"/>
      <c r="G863" s="6">
        <f>'Пр.4 ведом.20'!G547</f>
        <v>50</v>
      </c>
    </row>
    <row r="864" spans="1:8" s="221" customFormat="1" ht="31.5" x14ac:dyDescent="0.25">
      <c r="A864" s="45" t="s">
        <v>418</v>
      </c>
      <c r="B864" s="20" t="s">
        <v>1227</v>
      </c>
      <c r="C864" s="40" t="s">
        <v>133</v>
      </c>
      <c r="D864" s="40" t="s">
        <v>155</v>
      </c>
      <c r="E864" s="2">
        <v>240</v>
      </c>
      <c r="F864" s="2">
        <v>906</v>
      </c>
      <c r="G864" s="6">
        <f>G863</f>
        <v>50</v>
      </c>
      <c r="H864" s="222"/>
    </row>
    <row r="865" spans="1:8" s="221" customFormat="1" ht="31.5" x14ac:dyDescent="0.25">
      <c r="A865" s="25" t="s">
        <v>146</v>
      </c>
      <c r="B865" s="20" t="s">
        <v>1227</v>
      </c>
      <c r="C865" s="40" t="s">
        <v>133</v>
      </c>
      <c r="D865" s="40" t="s">
        <v>155</v>
      </c>
      <c r="E865" s="2">
        <v>200</v>
      </c>
      <c r="F865" s="2"/>
      <c r="G865" s="6">
        <f t="shared" ref="G865" si="104">G866</f>
        <v>70</v>
      </c>
      <c r="H865" s="222"/>
    </row>
    <row r="866" spans="1:8" s="221" customFormat="1" ht="31.5" x14ac:dyDescent="0.25">
      <c r="A866" s="25" t="s">
        <v>148</v>
      </c>
      <c r="B866" s="20" t="s">
        <v>1227</v>
      </c>
      <c r="C866" s="40" t="s">
        <v>133</v>
      </c>
      <c r="D866" s="40" t="s">
        <v>155</v>
      </c>
      <c r="E866" s="2">
        <v>240</v>
      </c>
      <c r="F866" s="2"/>
      <c r="G866" s="6">
        <f>'Пр.4 ведом.20'!G789</f>
        <v>70</v>
      </c>
      <c r="H866" s="222"/>
    </row>
    <row r="867" spans="1:8" s="221" customFormat="1" ht="31.5" x14ac:dyDescent="0.25">
      <c r="A867" s="45" t="s">
        <v>495</v>
      </c>
      <c r="B867" s="20" t="s">
        <v>1227</v>
      </c>
      <c r="C867" s="40" t="s">
        <v>133</v>
      </c>
      <c r="D867" s="40" t="s">
        <v>155</v>
      </c>
      <c r="E867" s="2">
        <v>240</v>
      </c>
      <c r="F867" s="2">
        <v>907</v>
      </c>
      <c r="G867" s="6">
        <f>G866</f>
        <v>70</v>
      </c>
      <c r="H867" s="222"/>
    </row>
    <row r="868" spans="1:8" s="221" customFormat="1" ht="31.5" hidden="1" x14ac:dyDescent="0.25">
      <c r="A868" s="25" t="s">
        <v>351</v>
      </c>
      <c r="B868" s="20" t="s">
        <v>1232</v>
      </c>
      <c r="C868" s="40" t="s">
        <v>133</v>
      </c>
      <c r="D868" s="40" t="s">
        <v>155</v>
      </c>
      <c r="E868" s="2"/>
      <c r="F868" s="2"/>
      <c r="G868" s="6">
        <f>G869</f>
        <v>0</v>
      </c>
      <c r="H868" s="222"/>
    </row>
    <row r="869" spans="1:8" s="221" customFormat="1" ht="31.5" hidden="1" x14ac:dyDescent="0.25">
      <c r="A869" s="25" t="s">
        <v>146</v>
      </c>
      <c r="B869" s="20" t="s">
        <v>1232</v>
      </c>
      <c r="C869" s="40" t="s">
        <v>133</v>
      </c>
      <c r="D869" s="40" t="s">
        <v>155</v>
      </c>
      <c r="E869" s="2">
        <v>200</v>
      </c>
      <c r="F869" s="2"/>
      <c r="G869" s="6">
        <f t="shared" ref="G869" si="105">G870</f>
        <v>0</v>
      </c>
      <c r="H869" s="222"/>
    </row>
    <row r="870" spans="1:8" s="221" customFormat="1" ht="31.5" hidden="1" x14ac:dyDescent="0.25">
      <c r="A870" s="25" t="s">
        <v>148</v>
      </c>
      <c r="B870" s="20" t="s">
        <v>1232</v>
      </c>
      <c r="C870" s="40" t="s">
        <v>133</v>
      </c>
      <c r="D870" s="40" t="s">
        <v>155</v>
      </c>
      <c r="E870" s="2">
        <v>240</v>
      </c>
      <c r="F870" s="2"/>
      <c r="G870" s="6">
        <f>'Пр.3 Рд,пр, ЦС,ВР 20'!F177</f>
        <v>0</v>
      </c>
      <c r="H870" s="222"/>
    </row>
    <row r="871" spans="1:8" s="221" customFormat="1" ht="31.5" hidden="1" x14ac:dyDescent="0.25">
      <c r="A871" s="45" t="s">
        <v>418</v>
      </c>
      <c r="B871" s="20" t="s">
        <v>1232</v>
      </c>
      <c r="C871" s="40" t="s">
        <v>133</v>
      </c>
      <c r="D871" s="40" t="s">
        <v>155</v>
      </c>
      <c r="E871" s="2">
        <v>240</v>
      </c>
      <c r="F871" s="2">
        <v>906</v>
      </c>
      <c r="G871" s="6">
        <f>G870</f>
        <v>0</v>
      </c>
      <c r="H871" s="222"/>
    </row>
    <row r="872" spans="1:8" ht="23.25" customHeight="1" x14ac:dyDescent="0.25">
      <c r="A872" s="25" t="s">
        <v>353</v>
      </c>
      <c r="B872" s="20" t="s">
        <v>1228</v>
      </c>
      <c r="C872" s="40" t="s">
        <v>133</v>
      </c>
      <c r="D872" s="40" t="s">
        <v>155</v>
      </c>
      <c r="E872" s="2"/>
      <c r="F872" s="2"/>
      <c r="G872" s="6">
        <f t="shared" ref="G872:G873" si="106">G873</f>
        <v>25</v>
      </c>
    </row>
    <row r="873" spans="1:8" ht="31.5" x14ac:dyDescent="0.25">
      <c r="A873" s="25" t="s">
        <v>146</v>
      </c>
      <c r="B873" s="20" t="s">
        <v>1228</v>
      </c>
      <c r="C873" s="40" t="s">
        <v>133</v>
      </c>
      <c r="D873" s="40" t="s">
        <v>155</v>
      </c>
      <c r="E873" s="2">
        <v>200</v>
      </c>
      <c r="F873" s="2"/>
      <c r="G873" s="6">
        <f t="shared" si="106"/>
        <v>25</v>
      </c>
    </row>
    <row r="874" spans="1:8" ht="31.5" x14ac:dyDescent="0.25">
      <c r="A874" s="25" t="s">
        <v>148</v>
      </c>
      <c r="B874" s="20" t="s">
        <v>1228</v>
      </c>
      <c r="C874" s="40" t="s">
        <v>133</v>
      </c>
      <c r="D874" s="40" t="s">
        <v>155</v>
      </c>
      <c r="E874" s="2">
        <v>240</v>
      </c>
      <c r="F874" s="2"/>
      <c r="G874" s="6">
        <f>'Пр.4 ведом.20'!G229</f>
        <v>25</v>
      </c>
    </row>
    <row r="875" spans="1:8" s="221" customFormat="1" ht="47.25" x14ac:dyDescent="0.25">
      <c r="A875" s="45" t="s">
        <v>276</v>
      </c>
      <c r="B875" s="20" t="s">
        <v>1228</v>
      </c>
      <c r="C875" s="40" t="s">
        <v>133</v>
      </c>
      <c r="D875" s="40" t="s">
        <v>155</v>
      </c>
      <c r="E875" s="2">
        <v>240</v>
      </c>
      <c r="F875" s="2">
        <v>903</v>
      </c>
      <c r="G875" s="6">
        <f>G874</f>
        <v>25</v>
      </c>
      <c r="H875" s="222"/>
    </row>
    <row r="876" spans="1:8" ht="47.25" x14ac:dyDescent="0.25">
      <c r="A876" s="31" t="s">
        <v>792</v>
      </c>
      <c r="B876" s="20" t="s">
        <v>1229</v>
      </c>
      <c r="C876" s="40" t="s">
        <v>133</v>
      </c>
      <c r="D876" s="40" t="s">
        <v>155</v>
      </c>
      <c r="E876" s="2"/>
      <c r="F876" s="2"/>
      <c r="G876" s="6">
        <f t="shared" ref="G876:G877" si="107">G877</f>
        <v>10</v>
      </c>
    </row>
    <row r="877" spans="1:8" ht="31.5" x14ac:dyDescent="0.25">
      <c r="A877" s="25" t="s">
        <v>146</v>
      </c>
      <c r="B877" s="20" t="s">
        <v>1229</v>
      </c>
      <c r="C877" s="20" t="s">
        <v>133</v>
      </c>
      <c r="D877" s="20" t="s">
        <v>155</v>
      </c>
      <c r="E877" s="20" t="s">
        <v>147</v>
      </c>
      <c r="F877" s="182"/>
      <c r="G877" s="6">
        <f t="shared" si="107"/>
        <v>10</v>
      </c>
    </row>
    <row r="878" spans="1:8" ht="31.5" x14ac:dyDescent="0.25">
      <c r="A878" s="25" t="s">
        <v>148</v>
      </c>
      <c r="B878" s="20" t="s">
        <v>1229</v>
      </c>
      <c r="C878" s="20" t="s">
        <v>133</v>
      </c>
      <c r="D878" s="20" t="s">
        <v>155</v>
      </c>
      <c r="E878" s="20" t="s">
        <v>149</v>
      </c>
      <c r="F878" s="182"/>
      <c r="G878" s="6">
        <f>'Пр.4 ведом.20'!G232</f>
        <v>10</v>
      </c>
    </row>
    <row r="879" spans="1:8" s="221" customFormat="1" ht="47.25" x14ac:dyDescent="0.25">
      <c r="A879" s="45" t="s">
        <v>276</v>
      </c>
      <c r="B879" s="20" t="s">
        <v>1229</v>
      </c>
      <c r="C879" s="40" t="s">
        <v>133</v>
      </c>
      <c r="D879" s="40" t="s">
        <v>155</v>
      </c>
      <c r="E879" s="2">
        <v>240</v>
      </c>
      <c r="F879" s="2">
        <v>903</v>
      </c>
      <c r="G879" s="6">
        <f>G878</f>
        <v>10</v>
      </c>
      <c r="H879" s="222"/>
    </row>
    <row r="880" spans="1:8" ht="31.5" hidden="1" x14ac:dyDescent="0.25">
      <c r="A880" s="25" t="s">
        <v>694</v>
      </c>
      <c r="B880" s="20" t="s">
        <v>1230</v>
      </c>
      <c r="C880" s="40" t="s">
        <v>133</v>
      </c>
      <c r="D880" s="40" t="s">
        <v>155</v>
      </c>
      <c r="E880" s="2"/>
      <c r="F880" s="182"/>
      <c r="G880" s="6">
        <f t="shared" ref="G880:G881" si="108">G881</f>
        <v>0</v>
      </c>
    </row>
    <row r="881" spans="1:9" ht="31.5" hidden="1" x14ac:dyDescent="0.25">
      <c r="A881" s="25" t="s">
        <v>146</v>
      </c>
      <c r="B881" s="20" t="s">
        <v>1230</v>
      </c>
      <c r="C881" s="40" t="s">
        <v>133</v>
      </c>
      <c r="D881" s="40" t="s">
        <v>155</v>
      </c>
      <c r="E881" s="2">
        <v>200</v>
      </c>
      <c r="F881" s="182"/>
      <c r="G881" s="6">
        <f t="shared" si="108"/>
        <v>0</v>
      </c>
    </row>
    <row r="882" spans="1:9" ht="31.5" hidden="1" x14ac:dyDescent="0.25">
      <c r="A882" s="25" t="s">
        <v>148</v>
      </c>
      <c r="B882" s="20" t="s">
        <v>1230</v>
      </c>
      <c r="C882" s="40" t="s">
        <v>133</v>
      </c>
      <c r="D882" s="40" t="s">
        <v>155</v>
      </c>
      <c r="E882" s="2">
        <v>240</v>
      </c>
      <c r="F882" s="182"/>
      <c r="G882" s="6">
        <f>'Пр.4 ведом.20'!G235</f>
        <v>0</v>
      </c>
    </row>
    <row r="883" spans="1:9" s="221" customFormat="1" ht="47.25" hidden="1" x14ac:dyDescent="0.25">
      <c r="A883" s="45" t="s">
        <v>276</v>
      </c>
      <c r="B883" s="20" t="s">
        <v>1230</v>
      </c>
      <c r="C883" s="40" t="s">
        <v>133</v>
      </c>
      <c r="D883" s="40" t="s">
        <v>155</v>
      </c>
      <c r="E883" s="2">
        <v>240</v>
      </c>
      <c r="F883" s="2">
        <v>903</v>
      </c>
      <c r="G883" s="6">
        <f>G882</f>
        <v>0</v>
      </c>
      <c r="H883" s="222"/>
    </row>
    <row r="884" spans="1:9" s="221" customFormat="1" ht="15.75" hidden="1" x14ac:dyDescent="0.25">
      <c r="A884" s="31" t="s">
        <v>794</v>
      </c>
      <c r="B884" s="20" t="s">
        <v>1260</v>
      </c>
      <c r="C884" s="40" t="s">
        <v>133</v>
      </c>
      <c r="D884" s="40" t="s">
        <v>155</v>
      </c>
      <c r="E884" s="2"/>
      <c r="F884" s="2"/>
      <c r="G884" s="6">
        <f t="shared" ref="G884:G885" si="109">G885</f>
        <v>0</v>
      </c>
      <c r="H884" s="222"/>
    </row>
    <row r="885" spans="1:9" s="221" customFormat="1" ht="31.5" hidden="1" x14ac:dyDescent="0.25">
      <c r="A885" s="25" t="s">
        <v>146</v>
      </c>
      <c r="B885" s="20" t="s">
        <v>1260</v>
      </c>
      <c r="C885" s="40" t="s">
        <v>133</v>
      </c>
      <c r="D885" s="40" t="s">
        <v>155</v>
      </c>
      <c r="E885" s="2">
        <v>200</v>
      </c>
      <c r="F885" s="2"/>
      <c r="G885" s="6">
        <f t="shared" si="109"/>
        <v>0</v>
      </c>
      <c r="H885" s="222"/>
    </row>
    <row r="886" spans="1:9" s="221" customFormat="1" ht="31.5" hidden="1" x14ac:dyDescent="0.25">
      <c r="A886" s="25" t="s">
        <v>148</v>
      </c>
      <c r="B886" s="20" t="s">
        <v>1260</v>
      </c>
      <c r="C886" s="40" t="s">
        <v>133</v>
      </c>
      <c r="D886" s="40" t="s">
        <v>155</v>
      </c>
      <c r="E886" s="2">
        <v>240</v>
      </c>
      <c r="F886" s="2"/>
      <c r="G886" s="6">
        <f>'Пр.3 Рд,пр, ЦС,ВР 20'!F189</f>
        <v>0</v>
      </c>
      <c r="H886" s="222"/>
    </row>
    <row r="887" spans="1:9" s="221" customFormat="1" ht="31.5" hidden="1" x14ac:dyDescent="0.25">
      <c r="A887" s="45" t="s">
        <v>418</v>
      </c>
      <c r="B887" s="20" t="s">
        <v>1260</v>
      </c>
      <c r="C887" s="40" t="s">
        <v>133</v>
      </c>
      <c r="D887" s="40" t="s">
        <v>155</v>
      </c>
      <c r="E887" s="2">
        <v>240</v>
      </c>
      <c r="F887" s="2">
        <v>906</v>
      </c>
      <c r="G887" s="6">
        <f>G886</f>
        <v>0</v>
      </c>
      <c r="H887" s="222"/>
    </row>
    <row r="888" spans="1:9" ht="31.7" customHeight="1" x14ac:dyDescent="0.25">
      <c r="A888" s="31" t="s">
        <v>793</v>
      </c>
      <c r="B888" s="20" t="s">
        <v>1231</v>
      </c>
      <c r="C888" s="20" t="s">
        <v>133</v>
      </c>
      <c r="D888" s="20" t="s">
        <v>155</v>
      </c>
      <c r="E888" s="20"/>
      <c r="F888" s="182"/>
      <c r="G888" s="6">
        <f t="shared" ref="G888:G889" si="110">G889</f>
        <v>20</v>
      </c>
    </row>
    <row r="889" spans="1:9" ht="31.7" customHeight="1" x14ac:dyDescent="0.25">
      <c r="A889" s="25" t="s">
        <v>146</v>
      </c>
      <c r="B889" s="20" t="s">
        <v>1231</v>
      </c>
      <c r="C889" s="20" t="s">
        <v>133</v>
      </c>
      <c r="D889" s="20" t="s">
        <v>155</v>
      </c>
      <c r="E889" s="20" t="s">
        <v>147</v>
      </c>
      <c r="F889" s="182"/>
      <c r="G889" s="6">
        <f t="shared" si="110"/>
        <v>20</v>
      </c>
    </row>
    <row r="890" spans="1:9" ht="31.7" customHeight="1" x14ac:dyDescent="0.25">
      <c r="A890" s="25" t="s">
        <v>148</v>
      </c>
      <c r="B890" s="20" t="s">
        <v>1231</v>
      </c>
      <c r="C890" s="20" t="s">
        <v>133</v>
      </c>
      <c r="D890" s="20" t="s">
        <v>155</v>
      </c>
      <c r="E890" s="20" t="s">
        <v>149</v>
      </c>
      <c r="F890" s="182"/>
      <c r="G890" s="6">
        <f>'Пр.4 ведом.20'!G238</f>
        <v>20</v>
      </c>
    </row>
    <row r="891" spans="1:9" ht="47.25" x14ac:dyDescent="0.25">
      <c r="A891" s="45" t="s">
        <v>276</v>
      </c>
      <c r="B891" s="20" t="s">
        <v>1231</v>
      </c>
      <c r="C891" s="20" t="s">
        <v>133</v>
      </c>
      <c r="D891" s="20" t="s">
        <v>155</v>
      </c>
      <c r="E891" s="20" t="s">
        <v>149</v>
      </c>
      <c r="F891" s="2">
        <v>903</v>
      </c>
      <c r="G891" s="6">
        <f>G890</f>
        <v>20</v>
      </c>
    </row>
    <row r="892" spans="1:9" ht="48.75" customHeight="1" x14ac:dyDescent="0.25">
      <c r="A892" s="41" t="s">
        <v>1177</v>
      </c>
      <c r="B892" s="24" t="s">
        <v>726</v>
      </c>
      <c r="C892" s="7"/>
      <c r="D892" s="7"/>
      <c r="E892" s="3"/>
      <c r="F892" s="3"/>
      <c r="G892" s="4">
        <f>G893+G904+G943</f>
        <v>3310.3999999999996</v>
      </c>
      <c r="H892" s="222">
        <v>3292.6</v>
      </c>
      <c r="I892" s="22">
        <f>H892-G892</f>
        <v>-17.799999999999727</v>
      </c>
    </row>
    <row r="893" spans="1:9" s="221" customFormat="1" ht="48.75" customHeight="1" x14ac:dyDescent="0.25">
      <c r="A893" s="238" t="s">
        <v>890</v>
      </c>
      <c r="B893" s="24" t="s">
        <v>896</v>
      </c>
      <c r="C893" s="7"/>
      <c r="D893" s="7"/>
      <c r="E893" s="3"/>
      <c r="F893" s="3"/>
      <c r="G893" s="4">
        <f>G894</f>
        <v>33</v>
      </c>
      <c r="H893" s="222"/>
      <c r="I893" s="22"/>
    </row>
    <row r="894" spans="1:9" s="122" customFormat="1" ht="15.75" x14ac:dyDescent="0.25">
      <c r="A894" s="29" t="s">
        <v>132</v>
      </c>
      <c r="B894" s="20" t="s">
        <v>896</v>
      </c>
      <c r="C894" s="40" t="s">
        <v>133</v>
      </c>
      <c r="D894" s="40"/>
      <c r="E894" s="2"/>
      <c r="F894" s="2"/>
      <c r="G894" s="6">
        <f t="shared" ref="G894" si="111">G895</f>
        <v>33</v>
      </c>
      <c r="H894" s="224"/>
    </row>
    <row r="895" spans="1:9" s="122" customFormat="1" ht="15.75" x14ac:dyDescent="0.25">
      <c r="A895" s="29" t="s">
        <v>154</v>
      </c>
      <c r="B895" s="20" t="s">
        <v>896</v>
      </c>
      <c r="C895" s="40" t="s">
        <v>133</v>
      </c>
      <c r="D895" s="40" t="s">
        <v>155</v>
      </c>
      <c r="E895" s="2"/>
      <c r="F895" s="2"/>
      <c r="G895" s="6">
        <f>G896+G900</f>
        <v>33</v>
      </c>
      <c r="H895" s="224"/>
    </row>
    <row r="896" spans="1:9" ht="31.5" x14ac:dyDescent="0.25">
      <c r="A896" s="99" t="s">
        <v>797</v>
      </c>
      <c r="B896" s="20" t="s">
        <v>891</v>
      </c>
      <c r="C896" s="40" t="s">
        <v>133</v>
      </c>
      <c r="D896" s="40" t="s">
        <v>155</v>
      </c>
      <c r="E896" s="2"/>
      <c r="F896" s="2"/>
      <c r="G896" s="6">
        <f t="shared" ref="G896:G897" si="112">G897</f>
        <v>28</v>
      </c>
    </row>
    <row r="897" spans="1:8" ht="31.5" x14ac:dyDescent="0.25">
      <c r="A897" s="25" t="s">
        <v>146</v>
      </c>
      <c r="B897" s="20" t="s">
        <v>891</v>
      </c>
      <c r="C897" s="40" t="s">
        <v>133</v>
      </c>
      <c r="D897" s="40" t="s">
        <v>155</v>
      </c>
      <c r="E897" s="2">
        <v>200</v>
      </c>
      <c r="F897" s="2"/>
      <c r="G897" s="6">
        <f t="shared" si="112"/>
        <v>28</v>
      </c>
    </row>
    <row r="898" spans="1:8" ht="31.5" x14ac:dyDescent="0.25">
      <c r="A898" s="25" t="s">
        <v>148</v>
      </c>
      <c r="B898" s="20" t="s">
        <v>891</v>
      </c>
      <c r="C898" s="40" t="s">
        <v>133</v>
      </c>
      <c r="D898" s="40" t="s">
        <v>155</v>
      </c>
      <c r="E898" s="2">
        <v>240</v>
      </c>
      <c r="F898" s="2"/>
      <c r="G898" s="6">
        <f>'Пр.4 ведом.20'!G118</f>
        <v>28</v>
      </c>
    </row>
    <row r="899" spans="1:8" s="221" customFormat="1" ht="15.75" x14ac:dyDescent="0.25">
      <c r="A899" s="29" t="s">
        <v>163</v>
      </c>
      <c r="B899" s="20" t="s">
        <v>891</v>
      </c>
      <c r="C899" s="40" t="s">
        <v>133</v>
      </c>
      <c r="D899" s="40" t="s">
        <v>155</v>
      </c>
      <c r="E899" s="2">
        <v>240</v>
      </c>
      <c r="F899" s="2">
        <v>902</v>
      </c>
      <c r="G899" s="6">
        <f>G898</f>
        <v>28</v>
      </c>
      <c r="H899" s="222"/>
    </row>
    <row r="900" spans="1:8" s="221" customFormat="1" ht="31.5" x14ac:dyDescent="0.25">
      <c r="A900" s="99" t="s">
        <v>797</v>
      </c>
      <c r="B900" s="20" t="s">
        <v>891</v>
      </c>
      <c r="C900" s="40" t="s">
        <v>133</v>
      </c>
      <c r="D900" s="40" t="s">
        <v>155</v>
      </c>
      <c r="E900" s="2"/>
      <c r="F900" s="2"/>
      <c r="G900" s="6">
        <f>G901</f>
        <v>5</v>
      </c>
      <c r="H900" s="222"/>
    </row>
    <row r="901" spans="1:8" s="221" customFormat="1" ht="31.5" x14ac:dyDescent="0.25">
      <c r="A901" s="25" t="s">
        <v>146</v>
      </c>
      <c r="B901" s="20" t="s">
        <v>891</v>
      </c>
      <c r="C901" s="40" t="s">
        <v>133</v>
      </c>
      <c r="D901" s="40" t="s">
        <v>155</v>
      </c>
      <c r="E901" s="2">
        <v>200</v>
      </c>
      <c r="F901" s="2"/>
      <c r="G901" s="6">
        <f>G902</f>
        <v>5</v>
      </c>
      <c r="H901" s="222"/>
    </row>
    <row r="902" spans="1:8" s="221" customFormat="1" ht="31.5" x14ac:dyDescent="0.25">
      <c r="A902" s="25" t="s">
        <v>148</v>
      </c>
      <c r="B902" s="20" t="s">
        <v>891</v>
      </c>
      <c r="C902" s="40" t="s">
        <v>133</v>
      </c>
      <c r="D902" s="40" t="s">
        <v>155</v>
      </c>
      <c r="E902" s="2">
        <v>240</v>
      </c>
      <c r="F902" s="2"/>
      <c r="G902" s="6">
        <f>'Пр.4 ведом.20'!G243</f>
        <v>5</v>
      </c>
      <c r="H902" s="222"/>
    </row>
    <row r="903" spans="1:8" s="221" customFormat="1" ht="47.25" x14ac:dyDescent="0.25">
      <c r="A903" s="25" t="s">
        <v>276</v>
      </c>
      <c r="B903" s="20" t="s">
        <v>891</v>
      </c>
      <c r="C903" s="40" t="s">
        <v>133</v>
      </c>
      <c r="D903" s="40" t="s">
        <v>155</v>
      </c>
      <c r="E903" s="2">
        <v>240</v>
      </c>
      <c r="F903" s="2">
        <v>903</v>
      </c>
      <c r="G903" s="6">
        <f>G902</f>
        <v>5</v>
      </c>
      <c r="H903" s="222"/>
    </row>
    <row r="904" spans="1:8" s="221" customFormat="1" ht="47.25" x14ac:dyDescent="0.25">
      <c r="A904" s="41" t="s">
        <v>947</v>
      </c>
      <c r="B904" s="24" t="s">
        <v>945</v>
      </c>
      <c r="C904" s="40"/>
      <c r="D904" s="40"/>
      <c r="E904" s="2"/>
      <c r="F904" s="2"/>
      <c r="G904" s="4">
        <f>G905+G925+G931+G937</f>
        <v>3262.3999999999996</v>
      </c>
      <c r="H904" s="222"/>
    </row>
    <row r="905" spans="1:8" s="221" customFormat="1" ht="15.75" x14ac:dyDescent="0.25">
      <c r="A905" s="29" t="s">
        <v>278</v>
      </c>
      <c r="B905" s="20" t="s">
        <v>945</v>
      </c>
      <c r="C905" s="40" t="s">
        <v>279</v>
      </c>
      <c r="D905" s="40"/>
      <c r="E905" s="2"/>
      <c r="F905" s="2"/>
      <c r="G905" s="6">
        <f>G906+G912+G916</f>
        <v>1815.6999999999998</v>
      </c>
      <c r="H905" s="222"/>
    </row>
    <row r="906" spans="1:8" s="221" customFormat="1" ht="15.75" x14ac:dyDescent="0.25">
      <c r="A906" s="29" t="s">
        <v>419</v>
      </c>
      <c r="B906" s="20" t="s">
        <v>945</v>
      </c>
      <c r="C906" s="40" t="s">
        <v>279</v>
      </c>
      <c r="D906" s="40" t="s">
        <v>133</v>
      </c>
      <c r="E906" s="2"/>
      <c r="F906" s="2"/>
      <c r="G906" s="6">
        <f>G907</f>
        <v>464.3</v>
      </c>
      <c r="H906" s="222"/>
    </row>
    <row r="907" spans="1:8" s="221" customFormat="1" ht="47.25" x14ac:dyDescent="0.25">
      <c r="A907" s="45" t="s">
        <v>801</v>
      </c>
      <c r="B907" s="20" t="s">
        <v>1025</v>
      </c>
      <c r="C907" s="40" t="s">
        <v>279</v>
      </c>
      <c r="D907" s="40" t="s">
        <v>133</v>
      </c>
      <c r="E907" s="2"/>
      <c r="F907" s="2"/>
      <c r="G907" s="6">
        <f>G908</f>
        <v>464.3</v>
      </c>
      <c r="H907" s="222"/>
    </row>
    <row r="908" spans="1:8" s="221" customFormat="1" ht="31.5" x14ac:dyDescent="0.25">
      <c r="A908" s="29" t="s">
        <v>287</v>
      </c>
      <c r="B908" s="20" t="s">
        <v>1025</v>
      </c>
      <c r="C908" s="40" t="s">
        <v>279</v>
      </c>
      <c r="D908" s="40" t="s">
        <v>133</v>
      </c>
      <c r="E908" s="2">
        <v>600</v>
      </c>
      <c r="F908" s="2"/>
      <c r="G908" s="6">
        <f>G909</f>
        <v>464.3</v>
      </c>
      <c r="H908" s="222"/>
    </row>
    <row r="909" spans="1:8" s="221" customFormat="1" ht="15.75" x14ac:dyDescent="0.25">
      <c r="A909" s="193" t="s">
        <v>289</v>
      </c>
      <c r="B909" s="20" t="s">
        <v>1025</v>
      </c>
      <c r="C909" s="40" t="s">
        <v>279</v>
      </c>
      <c r="D909" s="40" t="s">
        <v>133</v>
      </c>
      <c r="E909" s="2">
        <v>610</v>
      </c>
      <c r="F909" s="2"/>
      <c r="G909" s="6">
        <f>'Пр.4 ведом.20'!G622</f>
        <v>464.3</v>
      </c>
      <c r="H909" s="222"/>
    </row>
    <row r="910" spans="1:8" s="221" customFormat="1" ht="31.5" x14ac:dyDescent="0.25">
      <c r="A910" s="45" t="s">
        <v>418</v>
      </c>
      <c r="B910" s="20" t="s">
        <v>1025</v>
      </c>
      <c r="C910" s="40" t="s">
        <v>279</v>
      </c>
      <c r="D910" s="40" t="s">
        <v>133</v>
      </c>
      <c r="E910" s="2">
        <v>610</v>
      </c>
      <c r="F910" s="2">
        <v>906</v>
      </c>
      <c r="G910" s="6">
        <f>G909</f>
        <v>464.3</v>
      </c>
      <c r="H910" s="222"/>
    </row>
    <row r="911" spans="1:8" s="221" customFormat="1" ht="15.75" x14ac:dyDescent="0.25">
      <c r="A911" s="45" t="s">
        <v>440</v>
      </c>
      <c r="B911" s="20" t="s">
        <v>945</v>
      </c>
      <c r="C911" s="40" t="s">
        <v>279</v>
      </c>
      <c r="D911" s="40" t="s">
        <v>228</v>
      </c>
      <c r="E911" s="2"/>
      <c r="F911" s="2"/>
      <c r="G911" s="6">
        <f>G912</f>
        <v>723.3</v>
      </c>
      <c r="H911" s="222"/>
    </row>
    <row r="912" spans="1:8" s="221" customFormat="1" ht="47.25" x14ac:dyDescent="0.25">
      <c r="A912" s="45" t="s">
        <v>801</v>
      </c>
      <c r="B912" s="20" t="s">
        <v>1025</v>
      </c>
      <c r="C912" s="40" t="s">
        <v>279</v>
      </c>
      <c r="D912" s="40" t="s">
        <v>228</v>
      </c>
      <c r="E912" s="2"/>
      <c r="F912" s="2"/>
      <c r="G912" s="6">
        <f>G913</f>
        <v>723.3</v>
      </c>
      <c r="H912" s="222"/>
    </row>
    <row r="913" spans="1:8" s="221" customFormat="1" ht="31.5" x14ac:dyDescent="0.25">
      <c r="A913" s="29" t="s">
        <v>287</v>
      </c>
      <c r="B913" s="20" t="s">
        <v>1025</v>
      </c>
      <c r="C913" s="40" t="s">
        <v>279</v>
      </c>
      <c r="D913" s="40" t="s">
        <v>228</v>
      </c>
      <c r="E913" s="2">
        <v>600</v>
      </c>
      <c r="F913" s="2"/>
      <c r="G913" s="6">
        <f>G914</f>
        <v>723.3</v>
      </c>
      <c r="H913" s="222"/>
    </row>
    <row r="914" spans="1:8" s="221" customFormat="1" ht="15.75" x14ac:dyDescent="0.25">
      <c r="A914" s="193" t="s">
        <v>289</v>
      </c>
      <c r="B914" s="20" t="s">
        <v>1025</v>
      </c>
      <c r="C914" s="40" t="s">
        <v>279</v>
      </c>
      <c r="D914" s="40" t="s">
        <v>228</v>
      </c>
      <c r="E914" s="2">
        <v>610</v>
      </c>
      <c r="F914" s="2"/>
      <c r="G914" s="6">
        <f>'Пр.4 ведом.20'!G710</f>
        <v>723.3</v>
      </c>
      <c r="H914" s="222"/>
    </row>
    <row r="915" spans="1:8" s="221" customFormat="1" ht="31.5" x14ac:dyDescent="0.25">
      <c r="A915" s="45" t="s">
        <v>418</v>
      </c>
      <c r="B915" s="20" t="s">
        <v>1025</v>
      </c>
      <c r="C915" s="40" t="s">
        <v>279</v>
      </c>
      <c r="D915" s="40" t="s">
        <v>228</v>
      </c>
      <c r="E915" s="2">
        <v>610</v>
      </c>
      <c r="F915" s="2">
        <v>906</v>
      </c>
      <c r="G915" s="6">
        <f>G914</f>
        <v>723.3</v>
      </c>
      <c r="H915" s="222"/>
    </row>
    <row r="916" spans="1:8" s="221" customFormat="1" ht="15.75" x14ac:dyDescent="0.25">
      <c r="A916" s="45" t="s">
        <v>280</v>
      </c>
      <c r="B916" s="20" t="s">
        <v>945</v>
      </c>
      <c r="C916" s="40" t="s">
        <v>279</v>
      </c>
      <c r="D916" s="40" t="s">
        <v>230</v>
      </c>
      <c r="E916" s="2"/>
      <c r="F916" s="2"/>
      <c r="G916" s="6">
        <f>G917+G921</f>
        <v>628.09999999999991</v>
      </c>
      <c r="H916" s="222"/>
    </row>
    <row r="917" spans="1:8" s="221" customFormat="1" ht="47.25" x14ac:dyDescent="0.25">
      <c r="A917" s="45" t="s">
        <v>801</v>
      </c>
      <c r="B917" s="20" t="s">
        <v>1025</v>
      </c>
      <c r="C917" s="40" t="s">
        <v>279</v>
      </c>
      <c r="D917" s="40" t="s">
        <v>230</v>
      </c>
      <c r="E917" s="2"/>
      <c r="F917" s="2"/>
      <c r="G917" s="6">
        <f>G918</f>
        <v>300.7</v>
      </c>
      <c r="H917" s="222"/>
    </row>
    <row r="918" spans="1:8" s="221" customFormat="1" ht="31.5" x14ac:dyDescent="0.25">
      <c r="A918" s="29" t="s">
        <v>287</v>
      </c>
      <c r="B918" s="20" t="s">
        <v>1025</v>
      </c>
      <c r="C918" s="40" t="s">
        <v>279</v>
      </c>
      <c r="D918" s="40" t="s">
        <v>230</v>
      </c>
      <c r="E918" s="2">
        <v>600</v>
      </c>
      <c r="F918" s="2"/>
      <c r="G918" s="6">
        <f>G919</f>
        <v>300.7</v>
      </c>
      <c r="H918" s="222"/>
    </row>
    <row r="919" spans="1:8" s="221" customFormat="1" ht="15.75" x14ac:dyDescent="0.25">
      <c r="A919" s="193" t="s">
        <v>289</v>
      </c>
      <c r="B919" s="20" t="s">
        <v>1025</v>
      </c>
      <c r="C919" s="40" t="s">
        <v>279</v>
      </c>
      <c r="D919" s="40" t="s">
        <v>230</v>
      </c>
      <c r="E919" s="2">
        <v>610</v>
      </c>
      <c r="F919" s="2"/>
      <c r="G919" s="6">
        <f>'Пр.4 ведом.20'!G744</f>
        <v>300.7</v>
      </c>
      <c r="H919" s="222"/>
    </row>
    <row r="920" spans="1:8" s="221" customFormat="1" ht="31.5" x14ac:dyDescent="0.25">
      <c r="A920" s="45" t="s">
        <v>418</v>
      </c>
      <c r="B920" s="20" t="s">
        <v>1025</v>
      </c>
      <c r="C920" s="40" t="s">
        <v>279</v>
      </c>
      <c r="D920" s="40" t="s">
        <v>230</v>
      </c>
      <c r="E920" s="2">
        <v>610</v>
      </c>
      <c r="F920" s="2">
        <v>906</v>
      </c>
      <c r="G920" s="6">
        <f>G919</f>
        <v>300.7</v>
      </c>
      <c r="H920" s="222"/>
    </row>
    <row r="921" spans="1:8" s="221" customFormat="1" ht="31.5" x14ac:dyDescent="0.25">
      <c r="A921" s="99" t="s">
        <v>1155</v>
      </c>
      <c r="B921" s="20" t="s">
        <v>946</v>
      </c>
      <c r="C921" s="40" t="s">
        <v>279</v>
      </c>
      <c r="D921" s="40" t="s">
        <v>230</v>
      </c>
      <c r="E921" s="2"/>
      <c r="F921" s="2"/>
      <c r="G921" s="6">
        <f>G922</f>
        <v>327.39999999999998</v>
      </c>
      <c r="H921" s="222"/>
    </row>
    <row r="922" spans="1:8" s="221" customFormat="1" ht="31.5" x14ac:dyDescent="0.25">
      <c r="A922" s="25" t="s">
        <v>146</v>
      </c>
      <c r="B922" s="20" t="s">
        <v>946</v>
      </c>
      <c r="C922" s="40" t="s">
        <v>279</v>
      </c>
      <c r="D922" s="40" t="s">
        <v>230</v>
      </c>
      <c r="E922" s="2">
        <v>200</v>
      </c>
      <c r="F922" s="2"/>
      <c r="G922" s="6">
        <f>G923</f>
        <v>327.39999999999998</v>
      </c>
      <c r="H922" s="222"/>
    </row>
    <row r="923" spans="1:8" s="221" customFormat="1" ht="31.5" x14ac:dyDescent="0.25">
      <c r="A923" s="25" t="s">
        <v>148</v>
      </c>
      <c r="B923" s="20" t="s">
        <v>946</v>
      </c>
      <c r="C923" s="40" t="s">
        <v>279</v>
      </c>
      <c r="D923" s="40" t="s">
        <v>230</v>
      </c>
      <c r="E923" s="2">
        <v>240</v>
      </c>
      <c r="F923" s="2"/>
      <c r="G923" s="6">
        <f>'Пр.4 ведом.20'!G316</f>
        <v>327.39999999999998</v>
      </c>
      <c r="H923" s="222"/>
    </row>
    <row r="924" spans="1:8" s="221" customFormat="1" ht="47.25" x14ac:dyDescent="0.25">
      <c r="A924" s="25" t="s">
        <v>276</v>
      </c>
      <c r="B924" s="20" t="s">
        <v>946</v>
      </c>
      <c r="C924" s="40" t="s">
        <v>279</v>
      </c>
      <c r="D924" s="40" t="s">
        <v>230</v>
      </c>
      <c r="E924" s="2">
        <v>240</v>
      </c>
      <c r="F924" s="2">
        <v>903</v>
      </c>
      <c r="G924" s="6">
        <f>G923</f>
        <v>327.39999999999998</v>
      </c>
      <c r="H924" s="222"/>
    </row>
    <row r="925" spans="1:8" s="221" customFormat="1" ht="15.75" x14ac:dyDescent="0.25">
      <c r="A925" s="25" t="s">
        <v>313</v>
      </c>
      <c r="B925" s="20" t="s">
        <v>945</v>
      </c>
      <c r="C925" s="40" t="s">
        <v>314</v>
      </c>
      <c r="D925" s="40"/>
      <c r="E925" s="2"/>
      <c r="F925" s="2"/>
      <c r="G925" s="6">
        <f>G926</f>
        <v>834.6</v>
      </c>
      <c r="H925" s="222"/>
    </row>
    <row r="926" spans="1:8" s="221" customFormat="1" ht="15.75" x14ac:dyDescent="0.25">
      <c r="A926" s="25" t="s">
        <v>315</v>
      </c>
      <c r="B926" s="20" t="s">
        <v>945</v>
      </c>
      <c r="C926" s="40" t="s">
        <v>314</v>
      </c>
      <c r="D926" s="40" t="s">
        <v>133</v>
      </c>
      <c r="E926" s="2"/>
      <c r="F926" s="2"/>
      <c r="G926" s="6">
        <f>G927</f>
        <v>834.6</v>
      </c>
      <c r="H926" s="222"/>
    </row>
    <row r="927" spans="1:8" s="221" customFormat="1" ht="31.5" x14ac:dyDescent="0.25">
      <c r="A927" s="45" t="s">
        <v>799</v>
      </c>
      <c r="B927" s="20" t="s">
        <v>946</v>
      </c>
      <c r="C927" s="40" t="s">
        <v>314</v>
      </c>
      <c r="D927" s="40" t="s">
        <v>133</v>
      </c>
      <c r="E927" s="2"/>
      <c r="F927" s="2"/>
      <c r="G927" s="6">
        <f>G928</f>
        <v>834.6</v>
      </c>
      <c r="H927" s="222"/>
    </row>
    <row r="928" spans="1:8" s="221" customFormat="1" ht="31.5" x14ac:dyDescent="0.25">
      <c r="A928" s="25" t="s">
        <v>146</v>
      </c>
      <c r="B928" s="20" t="s">
        <v>946</v>
      </c>
      <c r="C928" s="40" t="s">
        <v>314</v>
      </c>
      <c r="D928" s="40" t="s">
        <v>133</v>
      </c>
      <c r="E928" s="2">
        <v>200</v>
      </c>
      <c r="F928" s="2"/>
      <c r="G928" s="6">
        <f>G929</f>
        <v>834.6</v>
      </c>
      <c r="H928" s="222"/>
    </row>
    <row r="929" spans="1:8" s="221" customFormat="1" ht="31.5" x14ac:dyDescent="0.25">
      <c r="A929" s="25" t="s">
        <v>148</v>
      </c>
      <c r="B929" s="20" t="s">
        <v>946</v>
      </c>
      <c r="C929" s="40" t="s">
        <v>314</v>
      </c>
      <c r="D929" s="40" t="s">
        <v>133</v>
      </c>
      <c r="E929" s="2">
        <v>240</v>
      </c>
      <c r="F929" s="2"/>
      <c r="G929" s="6">
        <f>'Пр.4 ведом.20'!G413</f>
        <v>834.6</v>
      </c>
      <c r="H929" s="222"/>
    </row>
    <row r="930" spans="1:8" s="221" customFormat="1" ht="47.25" x14ac:dyDescent="0.25">
      <c r="A930" s="25" t="s">
        <v>276</v>
      </c>
      <c r="B930" s="20" t="s">
        <v>946</v>
      </c>
      <c r="C930" s="40" t="s">
        <v>314</v>
      </c>
      <c r="D930" s="40" t="s">
        <v>133</v>
      </c>
      <c r="E930" s="2">
        <v>240</v>
      </c>
      <c r="F930" s="2">
        <v>903</v>
      </c>
      <c r="G930" s="6">
        <f>G929</f>
        <v>834.6</v>
      </c>
      <c r="H930" s="222"/>
    </row>
    <row r="931" spans="1:8" s="221" customFormat="1" ht="15.75" x14ac:dyDescent="0.25">
      <c r="A931" s="25" t="s">
        <v>505</v>
      </c>
      <c r="B931" s="20" t="s">
        <v>945</v>
      </c>
      <c r="C931" s="40" t="s">
        <v>506</v>
      </c>
      <c r="D931" s="40"/>
      <c r="E931" s="2"/>
      <c r="F931" s="2"/>
      <c r="G931" s="6">
        <f>G932</f>
        <v>540.1</v>
      </c>
      <c r="H931" s="222"/>
    </row>
    <row r="932" spans="1:8" s="221" customFormat="1" ht="15.75" x14ac:dyDescent="0.25">
      <c r="A932" s="25" t="s">
        <v>1271</v>
      </c>
      <c r="B932" s="20" t="s">
        <v>945</v>
      </c>
      <c r="C932" s="40" t="s">
        <v>506</v>
      </c>
      <c r="D932" s="40" t="s">
        <v>133</v>
      </c>
      <c r="E932" s="2"/>
      <c r="F932" s="2"/>
      <c r="G932" s="6">
        <f>G933</f>
        <v>540.1</v>
      </c>
      <c r="H932" s="222"/>
    </row>
    <row r="933" spans="1:8" s="221" customFormat="1" ht="47.25" x14ac:dyDescent="0.25">
      <c r="A933" s="45" t="s">
        <v>801</v>
      </c>
      <c r="B933" s="20" t="s">
        <v>1025</v>
      </c>
      <c r="C933" s="40" t="s">
        <v>506</v>
      </c>
      <c r="D933" s="40" t="s">
        <v>133</v>
      </c>
      <c r="E933" s="2"/>
      <c r="F933" s="2"/>
      <c r="G933" s="6">
        <f>G934</f>
        <v>540.1</v>
      </c>
      <c r="H933" s="222"/>
    </row>
    <row r="934" spans="1:8" s="221" customFormat="1" ht="31.5" x14ac:dyDescent="0.25">
      <c r="A934" s="29" t="s">
        <v>287</v>
      </c>
      <c r="B934" s="20" t="s">
        <v>1025</v>
      </c>
      <c r="C934" s="40" t="s">
        <v>506</v>
      </c>
      <c r="D934" s="40" t="s">
        <v>133</v>
      </c>
      <c r="E934" s="2">
        <v>600</v>
      </c>
      <c r="F934" s="2"/>
      <c r="G934" s="6">
        <f>G935</f>
        <v>540.1</v>
      </c>
      <c r="H934" s="222"/>
    </row>
    <row r="935" spans="1:8" s="221" customFormat="1" ht="15.75" x14ac:dyDescent="0.25">
      <c r="A935" s="193" t="s">
        <v>289</v>
      </c>
      <c r="B935" s="20" t="s">
        <v>1025</v>
      </c>
      <c r="C935" s="40" t="s">
        <v>506</v>
      </c>
      <c r="D935" s="40" t="s">
        <v>133</v>
      </c>
      <c r="E935" s="2">
        <v>610</v>
      </c>
      <c r="F935" s="2"/>
      <c r="G935" s="6">
        <f>'Пр.4 ведом.20'!G847</f>
        <v>540.1</v>
      </c>
      <c r="H935" s="222"/>
    </row>
    <row r="936" spans="1:8" s="221" customFormat="1" ht="31.5" x14ac:dyDescent="0.25">
      <c r="A936" s="45" t="s">
        <v>495</v>
      </c>
      <c r="B936" s="20" t="s">
        <v>1025</v>
      </c>
      <c r="C936" s="40" t="s">
        <v>506</v>
      </c>
      <c r="D936" s="40" t="s">
        <v>133</v>
      </c>
      <c r="E936" s="2">
        <v>610</v>
      </c>
      <c r="F936" s="2">
        <v>907</v>
      </c>
      <c r="G936" s="6">
        <f>G935</f>
        <v>540.1</v>
      </c>
      <c r="H936" s="222"/>
    </row>
    <row r="937" spans="1:8" s="221" customFormat="1" ht="15.75" x14ac:dyDescent="0.25">
      <c r="A937" s="29" t="s">
        <v>597</v>
      </c>
      <c r="B937" s="20" t="s">
        <v>945</v>
      </c>
      <c r="C937" s="40" t="s">
        <v>253</v>
      </c>
      <c r="D937" s="40"/>
      <c r="E937" s="2"/>
      <c r="F937" s="2"/>
      <c r="G937" s="6">
        <f>G938</f>
        <v>72</v>
      </c>
      <c r="H937" s="222"/>
    </row>
    <row r="938" spans="1:8" s="221" customFormat="1" ht="15.75" x14ac:dyDescent="0.25">
      <c r="A938" s="29" t="s">
        <v>598</v>
      </c>
      <c r="B938" s="20" t="s">
        <v>945</v>
      </c>
      <c r="C938" s="40" t="s">
        <v>253</v>
      </c>
      <c r="D938" s="40" t="s">
        <v>228</v>
      </c>
      <c r="E938" s="2"/>
      <c r="F938" s="2"/>
      <c r="G938" s="6">
        <f>G939</f>
        <v>72</v>
      </c>
      <c r="H938" s="222"/>
    </row>
    <row r="939" spans="1:8" s="221" customFormat="1" ht="31.5" x14ac:dyDescent="0.25">
      <c r="A939" s="45" t="s">
        <v>799</v>
      </c>
      <c r="B939" s="20" t="s">
        <v>946</v>
      </c>
      <c r="C939" s="40" t="s">
        <v>253</v>
      </c>
      <c r="D939" s="40" t="s">
        <v>228</v>
      </c>
      <c r="E939" s="2"/>
      <c r="F939" s="2"/>
      <c r="G939" s="6">
        <f>G940</f>
        <v>72</v>
      </c>
      <c r="H939" s="222"/>
    </row>
    <row r="940" spans="1:8" s="221" customFormat="1" ht="31.5" x14ac:dyDescent="0.25">
      <c r="A940" s="25" t="s">
        <v>146</v>
      </c>
      <c r="B940" s="20" t="s">
        <v>946</v>
      </c>
      <c r="C940" s="40" t="s">
        <v>253</v>
      </c>
      <c r="D940" s="40" t="s">
        <v>228</v>
      </c>
      <c r="E940" s="2">
        <v>200</v>
      </c>
      <c r="F940" s="2"/>
      <c r="G940" s="6">
        <f>G941</f>
        <v>72</v>
      </c>
      <c r="H940" s="222"/>
    </row>
    <row r="941" spans="1:8" s="221" customFormat="1" ht="31.5" x14ac:dyDescent="0.25">
      <c r="A941" s="25" t="s">
        <v>148</v>
      </c>
      <c r="B941" s="20" t="s">
        <v>946</v>
      </c>
      <c r="C941" s="40" t="s">
        <v>253</v>
      </c>
      <c r="D941" s="40" t="s">
        <v>228</v>
      </c>
      <c r="E941" s="2">
        <v>240</v>
      </c>
      <c r="F941" s="2"/>
      <c r="G941" s="6">
        <f>'Пр.4 ведом.20'!G490</f>
        <v>72</v>
      </c>
      <c r="H941" s="222"/>
    </row>
    <row r="942" spans="1:8" s="221" customFormat="1" ht="47.25" x14ac:dyDescent="0.25">
      <c r="A942" s="25" t="s">
        <v>276</v>
      </c>
      <c r="B942" s="20" t="s">
        <v>946</v>
      </c>
      <c r="C942" s="40" t="s">
        <v>253</v>
      </c>
      <c r="D942" s="40" t="s">
        <v>228</v>
      </c>
      <c r="E942" s="2">
        <v>240</v>
      </c>
      <c r="F942" s="2">
        <v>903</v>
      </c>
      <c r="G942" s="6">
        <f>G939</f>
        <v>72</v>
      </c>
      <c r="H942" s="222"/>
    </row>
    <row r="943" spans="1:8" s="221" customFormat="1" ht="31.5" x14ac:dyDescent="0.25">
      <c r="A943" s="239" t="s">
        <v>1186</v>
      </c>
      <c r="B943" s="24" t="s">
        <v>897</v>
      </c>
      <c r="C943" s="7"/>
      <c r="D943" s="7"/>
      <c r="E943" s="3"/>
      <c r="F943" s="3"/>
      <c r="G943" s="4">
        <f>G944</f>
        <v>15</v>
      </c>
      <c r="H943" s="222"/>
    </row>
    <row r="944" spans="1:8" s="221" customFormat="1" ht="15.75" x14ac:dyDescent="0.25">
      <c r="A944" s="252" t="s">
        <v>132</v>
      </c>
      <c r="B944" s="20" t="s">
        <v>897</v>
      </c>
      <c r="C944" s="40" t="s">
        <v>133</v>
      </c>
      <c r="D944" s="40"/>
      <c r="E944" s="2"/>
      <c r="F944" s="2"/>
      <c r="G944" s="6">
        <f>G945</f>
        <v>15</v>
      </c>
      <c r="H944" s="222"/>
    </row>
    <row r="945" spans="1:8" s="221" customFormat="1" ht="15.75" x14ac:dyDescent="0.25">
      <c r="A945" s="252" t="s">
        <v>154</v>
      </c>
      <c r="B945" s="20" t="s">
        <v>897</v>
      </c>
      <c r="C945" s="40" t="s">
        <v>133</v>
      </c>
      <c r="D945" s="40" t="s">
        <v>155</v>
      </c>
      <c r="E945" s="2"/>
      <c r="F945" s="2"/>
      <c r="G945" s="6">
        <f>G946</f>
        <v>15</v>
      </c>
      <c r="H945" s="222"/>
    </row>
    <row r="946" spans="1:8" ht="47.25" x14ac:dyDescent="0.25">
      <c r="A946" s="293" t="s">
        <v>1156</v>
      </c>
      <c r="B946" s="20" t="s">
        <v>892</v>
      </c>
      <c r="C946" s="40" t="s">
        <v>133</v>
      </c>
      <c r="D946" s="40" t="s">
        <v>155</v>
      </c>
      <c r="E946" s="2"/>
      <c r="F946" s="2"/>
      <c r="G946" s="6">
        <f t="shared" ref="G946:G947" si="113">G947</f>
        <v>15</v>
      </c>
    </row>
    <row r="947" spans="1:8" ht="31.5" x14ac:dyDescent="0.25">
      <c r="A947" s="25" t="s">
        <v>146</v>
      </c>
      <c r="B947" s="20" t="s">
        <v>892</v>
      </c>
      <c r="C947" s="40" t="s">
        <v>133</v>
      </c>
      <c r="D947" s="40" t="s">
        <v>155</v>
      </c>
      <c r="E947" s="2">
        <v>200</v>
      </c>
      <c r="F947" s="2"/>
      <c r="G947" s="6">
        <f t="shared" si="113"/>
        <v>15</v>
      </c>
    </row>
    <row r="948" spans="1:8" ht="31.5" x14ac:dyDescent="0.25">
      <c r="A948" s="25" t="s">
        <v>148</v>
      </c>
      <c r="B948" s="20" t="s">
        <v>892</v>
      </c>
      <c r="C948" s="40" t="s">
        <v>133</v>
      </c>
      <c r="D948" s="40" t="s">
        <v>155</v>
      </c>
      <c r="E948" s="2">
        <v>240</v>
      </c>
      <c r="F948" s="2"/>
      <c r="G948" s="6">
        <f>'Пр.4 ведом.20'!G122</f>
        <v>15</v>
      </c>
    </row>
    <row r="949" spans="1:8" ht="15.75" x14ac:dyDescent="0.25">
      <c r="A949" s="29" t="s">
        <v>163</v>
      </c>
      <c r="B949" s="20" t="s">
        <v>892</v>
      </c>
      <c r="C949" s="40" t="s">
        <v>133</v>
      </c>
      <c r="D949" s="40" t="s">
        <v>155</v>
      </c>
      <c r="E949" s="2">
        <v>240</v>
      </c>
      <c r="F949" s="2">
        <v>902</v>
      </c>
      <c r="G949" s="6">
        <f>G948</f>
        <v>15</v>
      </c>
    </row>
    <row r="950" spans="1:8" ht="63" x14ac:dyDescent="0.25">
      <c r="A950" s="23" t="s">
        <v>820</v>
      </c>
      <c r="B950" s="24" t="s">
        <v>732</v>
      </c>
      <c r="C950" s="7"/>
      <c r="D950" s="7"/>
      <c r="E950" s="3"/>
      <c r="F950" s="3"/>
      <c r="G950" s="4">
        <f>G951</f>
        <v>401</v>
      </c>
    </row>
    <row r="951" spans="1:8" s="221" customFormat="1" ht="31.5" x14ac:dyDescent="0.25">
      <c r="A951" s="23" t="s">
        <v>1245</v>
      </c>
      <c r="B951" s="24" t="s">
        <v>1289</v>
      </c>
      <c r="C951" s="7"/>
      <c r="D951" s="7"/>
      <c r="E951" s="3"/>
      <c r="F951" s="3"/>
      <c r="G951" s="4">
        <f>G952</f>
        <v>401</v>
      </c>
      <c r="H951" s="222"/>
    </row>
    <row r="952" spans="1:8" ht="15.75" x14ac:dyDescent="0.25">
      <c r="A952" s="25" t="s">
        <v>405</v>
      </c>
      <c r="B952" s="20" t="s">
        <v>879</v>
      </c>
      <c r="C952" s="40" t="s">
        <v>249</v>
      </c>
      <c r="D952" s="40"/>
      <c r="E952" s="2"/>
      <c r="F952" s="2"/>
      <c r="G952" s="6">
        <f t="shared" ref="G952:G955" si="114">G953</f>
        <v>401</v>
      </c>
    </row>
    <row r="953" spans="1:8" ht="15.75" x14ac:dyDescent="0.25">
      <c r="A953" s="25" t="s">
        <v>556</v>
      </c>
      <c r="B953" s="20" t="s">
        <v>879</v>
      </c>
      <c r="C953" s="40" t="s">
        <v>249</v>
      </c>
      <c r="D953" s="40" t="s">
        <v>230</v>
      </c>
      <c r="E953" s="2"/>
      <c r="F953" s="2"/>
      <c r="G953" s="6">
        <f t="shared" si="114"/>
        <v>401</v>
      </c>
    </row>
    <row r="954" spans="1:8" ht="47.25" x14ac:dyDescent="0.25">
      <c r="A954" s="80" t="s">
        <v>708</v>
      </c>
      <c r="B954" s="20" t="s">
        <v>879</v>
      </c>
      <c r="C954" s="40" t="s">
        <v>249</v>
      </c>
      <c r="D954" s="40" t="s">
        <v>230</v>
      </c>
      <c r="E954" s="2"/>
      <c r="F954" s="2"/>
      <c r="G954" s="6">
        <f t="shared" si="114"/>
        <v>401</v>
      </c>
    </row>
    <row r="955" spans="1:8" ht="31.5" x14ac:dyDescent="0.25">
      <c r="A955" s="25" t="s">
        <v>146</v>
      </c>
      <c r="B955" s="20" t="s">
        <v>879</v>
      </c>
      <c r="C955" s="40" t="s">
        <v>249</v>
      </c>
      <c r="D955" s="40" t="s">
        <v>230</v>
      </c>
      <c r="E955" s="2">
        <v>200</v>
      </c>
      <c r="F955" s="2"/>
      <c r="G955" s="6">
        <f t="shared" si="114"/>
        <v>401</v>
      </c>
    </row>
    <row r="956" spans="1:8" ht="31.5" x14ac:dyDescent="0.25">
      <c r="A956" s="25" t="s">
        <v>148</v>
      </c>
      <c r="B956" s="20" t="s">
        <v>879</v>
      </c>
      <c r="C956" s="40" t="s">
        <v>249</v>
      </c>
      <c r="D956" s="40" t="s">
        <v>230</v>
      </c>
      <c r="E956" s="2">
        <v>240</v>
      </c>
      <c r="F956" s="2"/>
      <c r="G956" s="6">
        <f>'Пр.4 ведом.20'!G1056</f>
        <v>401</v>
      </c>
    </row>
    <row r="957" spans="1:8" ht="31.5" x14ac:dyDescent="0.25">
      <c r="A957" s="45" t="s">
        <v>638</v>
      </c>
      <c r="B957" s="20" t="s">
        <v>879</v>
      </c>
      <c r="C957" s="40" t="s">
        <v>249</v>
      </c>
      <c r="D957" s="40" t="s">
        <v>230</v>
      </c>
      <c r="E957" s="2">
        <v>240</v>
      </c>
      <c r="F957" s="2">
        <v>908</v>
      </c>
      <c r="G957" s="6">
        <f t="shared" ref="G957" si="115">G950</f>
        <v>401</v>
      </c>
    </row>
    <row r="958" spans="1:8" s="198" customFormat="1" ht="63" x14ac:dyDescent="0.25">
      <c r="A958" s="58" t="s">
        <v>1179</v>
      </c>
      <c r="B958" s="24" t="s">
        <v>804</v>
      </c>
      <c r="C958" s="7"/>
      <c r="D958" s="7"/>
      <c r="E958" s="3"/>
      <c r="F958" s="3"/>
      <c r="G958" s="4">
        <f>G960</f>
        <v>239.82</v>
      </c>
      <c r="H958" s="225"/>
    </row>
    <row r="959" spans="1:8" s="198" customFormat="1" ht="31.5" x14ac:dyDescent="0.25">
      <c r="A959" s="23" t="s">
        <v>1001</v>
      </c>
      <c r="B959" s="24" t="s">
        <v>1180</v>
      </c>
      <c r="C959" s="7"/>
      <c r="D959" s="7"/>
      <c r="E959" s="3"/>
      <c r="F959" s="3"/>
      <c r="G959" s="4">
        <f>G960</f>
        <v>239.82</v>
      </c>
      <c r="H959" s="225"/>
    </row>
    <row r="960" spans="1:8" ht="15.75" x14ac:dyDescent="0.25">
      <c r="A960" s="45" t="s">
        <v>132</v>
      </c>
      <c r="B960" s="20" t="s">
        <v>1180</v>
      </c>
      <c r="C960" s="40" t="s">
        <v>133</v>
      </c>
      <c r="D960" s="40"/>
      <c r="E960" s="2"/>
      <c r="F960" s="2"/>
      <c r="G960" s="6">
        <f>G961</f>
        <v>239.82</v>
      </c>
    </row>
    <row r="961" spans="1:8" ht="15.75" x14ac:dyDescent="0.25">
      <c r="A961" s="45" t="s">
        <v>154</v>
      </c>
      <c r="B961" s="20" t="s">
        <v>1180</v>
      </c>
      <c r="C961" s="40" t="s">
        <v>133</v>
      </c>
      <c r="D961" s="40" t="s">
        <v>155</v>
      </c>
      <c r="E961" s="2"/>
      <c r="F961" s="2"/>
      <c r="G961" s="6">
        <f>G962</f>
        <v>239.82</v>
      </c>
    </row>
    <row r="962" spans="1:8" ht="31.5" x14ac:dyDescent="0.25">
      <c r="A962" s="45" t="s">
        <v>814</v>
      </c>
      <c r="B962" s="20" t="s">
        <v>1181</v>
      </c>
      <c r="C962" s="40" t="s">
        <v>133</v>
      </c>
      <c r="D962" s="40" t="s">
        <v>155</v>
      </c>
      <c r="E962" s="2"/>
      <c r="F962" s="2"/>
      <c r="G962" s="6">
        <f>G963</f>
        <v>239.82</v>
      </c>
    </row>
    <row r="963" spans="1:8" ht="31.5" x14ac:dyDescent="0.25">
      <c r="A963" s="45" t="s">
        <v>146</v>
      </c>
      <c r="B963" s="20" t="s">
        <v>1181</v>
      </c>
      <c r="C963" s="40" t="s">
        <v>133</v>
      </c>
      <c r="D963" s="40" t="s">
        <v>155</v>
      </c>
      <c r="E963" s="2">
        <v>200</v>
      </c>
      <c r="F963" s="2"/>
      <c r="G963" s="6">
        <f>G964</f>
        <v>239.82</v>
      </c>
    </row>
    <row r="964" spans="1:8" ht="31.5" x14ac:dyDescent="0.25">
      <c r="A964" s="45" t="s">
        <v>148</v>
      </c>
      <c r="B964" s="20" t="s">
        <v>1181</v>
      </c>
      <c r="C964" s="40" t="s">
        <v>133</v>
      </c>
      <c r="D964" s="40" t="s">
        <v>155</v>
      </c>
      <c r="E964" s="2">
        <v>240</v>
      </c>
      <c r="F964" s="2"/>
      <c r="G964" s="6">
        <f>'Пр.4 ведом.20'!G523</f>
        <v>239.82</v>
      </c>
    </row>
    <row r="965" spans="1:8" ht="31.5" x14ac:dyDescent="0.25">
      <c r="A965" s="45" t="s">
        <v>402</v>
      </c>
      <c r="B965" s="20" t="s">
        <v>1181</v>
      </c>
      <c r="C965" s="40" t="s">
        <v>133</v>
      </c>
      <c r="D965" s="40" t="s">
        <v>155</v>
      </c>
      <c r="E965" s="2">
        <v>240</v>
      </c>
      <c r="F965" s="2">
        <v>905</v>
      </c>
      <c r="G965" s="6">
        <f>G958</f>
        <v>239.82</v>
      </c>
    </row>
    <row r="966" spans="1:8" ht="78.75" x14ac:dyDescent="0.25">
      <c r="A966" s="41" t="s">
        <v>1182</v>
      </c>
      <c r="B966" s="24" t="s">
        <v>859</v>
      </c>
      <c r="C966" s="7"/>
      <c r="D966" s="7"/>
      <c r="E966" s="3"/>
      <c r="F966" s="3"/>
      <c r="G966" s="4">
        <f>G968</f>
        <v>30</v>
      </c>
    </row>
    <row r="967" spans="1:8" s="221" customFormat="1" ht="47.25" x14ac:dyDescent="0.25">
      <c r="A967" s="240" t="s">
        <v>898</v>
      </c>
      <c r="B967" s="24" t="s">
        <v>1262</v>
      </c>
      <c r="C967" s="7"/>
      <c r="D967" s="7"/>
      <c r="E967" s="3"/>
      <c r="F967" s="3"/>
      <c r="G967" s="4">
        <f>G968</f>
        <v>30</v>
      </c>
      <c r="H967" s="222"/>
    </row>
    <row r="968" spans="1:8" ht="15.75" x14ac:dyDescent="0.25">
      <c r="A968" s="45" t="s">
        <v>132</v>
      </c>
      <c r="B968" s="20" t="s">
        <v>1262</v>
      </c>
      <c r="C968" s="40" t="s">
        <v>133</v>
      </c>
      <c r="D968" s="40"/>
      <c r="E968" s="2"/>
      <c r="F968" s="2"/>
      <c r="G968" s="6">
        <f>G969</f>
        <v>30</v>
      </c>
    </row>
    <row r="969" spans="1:8" ht="15.75" x14ac:dyDescent="0.25">
      <c r="A969" s="45" t="s">
        <v>154</v>
      </c>
      <c r="B969" s="20" t="s">
        <v>1262</v>
      </c>
      <c r="C969" s="40" t="s">
        <v>133</v>
      </c>
      <c r="D969" s="40" t="s">
        <v>155</v>
      </c>
      <c r="E969" s="2"/>
      <c r="F969" s="2"/>
      <c r="G969" s="6">
        <f>G970</f>
        <v>30</v>
      </c>
    </row>
    <row r="970" spans="1:8" ht="31.5" x14ac:dyDescent="0.25">
      <c r="A970" s="98" t="s">
        <v>186</v>
      </c>
      <c r="B970" s="20" t="s">
        <v>899</v>
      </c>
      <c r="C970" s="40" t="s">
        <v>133</v>
      </c>
      <c r="D970" s="40" t="s">
        <v>155</v>
      </c>
      <c r="E970" s="2"/>
      <c r="F970" s="2"/>
      <c r="G970" s="6">
        <f>G971</f>
        <v>30</v>
      </c>
    </row>
    <row r="971" spans="1:8" ht="31.5" x14ac:dyDescent="0.25">
      <c r="A971" s="45" t="s">
        <v>146</v>
      </c>
      <c r="B971" s="20" t="s">
        <v>899</v>
      </c>
      <c r="C971" s="40" t="s">
        <v>133</v>
      </c>
      <c r="D971" s="40" t="s">
        <v>155</v>
      </c>
      <c r="E971" s="2">
        <v>200</v>
      </c>
      <c r="F971" s="2"/>
      <c r="G971" s="6">
        <f>G972</f>
        <v>30</v>
      </c>
    </row>
    <row r="972" spans="1:8" ht="31.5" x14ac:dyDescent="0.25">
      <c r="A972" s="45" t="s">
        <v>148</v>
      </c>
      <c r="B972" s="20" t="s">
        <v>899</v>
      </c>
      <c r="C972" s="40" t="s">
        <v>133</v>
      </c>
      <c r="D972" s="40" t="s">
        <v>155</v>
      </c>
      <c r="E972" s="2">
        <v>240</v>
      </c>
      <c r="F972" s="2"/>
      <c r="G972" s="6">
        <f>'Пр.4 ведом.20'!G127</f>
        <v>30</v>
      </c>
    </row>
    <row r="973" spans="1:8" ht="15.75" x14ac:dyDescent="0.25">
      <c r="A973" s="29" t="s">
        <v>163</v>
      </c>
      <c r="B973" s="20" t="s">
        <v>899</v>
      </c>
      <c r="C973" s="40" t="s">
        <v>133</v>
      </c>
      <c r="D973" s="40" t="s">
        <v>155</v>
      </c>
      <c r="E973" s="2">
        <v>240</v>
      </c>
      <c r="F973" s="2">
        <v>902</v>
      </c>
      <c r="G973" s="6">
        <f>G966</f>
        <v>30</v>
      </c>
    </row>
    <row r="974" spans="1:8" ht="63" x14ac:dyDescent="0.25">
      <c r="A974" s="41" t="s">
        <v>1184</v>
      </c>
      <c r="B974" s="24" t="s">
        <v>860</v>
      </c>
      <c r="C974" s="7"/>
      <c r="D974" s="7"/>
      <c r="E974" s="3"/>
      <c r="F974" s="3"/>
      <c r="G974" s="4">
        <f>G976</f>
        <v>80</v>
      </c>
    </row>
    <row r="975" spans="1:8" s="221" customFormat="1" ht="31.5" x14ac:dyDescent="0.25">
      <c r="A975" s="58" t="s">
        <v>900</v>
      </c>
      <c r="B975" s="24" t="s">
        <v>908</v>
      </c>
      <c r="C975" s="7"/>
      <c r="D975" s="7"/>
      <c r="E975" s="3"/>
      <c r="F975" s="3"/>
      <c r="G975" s="4">
        <f>G976</f>
        <v>80</v>
      </c>
      <c r="H975" s="222"/>
    </row>
    <row r="976" spans="1:8" ht="15.75" x14ac:dyDescent="0.25">
      <c r="A976" s="45" t="s">
        <v>132</v>
      </c>
      <c r="B976" s="20" t="s">
        <v>908</v>
      </c>
      <c r="C976" s="40" t="s">
        <v>133</v>
      </c>
      <c r="D976" s="40"/>
      <c r="E976" s="2"/>
      <c r="F976" s="2"/>
      <c r="G976" s="6">
        <f>G977</f>
        <v>80</v>
      </c>
    </row>
    <row r="977" spans="1:9" ht="15.75" x14ac:dyDescent="0.25">
      <c r="A977" s="45" t="s">
        <v>154</v>
      </c>
      <c r="B977" s="20" t="s">
        <v>908</v>
      </c>
      <c r="C977" s="40" t="s">
        <v>133</v>
      </c>
      <c r="D977" s="40" t="s">
        <v>155</v>
      </c>
      <c r="E977" s="2"/>
      <c r="F977" s="2"/>
      <c r="G977" s="6">
        <f>G978</f>
        <v>80</v>
      </c>
    </row>
    <row r="978" spans="1:9" ht="15.75" x14ac:dyDescent="0.25">
      <c r="A978" s="45" t="s">
        <v>190</v>
      </c>
      <c r="B978" s="20" t="s">
        <v>901</v>
      </c>
      <c r="C978" s="40" t="s">
        <v>133</v>
      </c>
      <c r="D978" s="40" t="s">
        <v>155</v>
      </c>
      <c r="E978" s="2"/>
      <c r="F978" s="2"/>
      <c r="G978" s="6">
        <f>G979</f>
        <v>80</v>
      </c>
    </row>
    <row r="979" spans="1:9" ht="31.5" x14ac:dyDescent="0.25">
      <c r="A979" s="45" t="s">
        <v>146</v>
      </c>
      <c r="B979" s="20" t="s">
        <v>901</v>
      </c>
      <c r="C979" s="40" t="s">
        <v>133</v>
      </c>
      <c r="D979" s="40" t="s">
        <v>155</v>
      </c>
      <c r="E979" s="2">
        <v>200</v>
      </c>
      <c r="F979" s="2"/>
      <c r="G979" s="6">
        <f>G980</f>
        <v>80</v>
      </c>
    </row>
    <row r="980" spans="1:9" ht="31.5" x14ac:dyDescent="0.25">
      <c r="A980" s="45" t="s">
        <v>148</v>
      </c>
      <c r="B980" s="20" t="s">
        <v>901</v>
      </c>
      <c r="C980" s="40" t="s">
        <v>133</v>
      </c>
      <c r="D980" s="40" t="s">
        <v>155</v>
      </c>
      <c r="E980" s="2">
        <v>240</v>
      </c>
      <c r="F980" s="2"/>
      <c r="G980" s="6">
        <f>'Пр.4 ведом.20'!G132</f>
        <v>80</v>
      </c>
    </row>
    <row r="981" spans="1:9" ht="15.75" x14ac:dyDescent="0.25">
      <c r="A981" s="29" t="s">
        <v>163</v>
      </c>
      <c r="B981" s="20" t="s">
        <v>901</v>
      </c>
      <c r="C981" s="40" t="s">
        <v>133</v>
      </c>
      <c r="D981" s="40" t="s">
        <v>155</v>
      </c>
      <c r="E981" s="2">
        <v>240</v>
      </c>
      <c r="F981" s="2">
        <v>902</v>
      </c>
      <c r="G981" s="6">
        <f>G974</f>
        <v>80</v>
      </c>
    </row>
    <row r="982" spans="1:9" s="221" customFormat="1" ht="47.25" hidden="1" x14ac:dyDescent="0.25">
      <c r="A982" s="23" t="s">
        <v>1367</v>
      </c>
      <c r="B982" s="24" t="s">
        <v>1366</v>
      </c>
      <c r="C982" s="40"/>
      <c r="D982" s="40"/>
      <c r="E982" s="2"/>
      <c r="F982" s="2"/>
      <c r="G982" s="4">
        <f t="shared" ref="G982:G988" si="116">G983</f>
        <v>0</v>
      </c>
      <c r="H982" s="222"/>
    </row>
    <row r="983" spans="1:9" s="221" customFormat="1" ht="31.5" hidden="1" x14ac:dyDescent="0.25">
      <c r="A983" s="23" t="s">
        <v>1368</v>
      </c>
      <c r="B983" s="24" t="s">
        <v>1369</v>
      </c>
      <c r="C983" s="40"/>
      <c r="D983" s="40"/>
      <c r="E983" s="2"/>
      <c r="F983" s="2"/>
      <c r="G983" s="4">
        <f t="shared" si="116"/>
        <v>0</v>
      </c>
      <c r="H983" s="222"/>
    </row>
    <row r="984" spans="1:9" s="221" customFormat="1" ht="15.75" hidden="1" x14ac:dyDescent="0.25">
      <c r="A984" s="29" t="s">
        <v>405</v>
      </c>
      <c r="B984" s="20" t="s">
        <v>1369</v>
      </c>
      <c r="C984" s="40" t="s">
        <v>249</v>
      </c>
      <c r="D984" s="40"/>
      <c r="E984" s="2"/>
      <c r="F984" s="2"/>
      <c r="G984" s="6">
        <f t="shared" si="116"/>
        <v>0</v>
      </c>
      <c r="H984" s="222"/>
    </row>
    <row r="985" spans="1:9" s="221" customFormat="1" ht="15.75" hidden="1" x14ac:dyDescent="0.25">
      <c r="A985" s="29" t="s">
        <v>532</v>
      </c>
      <c r="B985" s="20" t="s">
        <v>1369</v>
      </c>
      <c r="C985" s="40" t="s">
        <v>249</v>
      </c>
      <c r="D985" s="40" t="s">
        <v>228</v>
      </c>
      <c r="E985" s="2"/>
      <c r="F985" s="2"/>
      <c r="G985" s="6">
        <f t="shared" si="116"/>
        <v>0</v>
      </c>
      <c r="H985" s="222"/>
    </row>
    <row r="986" spans="1:9" s="221" customFormat="1" ht="15.75" hidden="1" x14ac:dyDescent="0.25">
      <c r="A986" s="29" t="s">
        <v>1371</v>
      </c>
      <c r="B986" s="20" t="s">
        <v>1370</v>
      </c>
      <c r="C986" s="40" t="s">
        <v>249</v>
      </c>
      <c r="D986" s="40" t="s">
        <v>228</v>
      </c>
      <c r="E986" s="2"/>
      <c r="F986" s="2"/>
      <c r="G986" s="6">
        <f t="shared" si="116"/>
        <v>0</v>
      </c>
      <c r="H986" s="222"/>
    </row>
    <row r="987" spans="1:9" s="221" customFormat="1" ht="31.5" hidden="1" x14ac:dyDescent="0.25">
      <c r="A987" s="45" t="s">
        <v>146</v>
      </c>
      <c r="B987" s="20" t="s">
        <v>1370</v>
      </c>
      <c r="C987" s="40" t="s">
        <v>249</v>
      </c>
      <c r="D987" s="40" t="s">
        <v>228</v>
      </c>
      <c r="E987" s="2">
        <v>200</v>
      </c>
      <c r="F987" s="2"/>
      <c r="G987" s="6">
        <f t="shared" si="116"/>
        <v>0</v>
      </c>
      <c r="H987" s="222"/>
    </row>
    <row r="988" spans="1:9" s="221" customFormat="1" ht="31.5" hidden="1" x14ac:dyDescent="0.25">
      <c r="A988" s="45" t="s">
        <v>148</v>
      </c>
      <c r="B988" s="20" t="s">
        <v>1370</v>
      </c>
      <c r="C988" s="40" t="s">
        <v>249</v>
      </c>
      <c r="D988" s="40" t="s">
        <v>228</v>
      </c>
      <c r="E988" s="2">
        <v>240</v>
      </c>
      <c r="F988" s="2"/>
      <c r="G988" s="6">
        <f t="shared" si="116"/>
        <v>0</v>
      </c>
      <c r="H988" s="222"/>
    </row>
    <row r="989" spans="1:9" s="221" customFormat="1" ht="47.25" hidden="1" x14ac:dyDescent="0.25">
      <c r="A989" s="29" t="s">
        <v>1308</v>
      </c>
      <c r="B989" s="20" t="s">
        <v>1370</v>
      </c>
      <c r="C989" s="40" t="s">
        <v>249</v>
      </c>
      <c r="D989" s="40" t="s">
        <v>228</v>
      </c>
      <c r="E989" s="2">
        <v>240</v>
      </c>
      <c r="F989" s="2">
        <v>908</v>
      </c>
      <c r="G989" s="6">
        <f>'Пр.4 ведом.20'!G1007</f>
        <v>0</v>
      </c>
      <c r="H989" s="222"/>
    </row>
    <row r="990" spans="1:9" ht="15.75" x14ac:dyDescent="0.25">
      <c r="A990" s="72" t="s">
        <v>672</v>
      </c>
      <c r="B990" s="72"/>
      <c r="C990" s="72"/>
      <c r="D990" s="72"/>
      <c r="E990" s="72"/>
      <c r="F990" s="72"/>
      <c r="G990" s="121">
        <f>G974+G966+G958+G950+G892+G857+G788+G731+G700+G539+G460+G452+G414+G402+G162+G29+G9+G807+G982</f>
        <v>482110.2324000001</v>
      </c>
      <c r="H990" s="223"/>
      <c r="I990" s="22"/>
    </row>
    <row r="992" spans="1:9" hidden="1" x14ac:dyDescent="0.25">
      <c r="G992" s="223">
        <f>'Пр.4 ведом.20'!G1200</f>
        <v>0</v>
      </c>
    </row>
    <row r="993" spans="7:7" hidden="1" x14ac:dyDescent="0.25">
      <c r="G993" s="223">
        <f>G992-G990</f>
        <v>-482110.2324000001</v>
      </c>
    </row>
    <row r="994" spans="7:7" hidden="1" x14ac:dyDescent="0.25"/>
  </sheetData>
  <mergeCells count="4">
    <mergeCell ref="A5:G5"/>
    <mergeCell ref="F3:G3"/>
    <mergeCell ref="F2:G2"/>
    <mergeCell ref="F1:G1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3"/>
  <sheetViews>
    <sheetView view="pageBreakPreview" topLeftCell="A894" zoomScale="70" zoomScaleNormal="100" zoomScaleSheetLayoutView="70" workbookViewId="0">
      <selection activeCell="P29" sqref="P29"/>
    </sheetView>
  </sheetViews>
  <sheetFormatPr defaultRowHeight="15" x14ac:dyDescent="0.25"/>
  <cols>
    <col min="1" max="1" width="45.140625" customWidth="1"/>
    <col min="2" max="2" width="15.28515625" customWidth="1"/>
    <col min="3" max="3" width="5.7109375" customWidth="1"/>
    <col min="4" max="4" width="6.7109375" customWidth="1"/>
    <col min="6" max="6" width="8.140625" customWidth="1"/>
    <col min="7" max="7" width="11.140625" customWidth="1"/>
    <col min="8" max="8" width="12.28515625" customWidth="1"/>
  </cols>
  <sheetData>
    <row r="1" spans="1:8" ht="15.75" x14ac:dyDescent="0.25">
      <c r="A1" s="222"/>
      <c r="B1" s="222"/>
      <c r="C1" s="222"/>
      <c r="D1" s="222"/>
      <c r="E1" s="222"/>
      <c r="F1" s="386"/>
      <c r="G1" s="419" t="s">
        <v>1276</v>
      </c>
      <c r="H1" s="419"/>
    </row>
    <row r="2" spans="1:8" ht="15.75" x14ac:dyDescent="0.25">
      <c r="A2" s="222"/>
      <c r="B2" s="222"/>
      <c r="C2" s="222"/>
      <c r="D2" s="222"/>
      <c r="E2" s="222"/>
      <c r="F2" s="386"/>
      <c r="G2" s="419" t="s">
        <v>606</v>
      </c>
      <c r="H2" s="419"/>
    </row>
    <row r="3" spans="1:8" ht="15.75" x14ac:dyDescent="0.25">
      <c r="A3" s="222"/>
      <c r="B3" s="222"/>
      <c r="C3" s="222"/>
      <c r="D3" s="222"/>
      <c r="E3" s="222"/>
      <c r="F3" s="408" t="s">
        <v>1554</v>
      </c>
      <c r="G3" s="408"/>
      <c r="H3" s="408"/>
    </row>
    <row r="4" spans="1:8" s="221" customFormat="1" ht="15.75" x14ac:dyDescent="0.25">
      <c r="A4" s="222"/>
      <c r="B4" s="222"/>
      <c r="C4" s="222"/>
      <c r="D4" s="222"/>
      <c r="E4" s="222"/>
      <c r="F4" s="62"/>
      <c r="G4" s="222"/>
      <c r="H4" s="130"/>
    </row>
    <row r="5" spans="1:8" ht="44.45" customHeight="1" x14ac:dyDescent="0.25">
      <c r="A5" s="418" t="s">
        <v>1357</v>
      </c>
      <c r="B5" s="418"/>
      <c r="C5" s="418"/>
      <c r="D5" s="418"/>
      <c r="E5" s="418"/>
      <c r="F5" s="418"/>
      <c r="G5" s="418"/>
      <c r="H5" s="418"/>
    </row>
    <row r="6" spans="1:8" ht="16.5" x14ac:dyDescent="0.25">
      <c r="A6" s="276"/>
      <c r="B6" s="276"/>
      <c r="C6" s="276"/>
      <c r="D6" s="276"/>
      <c r="E6" s="276"/>
      <c r="F6" s="276"/>
      <c r="G6" s="222"/>
      <c r="H6" s="222"/>
    </row>
    <row r="7" spans="1:8" ht="15.75" x14ac:dyDescent="0.25">
      <c r="A7" s="62"/>
      <c r="B7" s="62"/>
      <c r="C7" s="62"/>
      <c r="D7" s="62"/>
      <c r="E7" s="64"/>
      <c r="F7" s="64"/>
      <c r="G7" s="222"/>
      <c r="H7" s="195" t="s">
        <v>1</v>
      </c>
    </row>
    <row r="8" spans="1:8" ht="31.5" x14ac:dyDescent="0.25">
      <c r="A8" s="66" t="s">
        <v>607</v>
      </c>
      <c r="B8" s="66" t="s">
        <v>632</v>
      </c>
      <c r="C8" s="66" t="s">
        <v>633</v>
      </c>
      <c r="D8" s="66" t="s">
        <v>634</v>
      </c>
      <c r="E8" s="66" t="s">
        <v>635</v>
      </c>
      <c r="F8" s="66" t="s">
        <v>636</v>
      </c>
      <c r="G8" s="181" t="s">
        <v>1193</v>
      </c>
      <c r="H8" s="180" t="s">
        <v>1194</v>
      </c>
    </row>
    <row r="9" spans="1:8" ht="63" x14ac:dyDescent="0.25">
      <c r="A9" s="58" t="s">
        <v>1178</v>
      </c>
      <c r="B9" s="7" t="s">
        <v>525</v>
      </c>
      <c r="C9" s="7"/>
      <c r="D9" s="7"/>
      <c r="E9" s="7"/>
      <c r="F9" s="7"/>
      <c r="G9" s="4">
        <f>G10+G17</f>
        <v>3189</v>
      </c>
      <c r="H9" s="4">
        <f>H10+H17</f>
        <v>3278</v>
      </c>
    </row>
    <row r="10" spans="1:8" ht="36" hidden="1" customHeight="1" x14ac:dyDescent="0.25">
      <c r="A10" s="34" t="s">
        <v>1148</v>
      </c>
      <c r="B10" s="7" t="s">
        <v>1092</v>
      </c>
      <c r="C10" s="40"/>
      <c r="D10" s="40"/>
      <c r="E10" s="40"/>
      <c r="F10" s="40"/>
      <c r="G10" s="6">
        <f>G13</f>
        <v>0</v>
      </c>
      <c r="H10" s="6">
        <f>H13</f>
        <v>0</v>
      </c>
    </row>
    <row r="11" spans="1:8" ht="15.75" hidden="1" x14ac:dyDescent="0.25">
      <c r="A11" s="29" t="s">
        <v>247</v>
      </c>
      <c r="B11" s="40" t="s">
        <v>1092</v>
      </c>
      <c r="C11" s="40" t="s">
        <v>165</v>
      </c>
      <c r="D11" s="40"/>
      <c r="E11" s="40"/>
      <c r="F11" s="40"/>
      <c r="G11" s="6">
        <f t="shared" ref="G11:H11" si="0">G12</f>
        <v>0</v>
      </c>
      <c r="H11" s="6">
        <f t="shared" si="0"/>
        <v>0</v>
      </c>
    </row>
    <row r="12" spans="1:8" ht="15.75" hidden="1" x14ac:dyDescent="0.25">
      <c r="A12" s="29" t="s">
        <v>523</v>
      </c>
      <c r="B12" s="40" t="s">
        <v>1092</v>
      </c>
      <c r="C12" s="40" t="s">
        <v>165</v>
      </c>
      <c r="D12" s="40" t="s">
        <v>234</v>
      </c>
      <c r="E12" s="40"/>
      <c r="F12" s="40"/>
      <c r="G12" s="6">
        <f t="shared" ref="G12:H14" si="1">G13</f>
        <v>0</v>
      </c>
      <c r="H12" s="6">
        <f t="shared" si="1"/>
        <v>0</v>
      </c>
    </row>
    <row r="13" spans="1:8" ht="31.5" hidden="1" x14ac:dyDescent="0.25">
      <c r="A13" s="29" t="s">
        <v>1150</v>
      </c>
      <c r="B13" s="40" t="s">
        <v>1149</v>
      </c>
      <c r="C13" s="40" t="s">
        <v>165</v>
      </c>
      <c r="D13" s="40" t="s">
        <v>234</v>
      </c>
      <c r="E13" s="40"/>
      <c r="F13" s="40"/>
      <c r="G13" s="6">
        <f t="shared" si="1"/>
        <v>0</v>
      </c>
      <c r="H13" s="6">
        <f t="shared" si="1"/>
        <v>0</v>
      </c>
    </row>
    <row r="14" spans="1:8" ht="31.5" hidden="1" x14ac:dyDescent="0.25">
      <c r="A14" s="25" t="s">
        <v>146</v>
      </c>
      <c r="B14" s="40" t="s">
        <v>1149</v>
      </c>
      <c r="C14" s="40" t="s">
        <v>165</v>
      </c>
      <c r="D14" s="40" t="s">
        <v>234</v>
      </c>
      <c r="E14" s="40" t="s">
        <v>147</v>
      </c>
      <c r="F14" s="40"/>
      <c r="G14" s="6">
        <f t="shared" si="1"/>
        <v>0</v>
      </c>
      <c r="H14" s="6">
        <f t="shared" si="1"/>
        <v>0</v>
      </c>
    </row>
    <row r="15" spans="1:8" ht="47.25" hidden="1" x14ac:dyDescent="0.25">
      <c r="A15" s="25" t="s">
        <v>148</v>
      </c>
      <c r="B15" s="40" t="s">
        <v>1149</v>
      </c>
      <c r="C15" s="40" t="s">
        <v>165</v>
      </c>
      <c r="D15" s="40" t="s">
        <v>234</v>
      </c>
      <c r="E15" s="40" t="s">
        <v>149</v>
      </c>
      <c r="F15" s="40"/>
      <c r="G15" s="6">
        <f>'пр.4.1.ведом.21-22'!G881</f>
        <v>0</v>
      </c>
      <c r="H15" s="6">
        <f>'пр.4.1.ведом.21-22'!H881</f>
        <v>0</v>
      </c>
    </row>
    <row r="16" spans="1:8" ht="47.25" hidden="1" x14ac:dyDescent="0.25">
      <c r="A16" s="45" t="s">
        <v>638</v>
      </c>
      <c r="B16" s="40" t="s">
        <v>1149</v>
      </c>
      <c r="C16" s="40" t="s">
        <v>165</v>
      </c>
      <c r="D16" s="40" t="s">
        <v>234</v>
      </c>
      <c r="E16" s="40" t="s">
        <v>149</v>
      </c>
      <c r="F16" s="40" t="s">
        <v>639</v>
      </c>
      <c r="G16" s="6">
        <f>G15</f>
        <v>0</v>
      </c>
      <c r="H16" s="6">
        <f>H15</f>
        <v>0</v>
      </c>
    </row>
    <row r="17" spans="1:8" ht="47.25" x14ac:dyDescent="0.25">
      <c r="A17" s="34" t="s">
        <v>1237</v>
      </c>
      <c r="B17" s="24" t="s">
        <v>1093</v>
      </c>
      <c r="C17" s="40"/>
      <c r="D17" s="40"/>
      <c r="E17" s="40"/>
      <c r="F17" s="40"/>
      <c r="G17" s="6">
        <f t="shared" ref="G17:H19" si="2">G18</f>
        <v>3189</v>
      </c>
      <c r="H17" s="6">
        <f t="shared" si="2"/>
        <v>3278</v>
      </c>
    </row>
    <row r="18" spans="1:8" ht="15.75" x14ac:dyDescent="0.25">
      <c r="A18" s="29" t="s">
        <v>247</v>
      </c>
      <c r="B18" s="40" t="s">
        <v>1093</v>
      </c>
      <c r="C18" s="40" t="s">
        <v>165</v>
      </c>
      <c r="D18" s="40"/>
      <c r="E18" s="40"/>
      <c r="F18" s="40"/>
      <c r="G18" s="6">
        <f t="shared" si="2"/>
        <v>3189</v>
      </c>
      <c r="H18" s="6">
        <f t="shared" si="2"/>
        <v>3278</v>
      </c>
    </row>
    <row r="19" spans="1:8" ht="15.75" x14ac:dyDescent="0.25">
      <c r="A19" s="29" t="s">
        <v>523</v>
      </c>
      <c r="B19" s="40" t="s">
        <v>1093</v>
      </c>
      <c r="C19" s="40" t="s">
        <v>165</v>
      </c>
      <c r="D19" s="40" t="s">
        <v>234</v>
      </c>
      <c r="E19" s="40"/>
      <c r="F19" s="40"/>
      <c r="G19" s="6">
        <f t="shared" si="2"/>
        <v>3189</v>
      </c>
      <c r="H19" s="6">
        <f t="shared" si="2"/>
        <v>3278</v>
      </c>
    </row>
    <row r="20" spans="1:8" ht="15.75" x14ac:dyDescent="0.25">
      <c r="A20" s="29" t="s">
        <v>526</v>
      </c>
      <c r="B20" s="40" t="s">
        <v>1151</v>
      </c>
      <c r="C20" s="40" t="s">
        <v>165</v>
      </c>
      <c r="D20" s="40" t="s">
        <v>234</v>
      </c>
      <c r="E20" s="40"/>
      <c r="F20" s="40"/>
      <c r="G20" s="6">
        <f>G21+G24</f>
        <v>3189</v>
      </c>
      <c r="H20" s="6">
        <f>H21+H24</f>
        <v>3278</v>
      </c>
    </row>
    <row r="21" spans="1:8" ht="31.5" x14ac:dyDescent="0.25">
      <c r="A21" s="29" t="s">
        <v>146</v>
      </c>
      <c r="B21" s="40" t="s">
        <v>1151</v>
      </c>
      <c r="C21" s="40" t="s">
        <v>165</v>
      </c>
      <c r="D21" s="40" t="s">
        <v>234</v>
      </c>
      <c r="E21" s="40" t="s">
        <v>147</v>
      </c>
      <c r="F21" s="40"/>
      <c r="G21" s="6">
        <f t="shared" ref="G21:H21" si="3">G22</f>
        <v>3189</v>
      </c>
      <c r="H21" s="6">
        <f t="shared" si="3"/>
        <v>3278</v>
      </c>
    </row>
    <row r="22" spans="1:8" ht="47.25" x14ac:dyDescent="0.25">
      <c r="A22" s="29" t="s">
        <v>148</v>
      </c>
      <c r="B22" s="40" t="s">
        <v>1151</v>
      </c>
      <c r="C22" s="40" t="s">
        <v>165</v>
      </c>
      <c r="D22" s="40" t="s">
        <v>234</v>
      </c>
      <c r="E22" s="40" t="s">
        <v>149</v>
      </c>
      <c r="F22" s="40"/>
      <c r="G22" s="6">
        <f>'пр.4.1.ведом.21-22'!G885</f>
        <v>3189</v>
      </c>
      <c r="H22" s="6">
        <f>'пр.4.1.ведом.21-22'!H885</f>
        <v>3278</v>
      </c>
    </row>
    <row r="23" spans="1:8" ht="47.25" x14ac:dyDescent="0.25">
      <c r="A23" s="45" t="s">
        <v>638</v>
      </c>
      <c r="B23" s="40" t="s">
        <v>1151</v>
      </c>
      <c r="C23" s="40" t="s">
        <v>165</v>
      </c>
      <c r="D23" s="40" t="s">
        <v>234</v>
      </c>
      <c r="E23" s="40" t="s">
        <v>149</v>
      </c>
      <c r="F23" s="40" t="s">
        <v>639</v>
      </c>
      <c r="G23" s="6">
        <f>G22</f>
        <v>3189</v>
      </c>
      <c r="H23" s="6">
        <f>H22</f>
        <v>3278</v>
      </c>
    </row>
    <row r="24" spans="1:8" ht="15.75" hidden="1" x14ac:dyDescent="0.25">
      <c r="A24" s="25" t="s">
        <v>150</v>
      </c>
      <c r="B24" s="40" t="s">
        <v>1151</v>
      </c>
      <c r="C24" s="40" t="s">
        <v>165</v>
      </c>
      <c r="D24" s="40" t="s">
        <v>234</v>
      </c>
      <c r="E24" s="40" t="s">
        <v>160</v>
      </c>
      <c r="F24" s="40"/>
      <c r="G24" s="6">
        <f t="shared" ref="G24:H24" si="4">G25</f>
        <v>0</v>
      </c>
      <c r="H24" s="6">
        <f t="shared" si="4"/>
        <v>0</v>
      </c>
    </row>
    <row r="25" spans="1:8" ht="15.75" hidden="1" x14ac:dyDescent="0.25">
      <c r="A25" s="25" t="s">
        <v>152</v>
      </c>
      <c r="B25" s="40" t="s">
        <v>1151</v>
      </c>
      <c r="C25" s="40" t="s">
        <v>165</v>
      </c>
      <c r="D25" s="40" t="s">
        <v>234</v>
      </c>
      <c r="E25" s="40" t="s">
        <v>153</v>
      </c>
      <c r="F25" s="40"/>
      <c r="G25" s="6">
        <f>'пр.4.1.ведом.21-22'!G887</f>
        <v>0</v>
      </c>
      <c r="H25" s="6">
        <f>'пр.4.1.ведом.21-22'!H887</f>
        <v>0</v>
      </c>
    </row>
    <row r="26" spans="1:8" ht="47.25" hidden="1" x14ac:dyDescent="0.25">
      <c r="A26" s="45" t="s">
        <v>638</v>
      </c>
      <c r="B26" s="40" t="s">
        <v>1151</v>
      </c>
      <c r="C26" s="40" t="s">
        <v>165</v>
      </c>
      <c r="D26" s="40" t="s">
        <v>234</v>
      </c>
      <c r="E26" s="40" t="s">
        <v>153</v>
      </c>
      <c r="F26" s="40" t="s">
        <v>639</v>
      </c>
      <c r="G26" s="6">
        <f>G25</f>
        <v>0</v>
      </c>
      <c r="H26" s="6">
        <f>H25</f>
        <v>0</v>
      </c>
    </row>
    <row r="27" spans="1:8" ht="63" x14ac:dyDescent="0.25">
      <c r="A27" s="58" t="s">
        <v>358</v>
      </c>
      <c r="B27" s="7" t="s">
        <v>359</v>
      </c>
      <c r="C27" s="7"/>
      <c r="D27" s="7"/>
      <c r="E27" s="7"/>
      <c r="F27" s="7"/>
      <c r="G27" s="59">
        <f>G28+G57+G65+G73+G91+G99+G107+G148</f>
        <v>3474</v>
      </c>
      <c r="H27" s="59">
        <f>H28+H57+H65+H73+H91+H99+H107+H148</f>
        <v>3362.7</v>
      </c>
    </row>
    <row r="28" spans="1:8" ht="31.5" x14ac:dyDescent="0.25">
      <c r="A28" s="58" t="s">
        <v>640</v>
      </c>
      <c r="B28" s="7" t="s">
        <v>361</v>
      </c>
      <c r="C28" s="7"/>
      <c r="D28" s="7"/>
      <c r="E28" s="7"/>
      <c r="F28" s="7"/>
      <c r="G28" s="59">
        <f>G30+G40+G50</f>
        <v>760</v>
      </c>
      <c r="H28" s="59">
        <f>H30+H40+H50</f>
        <v>760</v>
      </c>
    </row>
    <row r="29" spans="1:8" ht="63" x14ac:dyDescent="0.25">
      <c r="A29" s="238" t="s">
        <v>1196</v>
      </c>
      <c r="B29" s="24" t="s">
        <v>950</v>
      </c>
      <c r="C29" s="7"/>
      <c r="D29" s="7"/>
      <c r="E29" s="40"/>
      <c r="F29" s="40"/>
      <c r="G29" s="59">
        <f>G30</f>
        <v>280</v>
      </c>
      <c r="H29" s="59">
        <f>H30</f>
        <v>280</v>
      </c>
    </row>
    <row r="30" spans="1:8" ht="15.75" x14ac:dyDescent="0.25">
      <c r="A30" s="45" t="s">
        <v>278</v>
      </c>
      <c r="B30" s="40" t="s">
        <v>950</v>
      </c>
      <c r="C30" s="40" t="s">
        <v>279</v>
      </c>
      <c r="D30" s="40"/>
      <c r="E30" s="40"/>
      <c r="F30" s="40"/>
      <c r="G30" s="10">
        <f t="shared" ref="G30:H30" si="5">G31</f>
        <v>280</v>
      </c>
      <c r="H30" s="10">
        <f t="shared" si="5"/>
        <v>280</v>
      </c>
    </row>
    <row r="31" spans="1:8" ht="17.45" customHeight="1" x14ac:dyDescent="0.25">
      <c r="A31" s="45" t="s">
        <v>481</v>
      </c>
      <c r="B31" s="40" t="s">
        <v>950</v>
      </c>
      <c r="C31" s="40" t="s">
        <v>279</v>
      </c>
      <c r="D31" s="40" t="s">
        <v>279</v>
      </c>
      <c r="E31" s="40"/>
      <c r="F31" s="40"/>
      <c r="G31" s="10">
        <f>G32+G36</f>
        <v>280</v>
      </c>
      <c r="H31" s="10">
        <f>H32+H36</f>
        <v>280</v>
      </c>
    </row>
    <row r="32" spans="1:8" ht="31.5" x14ac:dyDescent="0.25">
      <c r="A32" s="99" t="s">
        <v>1202</v>
      </c>
      <c r="B32" s="20" t="s">
        <v>951</v>
      </c>
      <c r="C32" s="40" t="s">
        <v>279</v>
      </c>
      <c r="D32" s="40" t="s">
        <v>279</v>
      </c>
      <c r="E32" s="40"/>
      <c r="F32" s="40"/>
      <c r="G32" s="10">
        <f>G33</f>
        <v>280</v>
      </c>
      <c r="H32" s="10">
        <f>H33</f>
        <v>280</v>
      </c>
    </row>
    <row r="33" spans="1:8" ht="94.5" x14ac:dyDescent="0.25">
      <c r="A33" s="25" t="s">
        <v>142</v>
      </c>
      <c r="B33" s="20" t="s">
        <v>951</v>
      </c>
      <c r="C33" s="40" t="s">
        <v>279</v>
      </c>
      <c r="D33" s="40" t="s">
        <v>279</v>
      </c>
      <c r="E33" s="40" t="s">
        <v>143</v>
      </c>
      <c r="F33" s="40"/>
      <c r="G33" s="10">
        <f>G34</f>
        <v>280</v>
      </c>
      <c r="H33" s="10">
        <f>H34</f>
        <v>280</v>
      </c>
    </row>
    <row r="34" spans="1:8" ht="31.5" x14ac:dyDescent="0.25">
      <c r="A34" s="25" t="s">
        <v>357</v>
      </c>
      <c r="B34" s="20" t="s">
        <v>951</v>
      </c>
      <c r="C34" s="40" t="s">
        <v>279</v>
      </c>
      <c r="D34" s="40" t="s">
        <v>279</v>
      </c>
      <c r="E34" s="40" t="s">
        <v>224</v>
      </c>
      <c r="F34" s="40"/>
      <c r="G34" s="10">
        <f>'пр.4.1.ведом.21-22'!G327</f>
        <v>280</v>
      </c>
      <c r="H34" s="10">
        <f>'пр.4.1.ведом.21-22'!H327</f>
        <v>280</v>
      </c>
    </row>
    <row r="35" spans="1:8" ht="47.25" x14ac:dyDescent="0.25">
      <c r="A35" s="45" t="s">
        <v>276</v>
      </c>
      <c r="B35" s="20" t="s">
        <v>951</v>
      </c>
      <c r="C35" s="40" t="s">
        <v>279</v>
      </c>
      <c r="D35" s="40" t="s">
        <v>279</v>
      </c>
      <c r="E35" s="40" t="s">
        <v>224</v>
      </c>
      <c r="F35" s="40" t="s">
        <v>642</v>
      </c>
      <c r="G35" s="6">
        <f>G34</f>
        <v>280</v>
      </c>
      <c r="H35" s="6">
        <f>H34</f>
        <v>280</v>
      </c>
    </row>
    <row r="36" spans="1:8" ht="31.5" hidden="1" x14ac:dyDescent="0.25">
      <c r="A36" s="25" t="s">
        <v>1197</v>
      </c>
      <c r="B36" s="20" t="s">
        <v>1221</v>
      </c>
      <c r="C36" s="40" t="s">
        <v>279</v>
      </c>
      <c r="D36" s="40" t="s">
        <v>279</v>
      </c>
      <c r="E36" s="40"/>
      <c r="F36" s="40"/>
      <c r="G36" s="10">
        <f>G37</f>
        <v>0</v>
      </c>
      <c r="H36" s="10">
        <f>H37</f>
        <v>0</v>
      </c>
    </row>
    <row r="37" spans="1:8" ht="31.5" hidden="1" x14ac:dyDescent="0.25">
      <c r="A37" s="25" t="s">
        <v>146</v>
      </c>
      <c r="B37" s="20" t="s">
        <v>1221</v>
      </c>
      <c r="C37" s="40" t="s">
        <v>279</v>
      </c>
      <c r="D37" s="40" t="s">
        <v>279</v>
      </c>
      <c r="E37" s="40" t="s">
        <v>147</v>
      </c>
      <c r="F37" s="40"/>
      <c r="G37" s="10">
        <f>G38</f>
        <v>0</v>
      </c>
      <c r="H37" s="10">
        <f>H38</f>
        <v>0</v>
      </c>
    </row>
    <row r="38" spans="1:8" ht="47.25" hidden="1" x14ac:dyDescent="0.25">
      <c r="A38" s="25" t="s">
        <v>148</v>
      </c>
      <c r="B38" s="20" t="s">
        <v>1221</v>
      </c>
      <c r="C38" s="40" t="s">
        <v>279</v>
      </c>
      <c r="D38" s="40" t="s">
        <v>279</v>
      </c>
      <c r="E38" s="40" t="s">
        <v>149</v>
      </c>
      <c r="F38" s="40"/>
      <c r="G38" s="10">
        <f>'пр.4.1.ведом.21-22'!G330</f>
        <v>0</v>
      </c>
      <c r="H38" s="10">
        <f>'пр.4.1.ведом.21-22'!H330</f>
        <v>0</v>
      </c>
    </row>
    <row r="39" spans="1:8" ht="47.25" hidden="1" x14ac:dyDescent="0.25">
      <c r="A39" s="45" t="s">
        <v>276</v>
      </c>
      <c r="B39" s="20" t="s">
        <v>1221</v>
      </c>
      <c r="C39" s="40" t="s">
        <v>279</v>
      </c>
      <c r="D39" s="40" t="s">
        <v>279</v>
      </c>
      <c r="E39" s="40" t="s">
        <v>149</v>
      </c>
      <c r="F39" s="40" t="s">
        <v>642</v>
      </c>
      <c r="G39" s="6">
        <f>G38</f>
        <v>0</v>
      </c>
      <c r="H39" s="6">
        <f>H38</f>
        <v>0</v>
      </c>
    </row>
    <row r="40" spans="1:8" ht="78.75" x14ac:dyDescent="0.25">
      <c r="A40" s="23" t="s">
        <v>1198</v>
      </c>
      <c r="B40" s="24" t="s">
        <v>952</v>
      </c>
      <c r="C40" s="40"/>
      <c r="D40" s="40"/>
      <c r="E40" s="40"/>
      <c r="F40" s="40"/>
      <c r="G40" s="59">
        <f>G41</f>
        <v>455</v>
      </c>
      <c r="H40" s="59">
        <f>H41</f>
        <v>455</v>
      </c>
    </row>
    <row r="41" spans="1:8" ht="15.75" x14ac:dyDescent="0.25">
      <c r="A41" s="45" t="s">
        <v>278</v>
      </c>
      <c r="B41" s="40" t="s">
        <v>952</v>
      </c>
      <c r="C41" s="40" t="s">
        <v>279</v>
      </c>
      <c r="D41" s="40"/>
      <c r="E41" s="40"/>
      <c r="F41" s="40"/>
      <c r="G41" s="10">
        <f>G42</f>
        <v>455</v>
      </c>
      <c r="H41" s="10">
        <f>H42</f>
        <v>455</v>
      </c>
    </row>
    <row r="42" spans="1:8" ht="21.75" customHeight="1" x14ac:dyDescent="0.25">
      <c r="A42" s="45" t="s">
        <v>481</v>
      </c>
      <c r="B42" s="40" t="s">
        <v>952</v>
      </c>
      <c r="C42" s="40" t="s">
        <v>279</v>
      </c>
      <c r="D42" s="40" t="s">
        <v>279</v>
      </c>
      <c r="E42" s="40"/>
      <c r="F42" s="40"/>
      <c r="G42" s="10">
        <f>G43+G47</f>
        <v>455</v>
      </c>
      <c r="H42" s="10">
        <f>H43+H47</f>
        <v>455</v>
      </c>
    </row>
    <row r="43" spans="1:8" ht="31.5" x14ac:dyDescent="0.25">
      <c r="A43" s="25" t="s">
        <v>1199</v>
      </c>
      <c r="B43" s="20" t="s">
        <v>970</v>
      </c>
      <c r="C43" s="40" t="s">
        <v>279</v>
      </c>
      <c r="D43" s="40" t="s">
        <v>279</v>
      </c>
      <c r="E43" s="40"/>
      <c r="F43" s="40"/>
      <c r="G43" s="10">
        <f>G44</f>
        <v>40</v>
      </c>
      <c r="H43" s="10">
        <f>H44</f>
        <v>40</v>
      </c>
    </row>
    <row r="44" spans="1:8" ht="94.5" x14ac:dyDescent="0.25">
      <c r="A44" s="25" t="s">
        <v>142</v>
      </c>
      <c r="B44" s="20" t="s">
        <v>970</v>
      </c>
      <c r="C44" s="40" t="s">
        <v>279</v>
      </c>
      <c r="D44" s="40" t="s">
        <v>279</v>
      </c>
      <c r="E44" s="40" t="s">
        <v>143</v>
      </c>
      <c r="F44" s="40"/>
      <c r="G44" s="10">
        <f t="shared" ref="G44:H44" si="6">G45</f>
        <v>40</v>
      </c>
      <c r="H44" s="10">
        <f t="shared" si="6"/>
        <v>40</v>
      </c>
    </row>
    <row r="45" spans="1:8" ht="31.5" x14ac:dyDescent="0.25">
      <c r="A45" s="25" t="s">
        <v>357</v>
      </c>
      <c r="B45" s="20" t="s">
        <v>970</v>
      </c>
      <c r="C45" s="40" t="s">
        <v>279</v>
      </c>
      <c r="D45" s="40" t="s">
        <v>279</v>
      </c>
      <c r="E45" s="40" t="s">
        <v>224</v>
      </c>
      <c r="F45" s="40"/>
      <c r="G45" s="10">
        <f>'пр.4.1.ведом.21-22'!G334</f>
        <v>40</v>
      </c>
      <c r="H45" s="10">
        <f>'пр.4.1.ведом.21-22'!H334</f>
        <v>40</v>
      </c>
    </row>
    <row r="46" spans="1:8" ht="47.25" x14ac:dyDescent="0.25">
      <c r="A46" s="45" t="s">
        <v>276</v>
      </c>
      <c r="B46" s="20" t="s">
        <v>970</v>
      </c>
      <c r="C46" s="40" t="s">
        <v>279</v>
      </c>
      <c r="D46" s="40" t="s">
        <v>279</v>
      </c>
      <c r="E46" s="40" t="s">
        <v>224</v>
      </c>
      <c r="F46" s="40" t="s">
        <v>642</v>
      </c>
      <c r="G46" s="6">
        <f>G45</f>
        <v>40</v>
      </c>
      <c r="H46" s="6">
        <f>H45</f>
        <v>40</v>
      </c>
    </row>
    <row r="47" spans="1:8" ht="31.5" x14ac:dyDescent="0.25">
      <c r="A47" s="25" t="s">
        <v>146</v>
      </c>
      <c r="B47" s="20" t="s">
        <v>970</v>
      </c>
      <c r="C47" s="40" t="s">
        <v>279</v>
      </c>
      <c r="D47" s="40" t="s">
        <v>279</v>
      </c>
      <c r="E47" s="40" t="s">
        <v>147</v>
      </c>
      <c r="F47" s="40"/>
      <c r="G47" s="10">
        <f t="shared" ref="G47:H47" si="7">G48</f>
        <v>415</v>
      </c>
      <c r="H47" s="10">
        <f t="shared" si="7"/>
        <v>415</v>
      </c>
    </row>
    <row r="48" spans="1:8" ht="47.25" x14ac:dyDescent="0.25">
      <c r="A48" s="25" t="s">
        <v>148</v>
      </c>
      <c r="B48" s="20" t="s">
        <v>970</v>
      </c>
      <c r="C48" s="40" t="s">
        <v>279</v>
      </c>
      <c r="D48" s="40" t="s">
        <v>279</v>
      </c>
      <c r="E48" s="40" t="s">
        <v>149</v>
      </c>
      <c r="F48" s="40"/>
      <c r="G48" s="6">
        <f>'пр.4.1.ведом.21-22'!G336</f>
        <v>415</v>
      </c>
      <c r="H48" s="6">
        <f>'пр.4.1.ведом.21-22'!H336</f>
        <v>415</v>
      </c>
    </row>
    <row r="49" spans="1:8" ht="47.25" x14ac:dyDescent="0.25">
      <c r="A49" s="45" t="s">
        <v>276</v>
      </c>
      <c r="B49" s="20" t="s">
        <v>970</v>
      </c>
      <c r="C49" s="40" t="s">
        <v>279</v>
      </c>
      <c r="D49" s="40" t="s">
        <v>279</v>
      </c>
      <c r="E49" s="40" t="s">
        <v>149</v>
      </c>
      <c r="F49" s="40" t="s">
        <v>642</v>
      </c>
      <c r="G49" s="6">
        <f>G48</f>
        <v>415</v>
      </c>
      <c r="H49" s="6">
        <f>H48</f>
        <v>415</v>
      </c>
    </row>
    <row r="50" spans="1:8" ht="47.25" x14ac:dyDescent="0.25">
      <c r="A50" s="23" t="s">
        <v>1204</v>
      </c>
      <c r="B50" s="24" t="s">
        <v>1200</v>
      </c>
      <c r="C50" s="40"/>
      <c r="D50" s="40"/>
      <c r="E50" s="40"/>
      <c r="F50" s="40"/>
      <c r="G50" s="4">
        <f>G53</f>
        <v>25</v>
      </c>
      <c r="H50" s="4">
        <f>H53</f>
        <v>25</v>
      </c>
    </row>
    <row r="51" spans="1:8" ht="15.75" x14ac:dyDescent="0.25">
      <c r="A51" s="45" t="s">
        <v>278</v>
      </c>
      <c r="B51" s="40" t="s">
        <v>1200</v>
      </c>
      <c r="C51" s="40" t="s">
        <v>279</v>
      </c>
      <c r="D51" s="40"/>
      <c r="E51" s="40"/>
      <c r="F51" s="40"/>
      <c r="G51" s="10">
        <f>G52</f>
        <v>25</v>
      </c>
      <c r="H51" s="10">
        <f>H52</f>
        <v>25</v>
      </c>
    </row>
    <row r="52" spans="1:8" ht="20.25" customHeight="1" x14ac:dyDescent="0.25">
      <c r="A52" s="45" t="s">
        <v>481</v>
      </c>
      <c r="B52" s="40" t="s">
        <v>1200</v>
      </c>
      <c r="C52" s="40" t="s">
        <v>279</v>
      </c>
      <c r="D52" s="40" t="s">
        <v>279</v>
      </c>
      <c r="E52" s="40"/>
      <c r="F52" s="40"/>
      <c r="G52" s="10">
        <f>G53</f>
        <v>25</v>
      </c>
      <c r="H52" s="10">
        <f>H53</f>
        <v>25</v>
      </c>
    </row>
    <row r="53" spans="1:8" ht="63" x14ac:dyDescent="0.25">
      <c r="A53" s="264" t="s">
        <v>1201</v>
      </c>
      <c r="B53" s="20" t="s">
        <v>1222</v>
      </c>
      <c r="C53" s="40" t="s">
        <v>279</v>
      </c>
      <c r="D53" s="40" t="s">
        <v>279</v>
      </c>
      <c r="E53" s="20"/>
      <c r="F53" s="40"/>
      <c r="G53" s="6">
        <f t="shared" ref="G53:H53" si="8">G54</f>
        <v>25</v>
      </c>
      <c r="H53" s="6">
        <f t="shared" si="8"/>
        <v>25</v>
      </c>
    </row>
    <row r="54" spans="1:8" ht="31.5" x14ac:dyDescent="0.25">
      <c r="A54" s="25" t="s">
        <v>263</v>
      </c>
      <c r="B54" s="20" t="s">
        <v>1222</v>
      </c>
      <c r="C54" s="40" t="s">
        <v>279</v>
      </c>
      <c r="D54" s="40" t="s">
        <v>279</v>
      </c>
      <c r="E54" s="20" t="s">
        <v>264</v>
      </c>
      <c r="F54" s="40"/>
      <c r="G54" s="6">
        <f>G55</f>
        <v>25</v>
      </c>
      <c r="H54" s="6">
        <f>H55</f>
        <v>25</v>
      </c>
    </row>
    <row r="55" spans="1:8" ht="31.5" x14ac:dyDescent="0.25">
      <c r="A55" s="25" t="s">
        <v>363</v>
      </c>
      <c r="B55" s="20" t="s">
        <v>1222</v>
      </c>
      <c r="C55" s="40" t="s">
        <v>279</v>
      </c>
      <c r="D55" s="40" t="s">
        <v>279</v>
      </c>
      <c r="E55" s="20" t="s">
        <v>364</v>
      </c>
      <c r="F55" s="40"/>
      <c r="G55" s="10">
        <f>'пр.4.1.ведом.21-22'!G340</f>
        <v>25</v>
      </c>
      <c r="H55" s="10">
        <f>'пр.4.1.ведом.21-22'!H340</f>
        <v>25</v>
      </c>
    </row>
    <row r="56" spans="1:8" ht="47.25" x14ac:dyDescent="0.25">
      <c r="A56" s="45" t="s">
        <v>276</v>
      </c>
      <c r="B56" s="20" t="s">
        <v>1222</v>
      </c>
      <c r="C56" s="40" t="s">
        <v>279</v>
      </c>
      <c r="D56" s="40" t="s">
        <v>279</v>
      </c>
      <c r="E56" s="40" t="s">
        <v>364</v>
      </c>
      <c r="F56" s="40" t="s">
        <v>642</v>
      </c>
      <c r="G56" s="6">
        <f>G55</f>
        <v>25</v>
      </c>
      <c r="H56" s="6">
        <f>H55</f>
        <v>25</v>
      </c>
    </row>
    <row r="57" spans="1:8" ht="47.25" x14ac:dyDescent="0.25">
      <c r="A57" s="58" t="s">
        <v>643</v>
      </c>
      <c r="B57" s="7" t="s">
        <v>368</v>
      </c>
      <c r="C57" s="7"/>
      <c r="D57" s="7"/>
      <c r="E57" s="7"/>
      <c r="F57" s="7"/>
      <c r="G57" s="59">
        <f>G58</f>
        <v>44</v>
      </c>
      <c r="H57" s="59">
        <f>H58</f>
        <v>54</v>
      </c>
    </row>
    <row r="58" spans="1:8" ht="31.5" x14ac:dyDescent="0.25">
      <c r="A58" s="23" t="s">
        <v>974</v>
      </c>
      <c r="B58" s="24" t="s">
        <v>973</v>
      </c>
      <c r="C58" s="7"/>
      <c r="D58" s="7"/>
      <c r="E58" s="7"/>
      <c r="F58" s="7"/>
      <c r="G58" s="59">
        <f>G59</f>
        <v>44</v>
      </c>
      <c r="H58" s="59">
        <f>H59</f>
        <v>54</v>
      </c>
    </row>
    <row r="59" spans="1:8" ht="15.75" x14ac:dyDescent="0.25">
      <c r="A59" s="45" t="s">
        <v>258</v>
      </c>
      <c r="B59" s="40" t="s">
        <v>973</v>
      </c>
      <c r="C59" s="40" t="s">
        <v>259</v>
      </c>
      <c r="D59" s="40"/>
      <c r="E59" s="40"/>
      <c r="F59" s="40"/>
      <c r="G59" s="10">
        <f t="shared" ref="G59:H62" si="9">G60</f>
        <v>44</v>
      </c>
      <c r="H59" s="10">
        <f t="shared" si="9"/>
        <v>54</v>
      </c>
    </row>
    <row r="60" spans="1:8" ht="15.75" x14ac:dyDescent="0.25">
      <c r="A60" s="45" t="s">
        <v>267</v>
      </c>
      <c r="B60" s="40" t="s">
        <v>973</v>
      </c>
      <c r="C60" s="40" t="s">
        <v>259</v>
      </c>
      <c r="D60" s="40" t="s">
        <v>230</v>
      </c>
      <c r="E60" s="40"/>
      <c r="F60" s="40"/>
      <c r="G60" s="10">
        <f>G61</f>
        <v>44</v>
      </c>
      <c r="H60" s="10">
        <f>H61</f>
        <v>54</v>
      </c>
    </row>
    <row r="61" spans="1:8" ht="31.5" x14ac:dyDescent="0.25">
      <c r="A61" s="25" t="s">
        <v>867</v>
      </c>
      <c r="B61" s="20" t="s">
        <v>975</v>
      </c>
      <c r="C61" s="40" t="s">
        <v>259</v>
      </c>
      <c r="D61" s="40" t="s">
        <v>230</v>
      </c>
      <c r="E61" s="40"/>
      <c r="F61" s="40"/>
      <c r="G61" s="10">
        <f t="shared" si="9"/>
        <v>44</v>
      </c>
      <c r="H61" s="10">
        <f t="shared" si="9"/>
        <v>54</v>
      </c>
    </row>
    <row r="62" spans="1:8" ht="31.5" x14ac:dyDescent="0.25">
      <c r="A62" s="29" t="s">
        <v>263</v>
      </c>
      <c r="B62" s="20" t="s">
        <v>975</v>
      </c>
      <c r="C62" s="40" t="s">
        <v>259</v>
      </c>
      <c r="D62" s="40" t="s">
        <v>230</v>
      </c>
      <c r="E62" s="40" t="s">
        <v>264</v>
      </c>
      <c r="F62" s="40"/>
      <c r="G62" s="10">
        <f t="shared" si="9"/>
        <v>44</v>
      </c>
      <c r="H62" s="10">
        <f t="shared" si="9"/>
        <v>54</v>
      </c>
    </row>
    <row r="63" spans="1:8" ht="47.25" x14ac:dyDescent="0.25">
      <c r="A63" s="29" t="s">
        <v>265</v>
      </c>
      <c r="B63" s="20" t="s">
        <v>975</v>
      </c>
      <c r="C63" s="40" t="s">
        <v>259</v>
      </c>
      <c r="D63" s="40" t="s">
        <v>230</v>
      </c>
      <c r="E63" s="40" t="s">
        <v>266</v>
      </c>
      <c r="F63" s="40"/>
      <c r="G63" s="10">
        <f>'пр.4.1.ведом.21-22'!G451</f>
        <v>44</v>
      </c>
      <c r="H63" s="10">
        <f>'пр.4.1.ведом.21-22'!H451</f>
        <v>54</v>
      </c>
    </row>
    <row r="64" spans="1:8" ht="47.25" x14ac:dyDescent="0.25">
      <c r="A64" s="45" t="s">
        <v>276</v>
      </c>
      <c r="B64" s="20" t="s">
        <v>975</v>
      </c>
      <c r="C64" s="40" t="s">
        <v>259</v>
      </c>
      <c r="D64" s="40" t="s">
        <v>230</v>
      </c>
      <c r="E64" s="40" t="s">
        <v>266</v>
      </c>
      <c r="F64" s="40" t="s">
        <v>642</v>
      </c>
      <c r="G64" s="10">
        <f>G63</f>
        <v>44</v>
      </c>
      <c r="H64" s="10">
        <f>H63</f>
        <v>54</v>
      </c>
    </row>
    <row r="65" spans="1:8" ht="47.25" x14ac:dyDescent="0.25">
      <c r="A65" s="58" t="s">
        <v>644</v>
      </c>
      <c r="B65" s="7" t="s">
        <v>371</v>
      </c>
      <c r="C65" s="7"/>
      <c r="D65" s="7"/>
      <c r="E65" s="7"/>
      <c r="F65" s="7"/>
      <c r="G65" s="59">
        <f t="shared" ref="G65:H65" si="10">G67</f>
        <v>420</v>
      </c>
      <c r="H65" s="59">
        <f t="shared" si="10"/>
        <v>420</v>
      </c>
    </row>
    <row r="66" spans="1:8" ht="47.25" x14ac:dyDescent="0.25">
      <c r="A66" s="23" t="s">
        <v>1146</v>
      </c>
      <c r="B66" s="24" t="s">
        <v>976</v>
      </c>
      <c r="C66" s="40"/>
      <c r="D66" s="40"/>
      <c r="E66" s="40"/>
      <c r="F66" s="40"/>
      <c r="G66" s="10">
        <f>G67</f>
        <v>420</v>
      </c>
      <c r="H66" s="10">
        <f>H67</f>
        <v>420</v>
      </c>
    </row>
    <row r="67" spans="1:8" ht="15.75" x14ac:dyDescent="0.25">
      <c r="A67" s="45" t="s">
        <v>258</v>
      </c>
      <c r="B67" s="40" t="s">
        <v>976</v>
      </c>
      <c r="C67" s="40" t="s">
        <v>259</v>
      </c>
      <c r="D67" s="40"/>
      <c r="E67" s="40"/>
      <c r="F67" s="40"/>
      <c r="G67" s="10">
        <f t="shared" ref="G67:H70" si="11">G68</f>
        <v>420</v>
      </c>
      <c r="H67" s="10">
        <f t="shared" si="11"/>
        <v>420</v>
      </c>
    </row>
    <row r="68" spans="1:8" ht="15.75" x14ac:dyDescent="0.25">
      <c r="A68" s="45" t="s">
        <v>267</v>
      </c>
      <c r="B68" s="40" t="s">
        <v>976</v>
      </c>
      <c r="C68" s="40" t="s">
        <v>259</v>
      </c>
      <c r="D68" s="40" t="s">
        <v>230</v>
      </c>
      <c r="E68" s="40"/>
      <c r="F68" s="40"/>
      <c r="G68" s="10">
        <f>G69</f>
        <v>420</v>
      </c>
      <c r="H68" s="10">
        <f>H69</f>
        <v>420</v>
      </c>
    </row>
    <row r="69" spans="1:8" ht="31.5" x14ac:dyDescent="0.25">
      <c r="A69" s="29" t="s">
        <v>172</v>
      </c>
      <c r="B69" s="20" t="s">
        <v>977</v>
      </c>
      <c r="C69" s="40" t="s">
        <v>259</v>
      </c>
      <c r="D69" s="40" t="s">
        <v>230</v>
      </c>
      <c r="E69" s="40"/>
      <c r="F69" s="40"/>
      <c r="G69" s="10">
        <f t="shared" si="11"/>
        <v>420</v>
      </c>
      <c r="H69" s="10">
        <f t="shared" si="11"/>
        <v>420</v>
      </c>
    </row>
    <row r="70" spans="1:8" ht="31.5" x14ac:dyDescent="0.25">
      <c r="A70" s="29" t="s">
        <v>263</v>
      </c>
      <c r="B70" s="20" t="s">
        <v>977</v>
      </c>
      <c r="C70" s="40" t="s">
        <v>259</v>
      </c>
      <c r="D70" s="40" t="s">
        <v>230</v>
      </c>
      <c r="E70" s="40" t="s">
        <v>264</v>
      </c>
      <c r="F70" s="40"/>
      <c r="G70" s="10">
        <f t="shared" si="11"/>
        <v>420</v>
      </c>
      <c r="H70" s="10">
        <f t="shared" si="11"/>
        <v>420</v>
      </c>
    </row>
    <row r="71" spans="1:8" ht="31.5" x14ac:dyDescent="0.25">
      <c r="A71" s="29" t="s">
        <v>363</v>
      </c>
      <c r="B71" s="20" t="s">
        <v>977</v>
      </c>
      <c r="C71" s="40" t="s">
        <v>259</v>
      </c>
      <c r="D71" s="40" t="s">
        <v>230</v>
      </c>
      <c r="E71" s="40" t="s">
        <v>364</v>
      </c>
      <c r="F71" s="40"/>
      <c r="G71" s="10">
        <f>'пр.4.1.ведом.21-22'!G456</f>
        <v>420</v>
      </c>
      <c r="H71" s="10">
        <f>'пр.4.1.ведом.21-22'!H456</f>
        <v>420</v>
      </c>
    </row>
    <row r="72" spans="1:8" ht="47.25" x14ac:dyDescent="0.25">
      <c r="A72" s="45" t="s">
        <v>276</v>
      </c>
      <c r="B72" s="20" t="s">
        <v>977</v>
      </c>
      <c r="C72" s="40" t="s">
        <v>259</v>
      </c>
      <c r="D72" s="40" t="s">
        <v>230</v>
      </c>
      <c r="E72" s="40" t="s">
        <v>364</v>
      </c>
      <c r="F72" s="40" t="s">
        <v>642</v>
      </c>
      <c r="G72" s="10">
        <f>G71</f>
        <v>420</v>
      </c>
      <c r="H72" s="10">
        <f>H71</f>
        <v>420</v>
      </c>
    </row>
    <row r="73" spans="1:8" ht="31.5" x14ac:dyDescent="0.25">
      <c r="A73" s="58" t="s">
        <v>646</v>
      </c>
      <c r="B73" s="7" t="s">
        <v>374</v>
      </c>
      <c r="C73" s="7"/>
      <c r="D73" s="7"/>
      <c r="E73" s="7"/>
      <c r="F73" s="7"/>
      <c r="G73" s="59">
        <f>G75+G81</f>
        <v>1110</v>
      </c>
      <c r="H73" s="59">
        <f>H75+H81</f>
        <v>1110</v>
      </c>
    </row>
    <row r="74" spans="1:8" ht="31.5" x14ac:dyDescent="0.25">
      <c r="A74" s="23" t="s">
        <v>1205</v>
      </c>
      <c r="B74" s="24" t="s">
        <v>979</v>
      </c>
      <c r="C74" s="40"/>
      <c r="D74" s="40"/>
      <c r="E74" s="40"/>
      <c r="F74" s="40"/>
      <c r="G74" s="10">
        <f>G75</f>
        <v>630</v>
      </c>
      <c r="H74" s="10">
        <f>H75</f>
        <v>630</v>
      </c>
    </row>
    <row r="75" spans="1:8" ht="15.75" x14ac:dyDescent="0.25">
      <c r="A75" s="45" t="s">
        <v>258</v>
      </c>
      <c r="B75" s="40" t="s">
        <v>979</v>
      </c>
      <c r="C75" s="40" t="s">
        <v>259</v>
      </c>
      <c r="D75" s="40"/>
      <c r="E75" s="40"/>
      <c r="F75" s="40"/>
      <c r="G75" s="10">
        <f t="shared" ref="G75:H75" si="12">G76</f>
        <v>630</v>
      </c>
      <c r="H75" s="10">
        <f t="shared" si="12"/>
        <v>630</v>
      </c>
    </row>
    <row r="76" spans="1:8" ht="15.75" x14ac:dyDescent="0.25">
      <c r="A76" s="45" t="s">
        <v>267</v>
      </c>
      <c r="B76" s="40" t="s">
        <v>979</v>
      </c>
      <c r="C76" s="40" t="s">
        <v>259</v>
      </c>
      <c r="D76" s="40" t="s">
        <v>230</v>
      </c>
      <c r="E76" s="40"/>
      <c r="F76" s="40"/>
      <c r="G76" s="10">
        <f>G77</f>
        <v>630</v>
      </c>
      <c r="H76" s="10">
        <f>H77</f>
        <v>630</v>
      </c>
    </row>
    <row r="77" spans="1:8" ht="63" x14ac:dyDescent="0.25">
      <c r="A77" s="99" t="s">
        <v>1206</v>
      </c>
      <c r="B77" s="20" t="s">
        <v>980</v>
      </c>
      <c r="C77" s="40" t="s">
        <v>259</v>
      </c>
      <c r="D77" s="40" t="s">
        <v>230</v>
      </c>
      <c r="E77" s="40"/>
      <c r="F77" s="40"/>
      <c r="G77" s="10">
        <f>G78</f>
        <v>630</v>
      </c>
      <c r="H77" s="10">
        <f>H78</f>
        <v>630</v>
      </c>
    </row>
    <row r="78" spans="1:8" ht="31.5" x14ac:dyDescent="0.25">
      <c r="A78" s="25" t="s">
        <v>263</v>
      </c>
      <c r="B78" s="20" t="s">
        <v>980</v>
      </c>
      <c r="C78" s="40" t="s">
        <v>259</v>
      </c>
      <c r="D78" s="40" t="s">
        <v>230</v>
      </c>
      <c r="E78" s="40" t="s">
        <v>264</v>
      </c>
      <c r="F78" s="40"/>
      <c r="G78" s="10">
        <f t="shared" ref="G78:H78" si="13">G79</f>
        <v>630</v>
      </c>
      <c r="H78" s="10">
        <f t="shared" si="13"/>
        <v>630</v>
      </c>
    </row>
    <row r="79" spans="1:8" ht="31.5" x14ac:dyDescent="0.25">
      <c r="A79" s="25" t="s">
        <v>363</v>
      </c>
      <c r="B79" s="20" t="s">
        <v>980</v>
      </c>
      <c r="C79" s="40" t="s">
        <v>259</v>
      </c>
      <c r="D79" s="40" t="s">
        <v>230</v>
      </c>
      <c r="E79" s="40" t="s">
        <v>364</v>
      </c>
      <c r="F79" s="40"/>
      <c r="G79" s="10">
        <f>'пр.4.1.ведом.21-22'!G461</f>
        <v>630</v>
      </c>
      <c r="H79" s="10">
        <f>'пр.4.1.ведом.21-22'!H461</f>
        <v>630</v>
      </c>
    </row>
    <row r="80" spans="1:8" ht="47.25" x14ac:dyDescent="0.25">
      <c r="A80" s="45" t="s">
        <v>276</v>
      </c>
      <c r="B80" s="20" t="s">
        <v>980</v>
      </c>
      <c r="C80" s="40" t="s">
        <v>259</v>
      </c>
      <c r="D80" s="40" t="s">
        <v>230</v>
      </c>
      <c r="E80" s="40" t="s">
        <v>364</v>
      </c>
      <c r="F80" s="40" t="s">
        <v>642</v>
      </c>
      <c r="G80" s="10">
        <f>G79</f>
        <v>630</v>
      </c>
      <c r="H80" s="10">
        <f>H79</f>
        <v>630</v>
      </c>
    </row>
    <row r="81" spans="1:8" ht="31.5" x14ac:dyDescent="0.25">
      <c r="A81" s="23" t="s">
        <v>978</v>
      </c>
      <c r="B81" s="24" t="s">
        <v>981</v>
      </c>
      <c r="C81" s="7"/>
      <c r="D81" s="7"/>
      <c r="E81" s="7"/>
      <c r="F81" s="7"/>
      <c r="G81" s="59">
        <f>G84+G88</f>
        <v>480</v>
      </c>
      <c r="H81" s="59">
        <f>H84+H88</f>
        <v>480</v>
      </c>
    </row>
    <row r="82" spans="1:8" ht="15.75" x14ac:dyDescent="0.25">
      <c r="A82" s="45" t="s">
        <v>258</v>
      </c>
      <c r="B82" s="40" t="s">
        <v>981</v>
      </c>
      <c r="C82" s="40" t="s">
        <v>259</v>
      </c>
      <c r="D82" s="40"/>
      <c r="E82" s="40"/>
      <c r="F82" s="40"/>
      <c r="G82" s="10">
        <f t="shared" ref="G82:H82" si="14">G83</f>
        <v>270</v>
      </c>
      <c r="H82" s="10">
        <f t="shared" si="14"/>
        <v>270</v>
      </c>
    </row>
    <row r="83" spans="1:8" ht="15.75" x14ac:dyDescent="0.25">
      <c r="A83" s="45" t="s">
        <v>267</v>
      </c>
      <c r="B83" s="40" t="s">
        <v>981</v>
      </c>
      <c r="C83" s="40" t="s">
        <v>259</v>
      </c>
      <c r="D83" s="40" t="s">
        <v>230</v>
      </c>
      <c r="E83" s="40"/>
      <c r="F83" s="40"/>
      <c r="G83" s="10">
        <f t="shared" ref="G83:H85" si="15">G84</f>
        <v>270</v>
      </c>
      <c r="H83" s="10">
        <f t="shared" si="15"/>
        <v>270</v>
      </c>
    </row>
    <row r="84" spans="1:8" ht="31.5" x14ac:dyDescent="0.25">
      <c r="A84" s="25" t="s">
        <v>1147</v>
      </c>
      <c r="B84" s="20" t="s">
        <v>982</v>
      </c>
      <c r="C84" s="40" t="s">
        <v>259</v>
      </c>
      <c r="D84" s="40" t="s">
        <v>230</v>
      </c>
      <c r="E84" s="40"/>
      <c r="F84" s="40"/>
      <c r="G84" s="10">
        <f t="shared" si="15"/>
        <v>270</v>
      </c>
      <c r="H84" s="10">
        <f t="shared" si="15"/>
        <v>270</v>
      </c>
    </row>
    <row r="85" spans="1:8" ht="31.5" x14ac:dyDescent="0.25">
      <c r="A85" s="25" t="s">
        <v>146</v>
      </c>
      <c r="B85" s="20" t="s">
        <v>982</v>
      </c>
      <c r="C85" s="40" t="s">
        <v>259</v>
      </c>
      <c r="D85" s="40" t="s">
        <v>230</v>
      </c>
      <c r="E85" s="40" t="s">
        <v>147</v>
      </c>
      <c r="F85" s="40"/>
      <c r="G85" s="10">
        <f t="shared" si="15"/>
        <v>270</v>
      </c>
      <c r="H85" s="10">
        <f t="shared" si="15"/>
        <v>270</v>
      </c>
    </row>
    <row r="86" spans="1:8" ht="47.25" x14ac:dyDescent="0.25">
      <c r="A86" s="25" t="s">
        <v>148</v>
      </c>
      <c r="B86" s="20" t="s">
        <v>982</v>
      </c>
      <c r="C86" s="40" t="s">
        <v>259</v>
      </c>
      <c r="D86" s="40" t="s">
        <v>230</v>
      </c>
      <c r="E86" s="40" t="s">
        <v>149</v>
      </c>
      <c r="F86" s="40"/>
      <c r="G86" s="10">
        <f>'пр.4.1.ведом.21-22'!G465</f>
        <v>270</v>
      </c>
      <c r="H86" s="10">
        <f>'пр.4.1.ведом.21-22'!H465</f>
        <v>270</v>
      </c>
    </row>
    <row r="87" spans="1:8" ht="47.25" x14ac:dyDescent="0.25">
      <c r="A87" s="45" t="s">
        <v>276</v>
      </c>
      <c r="B87" s="20" t="s">
        <v>982</v>
      </c>
      <c r="C87" s="40" t="s">
        <v>259</v>
      </c>
      <c r="D87" s="40" t="s">
        <v>230</v>
      </c>
      <c r="E87" s="40" t="s">
        <v>149</v>
      </c>
      <c r="F87" s="40" t="s">
        <v>642</v>
      </c>
      <c r="G87" s="10">
        <f>G86</f>
        <v>270</v>
      </c>
      <c r="H87" s="10">
        <f>H86</f>
        <v>270</v>
      </c>
    </row>
    <row r="88" spans="1:8" s="221" customFormat="1" ht="31.5" x14ac:dyDescent="0.25">
      <c r="A88" s="25" t="s">
        <v>263</v>
      </c>
      <c r="B88" s="20" t="s">
        <v>982</v>
      </c>
      <c r="C88" s="40" t="s">
        <v>259</v>
      </c>
      <c r="D88" s="40" t="s">
        <v>230</v>
      </c>
      <c r="E88" s="40" t="s">
        <v>264</v>
      </c>
      <c r="F88" s="40"/>
      <c r="G88" s="10">
        <f>G89</f>
        <v>210</v>
      </c>
      <c r="H88" s="10">
        <f>H89</f>
        <v>210</v>
      </c>
    </row>
    <row r="89" spans="1:8" s="221" customFormat="1" ht="31.5" x14ac:dyDescent="0.25">
      <c r="A89" s="25" t="s">
        <v>363</v>
      </c>
      <c r="B89" s="20" t="s">
        <v>982</v>
      </c>
      <c r="C89" s="40" t="s">
        <v>259</v>
      </c>
      <c r="D89" s="40" t="s">
        <v>230</v>
      </c>
      <c r="E89" s="40" t="s">
        <v>364</v>
      </c>
      <c r="F89" s="40"/>
      <c r="G89" s="10">
        <f>'пр.4.1.ведом.21-22'!G467</f>
        <v>210</v>
      </c>
      <c r="H89" s="10">
        <f>'пр.4.1.ведом.21-22'!H467</f>
        <v>210</v>
      </c>
    </row>
    <row r="90" spans="1:8" s="221" customFormat="1" ht="47.25" x14ac:dyDescent="0.25">
      <c r="A90" s="45" t="s">
        <v>276</v>
      </c>
      <c r="B90" s="20" t="s">
        <v>982</v>
      </c>
      <c r="C90" s="40" t="s">
        <v>259</v>
      </c>
      <c r="D90" s="40" t="s">
        <v>230</v>
      </c>
      <c r="E90" s="40" t="s">
        <v>364</v>
      </c>
      <c r="F90" s="40" t="s">
        <v>642</v>
      </c>
      <c r="G90" s="10">
        <f>G89</f>
        <v>210</v>
      </c>
      <c r="H90" s="10">
        <f>H89</f>
        <v>210</v>
      </c>
    </row>
    <row r="91" spans="1:8" ht="47.25" x14ac:dyDescent="0.25">
      <c r="A91" s="58" t="s">
        <v>648</v>
      </c>
      <c r="B91" s="7" t="s">
        <v>377</v>
      </c>
      <c r="C91" s="7"/>
      <c r="D91" s="7"/>
      <c r="E91" s="7"/>
      <c r="F91" s="7"/>
      <c r="G91" s="59">
        <f t="shared" ref="G91:H91" si="16">G93</f>
        <v>250</v>
      </c>
      <c r="H91" s="59">
        <f t="shared" si="16"/>
        <v>250</v>
      </c>
    </row>
    <row r="92" spans="1:8" ht="47.25" x14ac:dyDescent="0.25">
      <c r="A92" s="23" t="s">
        <v>1208</v>
      </c>
      <c r="B92" s="24" t="s">
        <v>984</v>
      </c>
      <c r="C92" s="7"/>
      <c r="D92" s="7"/>
      <c r="E92" s="7"/>
      <c r="F92" s="7"/>
      <c r="G92" s="59">
        <f>G93</f>
        <v>250</v>
      </c>
      <c r="H92" s="59">
        <f>H93</f>
        <v>250</v>
      </c>
    </row>
    <row r="93" spans="1:8" ht="15.75" x14ac:dyDescent="0.25">
      <c r="A93" s="45" t="s">
        <v>258</v>
      </c>
      <c r="B93" s="40" t="s">
        <v>984</v>
      </c>
      <c r="C93" s="40" t="s">
        <v>259</v>
      </c>
      <c r="D93" s="40"/>
      <c r="E93" s="40"/>
      <c r="F93" s="40"/>
      <c r="G93" s="10">
        <f t="shared" ref="G93:H96" si="17">G94</f>
        <v>250</v>
      </c>
      <c r="H93" s="10">
        <f t="shared" si="17"/>
        <v>250</v>
      </c>
    </row>
    <row r="94" spans="1:8" ht="15.75" x14ac:dyDescent="0.25">
      <c r="A94" s="45" t="s">
        <v>267</v>
      </c>
      <c r="B94" s="40" t="s">
        <v>984</v>
      </c>
      <c r="C94" s="40" t="s">
        <v>259</v>
      </c>
      <c r="D94" s="40" t="s">
        <v>230</v>
      </c>
      <c r="E94" s="40"/>
      <c r="F94" s="40"/>
      <c r="G94" s="10">
        <f>G95</f>
        <v>250</v>
      </c>
      <c r="H94" s="10">
        <f>H95</f>
        <v>250</v>
      </c>
    </row>
    <row r="95" spans="1:8" ht="63" x14ac:dyDescent="0.25">
      <c r="A95" s="25" t="s">
        <v>1207</v>
      </c>
      <c r="B95" s="20" t="s">
        <v>983</v>
      </c>
      <c r="C95" s="40" t="s">
        <v>259</v>
      </c>
      <c r="D95" s="40" t="s">
        <v>230</v>
      </c>
      <c r="E95" s="40"/>
      <c r="F95" s="40"/>
      <c r="G95" s="10">
        <f t="shared" si="17"/>
        <v>250</v>
      </c>
      <c r="H95" s="10">
        <f t="shared" si="17"/>
        <v>250</v>
      </c>
    </row>
    <row r="96" spans="1:8" ht="31.5" x14ac:dyDescent="0.25">
      <c r="A96" s="25" t="s">
        <v>263</v>
      </c>
      <c r="B96" s="20" t="s">
        <v>983</v>
      </c>
      <c r="C96" s="40" t="s">
        <v>259</v>
      </c>
      <c r="D96" s="40" t="s">
        <v>230</v>
      </c>
      <c r="E96" s="40" t="s">
        <v>264</v>
      </c>
      <c r="F96" s="40"/>
      <c r="G96" s="10">
        <f t="shared" si="17"/>
        <v>250</v>
      </c>
      <c r="H96" s="10">
        <f t="shared" si="17"/>
        <v>250</v>
      </c>
    </row>
    <row r="97" spans="1:8" ht="31.5" x14ac:dyDescent="0.25">
      <c r="A97" s="25" t="s">
        <v>363</v>
      </c>
      <c r="B97" s="20" t="s">
        <v>983</v>
      </c>
      <c r="C97" s="40" t="s">
        <v>259</v>
      </c>
      <c r="D97" s="40" t="s">
        <v>230</v>
      </c>
      <c r="E97" s="40" t="s">
        <v>364</v>
      </c>
      <c r="F97" s="40"/>
      <c r="G97" s="10">
        <f>'пр.4.1.ведом.21-22'!G472</f>
        <v>250</v>
      </c>
      <c r="H97" s="10">
        <f>'пр.4.1.ведом.21-22'!H472</f>
        <v>250</v>
      </c>
    </row>
    <row r="98" spans="1:8" ht="47.25" x14ac:dyDescent="0.25">
      <c r="A98" s="45" t="s">
        <v>276</v>
      </c>
      <c r="B98" s="20" t="s">
        <v>983</v>
      </c>
      <c r="C98" s="40" t="s">
        <v>259</v>
      </c>
      <c r="D98" s="40" t="s">
        <v>230</v>
      </c>
      <c r="E98" s="40" t="s">
        <v>364</v>
      </c>
      <c r="F98" s="40" t="s">
        <v>642</v>
      </c>
      <c r="G98" s="10">
        <f>G97</f>
        <v>250</v>
      </c>
      <c r="H98" s="10">
        <f>H97</f>
        <v>250</v>
      </c>
    </row>
    <row r="99" spans="1:8" ht="63" x14ac:dyDescent="0.25">
      <c r="A99" s="58" t="s">
        <v>379</v>
      </c>
      <c r="B99" s="7" t="s">
        <v>380</v>
      </c>
      <c r="C99" s="7"/>
      <c r="D99" s="7"/>
      <c r="E99" s="7"/>
      <c r="F99" s="7"/>
      <c r="G99" s="59">
        <f t="shared" ref="G99:H99" si="18">G101</f>
        <v>260</v>
      </c>
      <c r="H99" s="59">
        <f t="shared" si="18"/>
        <v>260</v>
      </c>
    </row>
    <row r="100" spans="1:8" ht="31.5" x14ac:dyDescent="0.25">
      <c r="A100" s="23" t="s">
        <v>1145</v>
      </c>
      <c r="B100" s="24" t="s">
        <v>964</v>
      </c>
      <c r="C100" s="7"/>
      <c r="D100" s="7"/>
      <c r="E100" s="7"/>
      <c r="F100" s="7"/>
      <c r="G100" s="59">
        <f t="shared" ref="G100:H102" si="19">G101</f>
        <v>260</v>
      </c>
      <c r="H100" s="59">
        <f t="shared" si="19"/>
        <v>260</v>
      </c>
    </row>
    <row r="101" spans="1:8" ht="15.75" x14ac:dyDescent="0.25">
      <c r="A101" s="45" t="s">
        <v>313</v>
      </c>
      <c r="B101" s="40" t="s">
        <v>964</v>
      </c>
      <c r="C101" s="40" t="s">
        <v>314</v>
      </c>
      <c r="D101" s="40"/>
      <c r="E101" s="40"/>
      <c r="F101" s="40"/>
      <c r="G101" s="10">
        <f t="shared" si="19"/>
        <v>260</v>
      </c>
      <c r="H101" s="10">
        <f t="shared" si="19"/>
        <v>260</v>
      </c>
    </row>
    <row r="102" spans="1:8" ht="31.5" x14ac:dyDescent="0.25">
      <c r="A102" s="45" t="s">
        <v>348</v>
      </c>
      <c r="B102" s="40" t="s">
        <v>964</v>
      </c>
      <c r="C102" s="40" t="s">
        <v>314</v>
      </c>
      <c r="D102" s="40" t="s">
        <v>165</v>
      </c>
      <c r="E102" s="40"/>
      <c r="F102" s="40"/>
      <c r="G102" s="10">
        <f t="shared" si="19"/>
        <v>260</v>
      </c>
      <c r="H102" s="10">
        <f t="shared" si="19"/>
        <v>260</v>
      </c>
    </row>
    <row r="103" spans="1:8" ht="31.5" x14ac:dyDescent="0.25">
      <c r="A103" s="29" t="s">
        <v>172</v>
      </c>
      <c r="B103" s="20" t="s">
        <v>1223</v>
      </c>
      <c r="C103" s="40" t="s">
        <v>314</v>
      </c>
      <c r="D103" s="40" t="s">
        <v>165</v>
      </c>
      <c r="E103" s="40"/>
      <c r="F103" s="40"/>
      <c r="G103" s="10">
        <f t="shared" ref="G103:H104" si="20">G104</f>
        <v>260</v>
      </c>
      <c r="H103" s="10">
        <f t="shared" si="20"/>
        <v>260</v>
      </c>
    </row>
    <row r="104" spans="1:8" ht="31.5" x14ac:dyDescent="0.25">
      <c r="A104" s="29" t="s">
        <v>146</v>
      </c>
      <c r="B104" s="20" t="s">
        <v>1223</v>
      </c>
      <c r="C104" s="40" t="s">
        <v>314</v>
      </c>
      <c r="D104" s="40" t="s">
        <v>165</v>
      </c>
      <c r="E104" s="40" t="s">
        <v>147</v>
      </c>
      <c r="F104" s="40"/>
      <c r="G104" s="10">
        <f t="shared" si="20"/>
        <v>260</v>
      </c>
      <c r="H104" s="10">
        <f t="shared" si="20"/>
        <v>260</v>
      </c>
    </row>
    <row r="105" spans="1:8" ht="47.25" x14ac:dyDescent="0.25">
      <c r="A105" s="29" t="s">
        <v>148</v>
      </c>
      <c r="B105" s="20" t="s">
        <v>1223</v>
      </c>
      <c r="C105" s="40" t="s">
        <v>314</v>
      </c>
      <c r="D105" s="40" t="s">
        <v>165</v>
      </c>
      <c r="E105" s="40" t="s">
        <v>149</v>
      </c>
      <c r="F105" s="40"/>
      <c r="G105" s="10">
        <f>'Пр.4 ведом.20'!G442</f>
        <v>260</v>
      </c>
      <c r="H105" s="10">
        <f>'Пр.4 ведом.20'!H442</f>
        <v>260</v>
      </c>
    </row>
    <row r="106" spans="1:8" ht="47.25" x14ac:dyDescent="0.25">
      <c r="A106" s="45" t="s">
        <v>276</v>
      </c>
      <c r="B106" s="20" t="s">
        <v>1223</v>
      </c>
      <c r="C106" s="40" t="s">
        <v>314</v>
      </c>
      <c r="D106" s="40" t="s">
        <v>165</v>
      </c>
      <c r="E106" s="40" t="s">
        <v>149</v>
      </c>
      <c r="F106" s="40" t="s">
        <v>642</v>
      </c>
      <c r="G106" s="10">
        <f>G105</f>
        <v>260</v>
      </c>
      <c r="H106" s="10">
        <f>H105</f>
        <v>260</v>
      </c>
    </row>
    <row r="107" spans="1:8" ht="63" x14ac:dyDescent="0.25">
      <c r="A107" s="41" t="s">
        <v>382</v>
      </c>
      <c r="B107" s="7" t="s">
        <v>383</v>
      </c>
      <c r="C107" s="7"/>
      <c r="D107" s="7"/>
      <c r="E107" s="7"/>
      <c r="F107" s="7"/>
      <c r="G107" s="59">
        <f>G108+G119+G130+G141</f>
        <v>570</v>
      </c>
      <c r="H107" s="59">
        <f>H108+H119+H130+H141</f>
        <v>448.7</v>
      </c>
    </row>
    <row r="108" spans="1:8" ht="47.25" hidden="1" x14ac:dyDescent="0.25">
      <c r="A108" s="242" t="s">
        <v>1211</v>
      </c>
      <c r="B108" s="24" t="s">
        <v>935</v>
      </c>
      <c r="C108" s="7"/>
      <c r="D108" s="7"/>
      <c r="E108" s="7"/>
      <c r="F108" s="7"/>
      <c r="G108" s="59">
        <f>G109</f>
        <v>0</v>
      </c>
      <c r="H108" s="59">
        <f>H109</f>
        <v>0</v>
      </c>
    </row>
    <row r="109" spans="1:8" ht="15.75" hidden="1" x14ac:dyDescent="0.25">
      <c r="A109" s="45" t="s">
        <v>247</v>
      </c>
      <c r="B109" s="40" t="s">
        <v>935</v>
      </c>
      <c r="C109" s="40" t="s">
        <v>165</v>
      </c>
      <c r="D109" s="40"/>
      <c r="E109" s="40"/>
      <c r="F109" s="40"/>
      <c r="G109" s="10">
        <f t="shared" ref="G109:H109" si="21">G110</f>
        <v>0</v>
      </c>
      <c r="H109" s="10">
        <f t="shared" si="21"/>
        <v>0</v>
      </c>
    </row>
    <row r="110" spans="1:8" ht="31.5" hidden="1" x14ac:dyDescent="0.25">
      <c r="A110" s="45" t="s">
        <v>252</v>
      </c>
      <c r="B110" s="40" t="s">
        <v>935</v>
      </c>
      <c r="C110" s="40" t="s">
        <v>165</v>
      </c>
      <c r="D110" s="40" t="s">
        <v>253</v>
      </c>
      <c r="E110" s="40"/>
      <c r="F110" s="40"/>
      <c r="G110" s="10">
        <f>G111+G115</f>
        <v>0</v>
      </c>
      <c r="H110" s="10">
        <f>H111+H115</f>
        <v>0</v>
      </c>
    </row>
    <row r="111" spans="1:8" ht="63" hidden="1" x14ac:dyDescent="0.25">
      <c r="A111" s="25" t="s">
        <v>390</v>
      </c>
      <c r="B111" s="20" t="s">
        <v>1212</v>
      </c>
      <c r="C111" s="40" t="s">
        <v>165</v>
      </c>
      <c r="D111" s="40" t="s">
        <v>253</v>
      </c>
      <c r="E111" s="40"/>
      <c r="F111" s="40"/>
      <c r="G111" s="10">
        <f t="shared" ref="G111:H111" si="22">G112</f>
        <v>0</v>
      </c>
      <c r="H111" s="10">
        <f t="shared" si="22"/>
        <v>0</v>
      </c>
    </row>
    <row r="112" spans="1:8" ht="31.5" hidden="1" x14ac:dyDescent="0.25">
      <c r="A112" s="25" t="s">
        <v>263</v>
      </c>
      <c r="B112" s="20" t="s">
        <v>1212</v>
      </c>
      <c r="C112" s="40" t="s">
        <v>165</v>
      </c>
      <c r="D112" s="40" t="s">
        <v>253</v>
      </c>
      <c r="E112" s="40" t="s">
        <v>264</v>
      </c>
      <c r="F112" s="40"/>
      <c r="G112" s="10">
        <f>G113</f>
        <v>0</v>
      </c>
      <c r="H112" s="10">
        <f>H113</f>
        <v>0</v>
      </c>
    </row>
    <row r="113" spans="1:8" ht="47.25" hidden="1" x14ac:dyDescent="0.25">
      <c r="A113" s="25" t="s">
        <v>265</v>
      </c>
      <c r="B113" s="20" t="s">
        <v>1212</v>
      </c>
      <c r="C113" s="40" t="s">
        <v>165</v>
      </c>
      <c r="D113" s="40" t="s">
        <v>253</v>
      </c>
      <c r="E113" s="40" t="s">
        <v>266</v>
      </c>
      <c r="F113" s="40"/>
      <c r="G113" s="10">
        <f>'пр.4.1.ведом.21-22'!G255</f>
        <v>0</v>
      </c>
      <c r="H113" s="10">
        <f>'пр.4.1.ведом.21-22'!H255</f>
        <v>0</v>
      </c>
    </row>
    <row r="114" spans="1:8" ht="47.25" hidden="1" x14ac:dyDescent="0.25">
      <c r="A114" s="45" t="s">
        <v>276</v>
      </c>
      <c r="B114" s="20" t="s">
        <v>1212</v>
      </c>
      <c r="C114" s="40" t="s">
        <v>165</v>
      </c>
      <c r="D114" s="40" t="s">
        <v>253</v>
      </c>
      <c r="E114" s="40" t="s">
        <v>266</v>
      </c>
      <c r="F114" s="40" t="s">
        <v>642</v>
      </c>
      <c r="G114" s="10">
        <f>G113</f>
        <v>0</v>
      </c>
      <c r="H114" s="10">
        <f>H113</f>
        <v>0</v>
      </c>
    </row>
    <row r="115" spans="1:8" ht="63" hidden="1" x14ac:dyDescent="0.25">
      <c r="A115" s="25" t="s">
        <v>390</v>
      </c>
      <c r="B115" s="20" t="s">
        <v>1213</v>
      </c>
      <c r="C115" s="40" t="s">
        <v>165</v>
      </c>
      <c r="D115" s="40" t="s">
        <v>253</v>
      </c>
      <c r="E115" s="40"/>
      <c r="F115" s="40"/>
      <c r="G115" s="10">
        <f>G116</f>
        <v>0</v>
      </c>
      <c r="H115" s="10">
        <f>H116</f>
        <v>0</v>
      </c>
    </row>
    <row r="116" spans="1:8" ht="31.5" hidden="1" x14ac:dyDescent="0.25">
      <c r="A116" s="25" t="s">
        <v>263</v>
      </c>
      <c r="B116" s="20" t="s">
        <v>1213</v>
      </c>
      <c r="C116" s="40" t="s">
        <v>165</v>
      </c>
      <c r="D116" s="40" t="s">
        <v>253</v>
      </c>
      <c r="E116" s="40" t="s">
        <v>264</v>
      </c>
      <c r="F116" s="40"/>
      <c r="G116" s="10">
        <f>G117</f>
        <v>0</v>
      </c>
      <c r="H116" s="10">
        <f>H117</f>
        <v>0</v>
      </c>
    </row>
    <row r="117" spans="1:8" ht="47.25" hidden="1" x14ac:dyDescent="0.25">
      <c r="A117" s="25" t="s">
        <v>265</v>
      </c>
      <c r="B117" s="20" t="s">
        <v>1213</v>
      </c>
      <c r="C117" s="40" t="s">
        <v>165</v>
      </c>
      <c r="D117" s="40" t="s">
        <v>253</v>
      </c>
      <c r="E117" s="40" t="s">
        <v>266</v>
      </c>
      <c r="F117" s="40"/>
      <c r="G117" s="10">
        <f>'пр.4.1.ведом.21-22'!G258</f>
        <v>0</v>
      </c>
      <c r="H117" s="10">
        <f>'пр.4.1.ведом.21-22'!H258</f>
        <v>0</v>
      </c>
    </row>
    <row r="118" spans="1:8" ht="47.25" hidden="1" x14ac:dyDescent="0.25">
      <c r="A118" s="45" t="s">
        <v>276</v>
      </c>
      <c r="B118" s="20" t="s">
        <v>1213</v>
      </c>
      <c r="C118" s="40" t="s">
        <v>165</v>
      </c>
      <c r="D118" s="40" t="s">
        <v>253</v>
      </c>
      <c r="E118" s="40" t="s">
        <v>266</v>
      </c>
      <c r="F118" s="40" t="s">
        <v>642</v>
      </c>
      <c r="G118" s="10">
        <f>G117</f>
        <v>0</v>
      </c>
      <c r="H118" s="10">
        <f>H117</f>
        <v>0</v>
      </c>
    </row>
    <row r="119" spans="1:8" ht="47.25" x14ac:dyDescent="0.25">
      <c r="A119" s="23" t="s">
        <v>1209</v>
      </c>
      <c r="B119" s="24" t="s">
        <v>936</v>
      </c>
      <c r="C119" s="7"/>
      <c r="D119" s="7"/>
      <c r="E119" s="7"/>
      <c r="F119" s="7"/>
      <c r="G119" s="59">
        <f>G122+G126</f>
        <v>560</v>
      </c>
      <c r="H119" s="59">
        <f>H122+H126</f>
        <v>438.7</v>
      </c>
    </row>
    <row r="120" spans="1:8" ht="15.75" x14ac:dyDescent="0.25">
      <c r="A120" s="45" t="s">
        <v>247</v>
      </c>
      <c r="B120" s="40" t="s">
        <v>936</v>
      </c>
      <c r="C120" s="40" t="s">
        <v>165</v>
      </c>
      <c r="D120" s="40"/>
      <c r="E120" s="40"/>
      <c r="F120" s="40"/>
      <c r="G120" s="10">
        <f t="shared" ref="G120:H120" si="23">G121</f>
        <v>560</v>
      </c>
      <c r="H120" s="10">
        <f t="shared" si="23"/>
        <v>438.7</v>
      </c>
    </row>
    <row r="121" spans="1:8" ht="31.5" x14ac:dyDescent="0.25">
      <c r="A121" s="45" t="s">
        <v>252</v>
      </c>
      <c r="B121" s="40" t="s">
        <v>936</v>
      </c>
      <c r="C121" s="40" t="s">
        <v>165</v>
      </c>
      <c r="D121" s="40" t="s">
        <v>253</v>
      </c>
      <c r="E121" s="40"/>
      <c r="F121" s="40"/>
      <c r="G121" s="10">
        <f>G122+G126</f>
        <v>560</v>
      </c>
      <c r="H121" s="10">
        <f>H122+H126</f>
        <v>438.7</v>
      </c>
    </row>
    <row r="122" spans="1:8" ht="31.5" x14ac:dyDescent="0.25">
      <c r="A122" s="25" t="s">
        <v>1210</v>
      </c>
      <c r="B122" s="20" t="s">
        <v>1214</v>
      </c>
      <c r="C122" s="40" t="s">
        <v>165</v>
      </c>
      <c r="D122" s="40" t="s">
        <v>253</v>
      </c>
      <c r="E122" s="40"/>
      <c r="F122" s="40"/>
      <c r="G122" s="10">
        <f>G123</f>
        <v>60</v>
      </c>
      <c r="H122" s="10">
        <f>H123</f>
        <v>60</v>
      </c>
    </row>
    <row r="123" spans="1:8" ht="47.25" x14ac:dyDescent="0.25">
      <c r="A123" s="25" t="s">
        <v>287</v>
      </c>
      <c r="B123" s="20" t="s">
        <v>1214</v>
      </c>
      <c r="C123" s="40" t="s">
        <v>165</v>
      </c>
      <c r="D123" s="40" t="s">
        <v>253</v>
      </c>
      <c r="E123" s="40" t="s">
        <v>288</v>
      </c>
      <c r="F123" s="40"/>
      <c r="G123" s="10">
        <f>G124</f>
        <v>60</v>
      </c>
      <c r="H123" s="10">
        <f>H124</f>
        <v>60</v>
      </c>
    </row>
    <row r="124" spans="1:8" ht="78.75" x14ac:dyDescent="0.25">
      <c r="A124" s="25" t="s">
        <v>1292</v>
      </c>
      <c r="B124" s="20" t="s">
        <v>1214</v>
      </c>
      <c r="C124" s="40" t="s">
        <v>165</v>
      </c>
      <c r="D124" s="40" t="s">
        <v>253</v>
      </c>
      <c r="E124" s="40" t="s">
        <v>387</v>
      </c>
      <c r="F124" s="40"/>
      <c r="G124" s="10">
        <f>'пр.4.1.ведом.21-22'!G262</f>
        <v>60</v>
      </c>
      <c r="H124" s="10">
        <f>'пр.4.1.ведом.21-22'!H262</f>
        <v>60</v>
      </c>
    </row>
    <row r="125" spans="1:8" ht="47.25" x14ac:dyDescent="0.25">
      <c r="A125" s="45" t="s">
        <v>276</v>
      </c>
      <c r="B125" s="20" t="s">
        <v>1214</v>
      </c>
      <c r="C125" s="40" t="s">
        <v>165</v>
      </c>
      <c r="D125" s="40" t="s">
        <v>253</v>
      </c>
      <c r="E125" s="40" t="s">
        <v>387</v>
      </c>
      <c r="F125" s="40" t="s">
        <v>642</v>
      </c>
      <c r="G125" s="10">
        <f>G124</f>
        <v>60</v>
      </c>
      <c r="H125" s="10">
        <f>H124</f>
        <v>60</v>
      </c>
    </row>
    <row r="126" spans="1:8" ht="126" hidden="1" x14ac:dyDescent="0.25">
      <c r="A126" s="25" t="s">
        <v>388</v>
      </c>
      <c r="B126" s="20" t="s">
        <v>1215</v>
      </c>
      <c r="C126" s="40" t="s">
        <v>165</v>
      </c>
      <c r="D126" s="40" t="s">
        <v>253</v>
      </c>
      <c r="E126" s="40"/>
      <c r="F126" s="40"/>
      <c r="G126" s="10">
        <f>G127</f>
        <v>500</v>
      </c>
      <c r="H126" s="10">
        <f>H127</f>
        <v>378.7</v>
      </c>
    </row>
    <row r="127" spans="1:8" ht="47.25" hidden="1" x14ac:dyDescent="0.25">
      <c r="A127" s="25" t="s">
        <v>287</v>
      </c>
      <c r="B127" s="20" t="s">
        <v>1215</v>
      </c>
      <c r="C127" s="40" t="s">
        <v>165</v>
      </c>
      <c r="D127" s="40" t="s">
        <v>253</v>
      </c>
      <c r="E127" s="40" t="s">
        <v>288</v>
      </c>
      <c r="F127" s="40"/>
      <c r="G127" s="10">
        <f>G128</f>
        <v>500</v>
      </c>
      <c r="H127" s="10">
        <f>H128</f>
        <v>378.7</v>
      </c>
    </row>
    <row r="128" spans="1:8" ht="78.75" hidden="1" x14ac:dyDescent="0.25">
      <c r="A128" s="25" t="s">
        <v>1292</v>
      </c>
      <c r="B128" s="20" t="s">
        <v>1215</v>
      </c>
      <c r="C128" s="40" t="s">
        <v>165</v>
      </c>
      <c r="D128" s="40" t="s">
        <v>253</v>
      </c>
      <c r="E128" s="40" t="s">
        <v>387</v>
      </c>
      <c r="F128" s="40"/>
      <c r="G128" s="10">
        <f>'пр.4.1.ведом.21-22'!G265</f>
        <v>500</v>
      </c>
      <c r="H128" s="10">
        <f>'пр.4.1.ведом.21-22'!H265</f>
        <v>378.7</v>
      </c>
    </row>
    <row r="129" spans="1:8" ht="47.25" hidden="1" x14ac:dyDescent="0.25">
      <c r="A129" s="45" t="s">
        <v>276</v>
      </c>
      <c r="B129" s="20" t="s">
        <v>1215</v>
      </c>
      <c r="C129" s="40" t="s">
        <v>165</v>
      </c>
      <c r="D129" s="40" t="s">
        <v>253</v>
      </c>
      <c r="E129" s="40" t="s">
        <v>387</v>
      </c>
      <c r="F129" s="40" t="s">
        <v>642</v>
      </c>
      <c r="G129" s="10">
        <f>G128</f>
        <v>500</v>
      </c>
      <c r="H129" s="10">
        <f>H128</f>
        <v>378.7</v>
      </c>
    </row>
    <row r="130" spans="1:8" ht="31.5" hidden="1" x14ac:dyDescent="0.25">
      <c r="A130" s="23" t="s">
        <v>1143</v>
      </c>
      <c r="B130" s="24" t="s">
        <v>937</v>
      </c>
      <c r="C130" s="7"/>
      <c r="D130" s="7"/>
      <c r="E130" s="7"/>
      <c r="F130" s="7"/>
      <c r="G130" s="59">
        <f>G133+G137</f>
        <v>0</v>
      </c>
      <c r="H130" s="59">
        <f>H133+H137</f>
        <v>0</v>
      </c>
    </row>
    <row r="131" spans="1:8" ht="15.75" hidden="1" x14ac:dyDescent="0.25">
      <c r="A131" s="45" t="s">
        <v>247</v>
      </c>
      <c r="B131" s="40" t="s">
        <v>937</v>
      </c>
      <c r="C131" s="40" t="s">
        <v>165</v>
      </c>
      <c r="D131" s="40"/>
      <c r="E131" s="40"/>
      <c r="F131" s="40"/>
      <c r="G131" s="10">
        <f t="shared" ref="G131:H131" si="24">G132</f>
        <v>0</v>
      </c>
      <c r="H131" s="10">
        <f t="shared" si="24"/>
        <v>0</v>
      </c>
    </row>
    <row r="132" spans="1:8" ht="31.5" hidden="1" x14ac:dyDescent="0.25">
      <c r="A132" s="45" t="s">
        <v>252</v>
      </c>
      <c r="B132" s="40" t="s">
        <v>937</v>
      </c>
      <c r="C132" s="40" t="s">
        <v>165</v>
      </c>
      <c r="D132" s="40" t="s">
        <v>253</v>
      </c>
      <c r="E132" s="40"/>
      <c r="F132" s="40"/>
      <c r="G132" s="10">
        <f>G133+G137</f>
        <v>0</v>
      </c>
      <c r="H132" s="10">
        <f>H133+H137</f>
        <v>0</v>
      </c>
    </row>
    <row r="133" spans="1:8" ht="47.25" hidden="1" x14ac:dyDescent="0.25">
      <c r="A133" s="286" t="s">
        <v>1218</v>
      </c>
      <c r="B133" s="20" t="s">
        <v>1216</v>
      </c>
      <c r="C133" s="40" t="s">
        <v>165</v>
      </c>
      <c r="D133" s="40" t="s">
        <v>253</v>
      </c>
      <c r="E133" s="40"/>
      <c r="F133" s="40"/>
      <c r="G133" s="10">
        <f>G134</f>
        <v>0</v>
      </c>
      <c r="H133" s="10">
        <f>H134</f>
        <v>0</v>
      </c>
    </row>
    <row r="134" spans="1:8" ht="31.5" hidden="1" x14ac:dyDescent="0.25">
      <c r="A134" s="25" t="s">
        <v>146</v>
      </c>
      <c r="B134" s="20" t="s">
        <v>1216</v>
      </c>
      <c r="C134" s="40" t="s">
        <v>165</v>
      </c>
      <c r="D134" s="40" t="s">
        <v>253</v>
      </c>
      <c r="E134" s="40" t="s">
        <v>147</v>
      </c>
      <c r="F134" s="40"/>
      <c r="G134" s="10">
        <f>G135</f>
        <v>0</v>
      </c>
      <c r="H134" s="10">
        <f>H135</f>
        <v>0</v>
      </c>
    </row>
    <row r="135" spans="1:8" ht="47.25" hidden="1" x14ac:dyDescent="0.25">
      <c r="A135" s="25" t="s">
        <v>148</v>
      </c>
      <c r="B135" s="20" t="s">
        <v>1216</v>
      </c>
      <c r="C135" s="40" t="s">
        <v>165</v>
      </c>
      <c r="D135" s="40" t="s">
        <v>253</v>
      </c>
      <c r="E135" s="40" t="s">
        <v>149</v>
      </c>
      <c r="F135" s="40"/>
      <c r="G135" s="10">
        <f>'пр.4.1.ведом.21-22'!G269</f>
        <v>0</v>
      </c>
      <c r="H135" s="10">
        <f>'пр.4.1.ведом.21-22'!H269</f>
        <v>0</v>
      </c>
    </row>
    <row r="136" spans="1:8" ht="47.25" hidden="1" x14ac:dyDescent="0.25">
      <c r="A136" s="45" t="s">
        <v>276</v>
      </c>
      <c r="B136" s="20" t="s">
        <v>1216</v>
      </c>
      <c r="C136" s="40" t="s">
        <v>165</v>
      </c>
      <c r="D136" s="40" t="s">
        <v>253</v>
      </c>
      <c r="E136" s="40" t="s">
        <v>149</v>
      </c>
      <c r="F136" s="9" t="s">
        <v>642</v>
      </c>
      <c r="G136" s="10">
        <f>G135</f>
        <v>0</v>
      </c>
      <c r="H136" s="10">
        <f>H135</f>
        <v>0</v>
      </c>
    </row>
    <row r="137" spans="1:8" ht="47.25" hidden="1" x14ac:dyDescent="0.25">
      <c r="A137" s="25" t="s">
        <v>392</v>
      </c>
      <c r="B137" s="20" t="s">
        <v>1217</v>
      </c>
      <c r="C137" s="40" t="s">
        <v>165</v>
      </c>
      <c r="D137" s="40" t="s">
        <v>253</v>
      </c>
      <c r="E137" s="40"/>
      <c r="F137" s="40"/>
      <c r="G137" s="10">
        <f>G138</f>
        <v>0</v>
      </c>
      <c r="H137" s="10">
        <f>H138</f>
        <v>0</v>
      </c>
    </row>
    <row r="138" spans="1:8" ht="31.5" hidden="1" x14ac:dyDescent="0.25">
      <c r="A138" s="25" t="s">
        <v>146</v>
      </c>
      <c r="B138" s="20" t="s">
        <v>1217</v>
      </c>
      <c r="C138" s="40" t="s">
        <v>165</v>
      </c>
      <c r="D138" s="40" t="s">
        <v>253</v>
      </c>
      <c r="E138" s="40" t="s">
        <v>147</v>
      </c>
      <c r="F138" s="40"/>
      <c r="G138" s="10">
        <f>G139</f>
        <v>0</v>
      </c>
      <c r="H138" s="10">
        <f>H139</f>
        <v>0</v>
      </c>
    </row>
    <row r="139" spans="1:8" ht="47.25" hidden="1" x14ac:dyDescent="0.25">
      <c r="A139" s="25" t="s">
        <v>148</v>
      </c>
      <c r="B139" s="20" t="s">
        <v>1217</v>
      </c>
      <c r="C139" s="40" t="s">
        <v>165</v>
      </c>
      <c r="D139" s="40" t="s">
        <v>253</v>
      </c>
      <c r="E139" s="40" t="s">
        <v>149</v>
      </c>
      <c r="F139" s="40"/>
      <c r="G139" s="10">
        <f>'пр.4.1.ведом.21-22'!G272</f>
        <v>0</v>
      </c>
      <c r="H139" s="10">
        <f>'пр.4.1.ведом.21-22'!H272</f>
        <v>0</v>
      </c>
    </row>
    <row r="140" spans="1:8" ht="47.25" hidden="1" x14ac:dyDescent="0.25">
      <c r="A140" s="45" t="s">
        <v>276</v>
      </c>
      <c r="B140" s="20" t="s">
        <v>1217</v>
      </c>
      <c r="C140" s="40" t="s">
        <v>165</v>
      </c>
      <c r="D140" s="40" t="s">
        <v>253</v>
      </c>
      <c r="E140" s="40" t="s">
        <v>149</v>
      </c>
      <c r="F140" s="9" t="s">
        <v>642</v>
      </c>
      <c r="G140" s="10">
        <f>G139</f>
        <v>0</v>
      </c>
      <c r="H140" s="10">
        <f>H139</f>
        <v>0</v>
      </c>
    </row>
    <row r="141" spans="1:8" s="221" customFormat="1" ht="47.25" x14ac:dyDescent="0.25">
      <c r="A141" s="239" t="s">
        <v>1310</v>
      </c>
      <c r="B141" s="24" t="s">
        <v>1309</v>
      </c>
      <c r="C141" s="7"/>
      <c r="D141" s="7"/>
      <c r="E141" s="7"/>
      <c r="F141" s="7"/>
      <c r="G141" s="59">
        <f>G142</f>
        <v>10</v>
      </c>
      <c r="H141" s="59">
        <f>H142</f>
        <v>10</v>
      </c>
    </row>
    <row r="142" spans="1:8" s="221" customFormat="1" ht="15.75" x14ac:dyDescent="0.25">
      <c r="A142" s="45" t="s">
        <v>247</v>
      </c>
      <c r="B142" s="40" t="s">
        <v>1309</v>
      </c>
      <c r="C142" s="40" t="s">
        <v>165</v>
      </c>
      <c r="D142" s="40"/>
      <c r="E142" s="40"/>
      <c r="F142" s="40"/>
      <c r="G142" s="10">
        <f t="shared" ref="G142:H142" si="25">G143</f>
        <v>10</v>
      </c>
      <c r="H142" s="10">
        <f t="shared" si="25"/>
        <v>10</v>
      </c>
    </row>
    <row r="143" spans="1:8" s="221" customFormat="1" ht="31.5" x14ac:dyDescent="0.25">
      <c r="A143" s="45" t="s">
        <v>252</v>
      </c>
      <c r="B143" s="40" t="s">
        <v>1309</v>
      </c>
      <c r="C143" s="40" t="s">
        <v>165</v>
      </c>
      <c r="D143" s="40" t="s">
        <v>253</v>
      </c>
      <c r="E143" s="40"/>
      <c r="F143" s="40"/>
      <c r="G143" s="10">
        <f t="shared" ref="G143:H145" si="26">G144</f>
        <v>10</v>
      </c>
      <c r="H143" s="10">
        <f t="shared" si="26"/>
        <v>10</v>
      </c>
    </row>
    <row r="144" spans="1:8" s="221" customFormat="1" ht="31.5" x14ac:dyDescent="0.25">
      <c r="A144" s="264" t="s">
        <v>1311</v>
      </c>
      <c r="B144" s="20" t="s">
        <v>1364</v>
      </c>
      <c r="C144" s="40" t="s">
        <v>165</v>
      </c>
      <c r="D144" s="40" t="s">
        <v>253</v>
      </c>
      <c r="E144" s="40"/>
      <c r="F144" s="40"/>
      <c r="G144" s="10">
        <f t="shared" si="26"/>
        <v>10</v>
      </c>
      <c r="H144" s="10">
        <f t="shared" si="26"/>
        <v>10</v>
      </c>
    </row>
    <row r="145" spans="1:8" s="221" customFormat="1" ht="31.5" x14ac:dyDescent="0.25">
      <c r="A145" s="25" t="s">
        <v>146</v>
      </c>
      <c r="B145" s="20" t="s">
        <v>1364</v>
      </c>
      <c r="C145" s="40" t="s">
        <v>165</v>
      </c>
      <c r="D145" s="40" t="s">
        <v>253</v>
      </c>
      <c r="E145" s="40" t="s">
        <v>147</v>
      </c>
      <c r="F145" s="40"/>
      <c r="G145" s="10">
        <f t="shared" si="26"/>
        <v>10</v>
      </c>
      <c r="H145" s="10">
        <f t="shared" si="26"/>
        <v>10</v>
      </c>
    </row>
    <row r="146" spans="1:8" s="221" customFormat="1" ht="47.25" x14ac:dyDescent="0.25">
      <c r="A146" s="25" t="s">
        <v>148</v>
      </c>
      <c r="B146" s="20" t="s">
        <v>1364</v>
      </c>
      <c r="C146" s="40" t="s">
        <v>165</v>
      </c>
      <c r="D146" s="40" t="s">
        <v>253</v>
      </c>
      <c r="E146" s="40" t="s">
        <v>149</v>
      </c>
      <c r="F146" s="40"/>
      <c r="G146" s="10">
        <f>'пр.4.1.ведом.21-22'!G276</f>
        <v>10</v>
      </c>
      <c r="H146" s="10">
        <f>'пр.4.1.ведом.21-22'!H276</f>
        <v>10</v>
      </c>
    </row>
    <row r="147" spans="1:8" s="221" customFormat="1" ht="47.25" x14ac:dyDescent="0.25">
      <c r="A147" s="45" t="s">
        <v>276</v>
      </c>
      <c r="B147" s="20" t="s">
        <v>1364</v>
      </c>
      <c r="C147" s="40" t="s">
        <v>165</v>
      </c>
      <c r="D147" s="40" t="s">
        <v>253</v>
      </c>
      <c r="E147" s="40" t="s">
        <v>149</v>
      </c>
      <c r="F147" s="9" t="s">
        <v>642</v>
      </c>
      <c r="G147" s="10">
        <f>G146</f>
        <v>10</v>
      </c>
      <c r="H147" s="10">
        <f>H146</f>
        <v>10</v>
      </c>
    </row>
    <row r="148" spans="1:8" ht="110.25" x14ac:dyDescent="0.25">
      <c r="A148" s="41" t="s">
        <v>395</v>
      </c>
      <c r="B148" s="7" t="s">
        <v>396</v>
      </c>
      <c r="C148" s="7"/>
      <c r="D148" s="7"/>
      <c r="E148" s="7"/>
      <c r="F148" s="8"/>
      <c r="G148" s="59">
        <f>G149</f>
        <v>60</v>
      </c>
      <c r="H148" s="59">
        <f>H149</f>
        <v>60</v>
      </c>
    </row>
    <row r="149" spans="1:8" ht="63" x14ac:dyDescent="0.25">
      <c r="A149" s="284" t="s">
        <v>1219</v>
      </c>
      <c r="B149" s="7" t="s">
        <v>931</v>
      </c>
      <c r="C149" s="7"/>
      <c r="D149" s="7"/>
      <c r="E149" s="7"/>
      <c r="F149" s="8"/>
      <c r="G149" s="59">
        <f>G150</f>
        <v>60</v>
      </c>
      <c r="H149" s="59">
        <f>H150</f>
        <v>60</v>
      </c>
    </row>
    <row r="150" spans="1:8" ht="15.75" x14ac:dyDescent="0.25">
      <c r="A150" s="45" t="s">
        <v>132</v>
      </c>
      <c r="B150" s="40" t="s">
        <v>931</v>
      </c>
      <c r="C150" s="40" t="s">
        <v>133</v>
      </c>
      <c r="D150" s="40"/>
      <c r="E150" s="40"/>
      <c r="F150" s="9"/>
      <c r="G150" s="10">
        <f t="shared" ref="G150:H153" si="27">G151</f>
        <v>60</v>
      </c>
      <c r="H150" s="10">
        <f t="shared" si="27"/>
        <v>60</v>
      </c>
    </row>
    <row r="151" spans="1:8" ht="15.75" x14ac:dyDescent="0.25">
      <c r="A151" s="45" t="s">
        <v>154</v>
      </c>
      <c r="B151" s="40" t="s">
        <v>931</v>
      </c>
      <c r="C151" s="40" t="s">
        <v>133</v>
      </c>
      <c r="D151" s="40" t="s">
        <v>155</v>
      </c>
      <c r="E151" s="40"/>
      <c r="F151" s="9"/>
      <c r="G151" s="10">
        <f>G152+G156</f>
        <v>60</v>
      </c>
      <c r="H151" s="10">
        <f>H152+H156</f>
        <v>60</v>
      </c>
    </row>
    <row r="152" spans="1:8" ht="47.25" x14ac:dyDescent="0.25">
      <c r="A152" s="99" t="s">
        <v>1220</v>
      </c>
      <c r="B152" s="40" t="s">
        <v>932</v>
      </c>
      <c r="C152" s="40" t="s">
        <v>133</v>
      </c>
      <c r="D152" s="40" t="s">
        <v>155</v>
      </c>
      <c r="E152" s="40"/>
      <c r="F152" s="9"/>
      <c r="G152" s="10">
        <f t="shared" si="27"/>
        <v>60</v>
      </c>
      <c r="H152" s="10">
        <f t="shared" si="27"/>
        <v>60</v>
      </c>
    </row>
    <row r="153" spans="1:8" ht="31.5" x14ac:dyDescent="0.25">
      <c r="A153" s="29" t="s">
        <v>146</v>
      </c>
      <c r="B153" s="40" t="s">
        <v>932</v>
      </c>
      <c r="C153" s="40" t="s">
        <v>133</v>
      </c>
      <c r="D153" s="40" t="s">
        <v>155</v>
      </c>
      <c r="E153" s="40" t="s">
        <v>147</v>
      </c>
      <c r="F153" s="9"/>
      <c r="G153" s="10">
        <f t="shared" si="27"/>
        <v>60</v>
      </c>
      <c r="H153" s="10">
        <f t="shared" si="27"/>
        <v>60</v>
      </c>
    </row>
    <row r="154" spans="1:8" ht="47.25" x14ac:dyDescent="0.25">
      <c r="A154" s="29" t="s">
        <v>148</v>
      </c>
      <c r="B154" s="40" t="s">
        <v>932</v>
      </c>
      <c r="C154" s="40" t="s">
        <v>133</v>
      </c>
      <c r="D154" s="40" t="s">
        <v>155</v>
      </c>
      <c r="E154" s="40" t="s">
        <v>149</v>
      </c>
      <c r="F154" s="9"/>
      <c r="G154" s="10">
        <f>'пр.4.1.ведом.21-22'!G222</f>
        <v>60</v>
      </c>
      <c r="H154" s="10">
        <f>'пр.4.1.ведом.21-22'!H222</f>
        <v>60</v>
      </c>
    </row>
    <row r="155" spans="1:8" ht="47.25" x14ac:dyDescent="0.25">
      <c r="A155" s="45" t="s">
        <v>276</v>
      </c>
      <c r="B155" s="40" t="s">
        <v>932</v>
      </c>
      <c r="C155" s="40" t="s">
        <v>133</v>
      </c>
      <c r="D155" s="40" t="s">
        <v>155</v>
      </c>
      <c r="E155" s="40" t="s">
        <v>149</v>
      </c>
      <c r="F155" s="9" t="s">
        <v>642</v>
      </c>
      <c r="G155" s="10">
        <f>G154</f>
        <v>60</v>
      </c>
      <c r="H155" s="10">
        <f>H154</f>
        <v>60</v>
      </c>
    </row>
    <row r="156" spans="1:8" ht="47.25" hidden="1" x14ac:dyDescent="0.25">
      <c r="A156" s="35" t="s">
        <v>934</v>
      </c>
      <c r="B156" s="20" t="s">
        <v>933</v>
      </c>
      <c r="C156" s="40" t="s">
        <v>133</v>
      </c>
      <c r="D156" s="40" t="s">
        <v>155</v>
      </c>
      <c r="E156" s="40"/>
      <c r="F156" s="9"/>
      <c r="G156" s="10">
        <f>G157</f>
        <v>0</v>
      </c>
      <c r="H156" s="10">
        <f>H157</f>
        <v>0</v>
      </c>
    </row>
    <row r="157" spans="1:8" ht="31.5" hidden="1" x14ac:dyDescent="0.25">
      <c r="A157" s="25" t="s">
        <v>146</v>
      </c>
      <c r="B157" s="20" t="s">
        <v>933</v>
      </c>
      <c r="C157" s="40" t="s">
        <v>133</v>
      </c>
      <c r="D157" s="40" t="s">
        <v>155</v>
      </c>
      <c r="E157" s="40" t="s">
        <v>147</v>
      </c>
      <c r="F157" s="9"/>
      <c r="G157" s="10">
        <f>G158</f>
        <v>0</v>
      </c>
      <c r="H157" s="10">
        <f>H158</f>
        <v>0</v>
      </c>
    </row>
    <row r="158" spans="1:8" ht="47.25" hidden="1" x14ac:dyDescent="0.25">
      <c r="A158" s="25" t="s">
        <v>148</v>
      </c>
      <c r="B158" s="20" t="s">
        <v>933</v>
      </c>
      <c r="C158" s="40" t="s">
        <v>133</v>
      </c>
      <c r="D158" s="40" t="s">
        <v>155</v>
      </c>
      <c r="E158" s="40" t="s">
        <v>149</v>
      </c>
      <c r="F158" s="9"/>
      <c r="G158" s="10">
        <f>'пр.4.1.ведом.21-22'!G225</f>
        <v>0</v>
      </c>
      <c r="H158" s="10">
        <f>'пр.4.1.ведом.21-22'!H225</f>
        <v>0</v>
      </c>
    </row>
    <row r="159" spans="1:8" ht="47.25" hidden="1" x14ac:dyDescent="0.25">
      <c r="A159" s="45" t="s">
        <v>276</v>
      </c>
      <c r="B159" s="20" t="s">
        <v>933</v>
      </c>
      <c r="C159" s="40" t="s">
        <v>133</v>
      </c>
      <c r="D159" s="40" t="s">
        <v>155</v>
      </c>
      <c r="E159" s="40" t="s">
        <v>149</v>
      </c>
      <c r="F159" s="9" t="s">
        <v>642</v>
      </c>
      <c r="G159" s="10">
        <f>G158</f>
        <v>0</v>
      </c>
      <c r="H159" s="10">
        <f>H158</f>
        <v>0</v>
      </c>
    </row>
    <row r="160" spans="1:8" ht="47.25" x14ac:dyDescent="0.25">
      <c r="A160" s="58" t="s">
        <v>441</v>
      </c>
      <c r="B160" s="7" t="s">
        <v>421</v>
      </c>
      <c r="C160" s="7"/>
      <c r="D160" s="7"/>
      <c r="E160" s="7"/>
      <c r="F160" s="7"/>
      <c r="G160" s="59">
        <f>G161+G256+G309+G369+G377</f>
        <v>339680.10000000003</v>
      </c>
      <c r="H160" s="59">
        <f>H161+H256+H309+H369+H377</f>
        <v>339688.60000000003</v>
      </c>
    </row>
    <row r="161" spans="1:8" ht="47.25" x14ac:dyDescent="0.25">
      <c r="A161" s="41" t="s">
        <v>422</v>
      </c>
      <c r="B161" s="7" t="s">
        <v>423</v>
      </c>
      <c r="C161" s="7"/>
      <c r="D161" s="7"/>
      <c r="E161" s="7"/>
      <c r="F161" s="7"/>
      <c r="G161" s="59">
        <f>G162+G191</f>
        <v>313344.40000000002</v>
      </c>
      <c r="H161" s="59">
        <f>H162+H191</f>
        <v>313344.40000000002</v>
      </c>
    </row>
    <row r="162" spans="1:8" ht="47.25" x14ac:dyDescent="0.25">
      <c r="A162" s="23" t="s">
        <v>1026</v>
      </c>
      <c r="B162" s="24" t="s">
        <v>1004</v>
      </c>
      <c r="C162" s="7"/>
      <c r="D162" s="7"/>
      <c r="E162" s="7"/>
      <c r="F162" s="7"/>
      <c r="G162" s="59">
        <f>G163</f>
        <v>73445</v>
      </c>
      <c r="H162" s="59">
        <f>H163</f>
        <v>73445</v>
      </c>
    </row>
    <row r="163" spans="1:8" ht="15.75" x14ac:dyDescent="0.25">
      <c r="A163" s="29" t="s">
        <v>278</v>
      </c>
      <c r="B163" s="40" t="s">
        <v>1004</v>
      </c>
      <c r="C163" s="40" t="s">
        <v>279</v>
      </c>
      <c r="D163" s="40"/>
      <c r="E163" s="40"/>
      <c r="F163" s="40"/>
      <c r="G163" s="10">
        <f>G164+G173+G186</f>
        <v>73445</v>
      </c>
      <c r="H163" s="10">
        <f>H164+H173+H186</f>
        <v>73445</v>
      </c>
    </row>
    <row r="164" spans="1:8" ht="15.75" x14ac:dyDescent="0.25">
      <c r="A164" s="45" t="s">
        <v>419</v>
      </c>
      <c r="B164" s="40" t="s">
        <v>1004</v>
      </c>
      <c r="C164" s="40" t="s">
        <v>279</v>
      </c>
      <c r="D164" s="40" t="s">
        <v>133</v>
      </c>
      <c r="E164" s="40"/>
      <c r="F164" s="40"/>
      <c r="G164" s="10">
        <f>G165+G169</f>
        <v>12027</v>
      </c>
      <c r="H164" s="10">
        <f>H165+H169</f>
        <v>12027</v>
      </c>
    </row>
    <row r="165" spans="1:8" ht="63" x14ac:dyDescent="0.25">
      <c r="A165" s="25" t="s">
        <v>1061</v>
      </c>
      <c r="B165" s="20" t="s">
        <v>1060</v>
      </c>
      <c r="C165" s="40" t="s">
        <v>279</v>
      </c>
      <c r="D165" s="40" t="s">
        <v>133</v>
      </c>
      <c r="E165" s="40"/>
      <c r="F165" s="40"/>
      <c r="G165" s="10">
        <f t="shared" ref="G165:H166" si="28">G166</f>
        <v>7224.3</v>
      </c>
      <c r="H165" s="10">
        <f t="shared" si="28"/>
        <v>7224.3</v>
      </c>
    </row>
    <row r="166" spans="1:8" ht="47.25" x14ac:dyDescent="0.25">
      <c r="A166" s="25" t="s">
        <v>287</v>
      </c>
      <c r="B166" s="20" t="s">
        <v>1060</v>
      </c>
      <c r="C166" s="40" t="s">
        <v>279</v>
      </c>
      <c r="D166" s="40" t="s">
        <v>133</v>
      </c>
      <c r="E166" s="40" t="s">
        <v>288</v>
      </c>
      <c r="F166" s="40"/>
      <c r="G166" s="10">
        <f t="shared" si="28"/>
        <v>7224.3</v>
      </c>
      <c r="H166" s="10">
        <f t="shared" si="28"/>
        <v>7224.3</v>
      </c>
    </row>
    <row r="167" spans="1:8" ht="15.75" x14ac:dyDescent="0.25">
      <c r="A167" s="25" t="s">
        <v>289</v>
      </c>
      <c r="B167" s="20" t="s">
        <v>1060</v>
      </c>
      <c r="C167" s="40" t="s">
        <v>279</v>
      </c>
      <c r="D167" s="40" t="s">
        <v>133</v>
      </c>
      <c r="E167" s="40" t="s">
        <v>290</v>
      </c>
      <c r="F167" s="40"/>
      <c r="G167" s="6">
        <f>'пр.4.1.ведом.21-22'!G553</f>
        <v>7224.3</v>
      </c>
      <c r="H167" s="6">
        <f>'пр.4.1.ведом.21-22'!H553</f>
        <v>7224.3</v>
      </c>
    </row>
    <row r="168" spans="1:8" ht="31.5" x14ac:dyDescent="0.25">
      <c r="A168" s="29" t="s">
        <v>418</v>
      </c>
      <c r="B168" s="20" t="s">
        <v>1060</v>
      </c>
      <c r="C168" s="40" t="s">
        <v>279</v>
      </c>
      <c r="D168" s="40" t="s">
        <v>133</v>
      </c>
      <c r="E168" s="40" t="s">
        <v>290</v>
      </c>
      <c r="F168" s="40" t="s">
        <v>651</v>
      </c>
      <c r="G168" s="10">
        <f>G167</f>
        <v>7224.3</v>
      </c>
      <c r="H168" s="10">
        <f>H167</f>
        <v>7224.3</v>
      </c>
    </row>
    <row r="169" spans="1:8" ht="63" x14ac:dyDescent="0.25">
      <c r="A169" s="25" t="s">
        <v>1238</v>
      </c>
      <c r="B169" s="20" t="s">
        <v>1062</v>
      </c>
      <c r="C169" s="40" t="s">
        <v>279</v>
      </c>
      <c r="D169" s="40" t="s">
        <v>133</v>
      </c>
      <c r="E169" s="40"/>
      <c r="F169" s="40"/>
      <c r="G169" s="6">
        <f>G170</f>
        <v>4802.7</v>
      </c>
      <c r="H169" s="6">
        <f>H170</f>
        <v>4802.7</v>
      </c>
    </row>
    <row r="170" spans="1:8" ht="47.25" x14ac:dyDescent="0.25">
      <c r="A170" s="25" t="s">
        <v>287</v>
      </c>
      <c r="B170" s="20" t="s">
        <v>1062</v>
      </c>
      <c r="C170" s="40" t="s">
        <v>279</v>
      </c>
      <c r="D170" s="40" t="s">
        <v>133</v>
      </c>
      <c r="E170" s="40" t="s">
        <v>288</v>
      </c>
      <c r="F170" s="40"/>
      <c r="G170" s="6">
        <f>G171</f>
        <v>4802.7</v>
      </c>
      <c r="H170" s="6">
        <f>H171</f>
        <v>4802.7</v>
      </c>
    </row>
    <row r="171" spans="1:8" ht="15.75" x14ac:dyDescent="0.25">
      <c r="A171" s="25" t="s">
        <v>289</v>
      </c>
      <c r="B171" s="20" t="s">
        <v>1062</v>
      </c>
      <c r="C171" s="40" t="s">
        <v>279</v>
      </c>
      <c r="D171" s="40" t="s">
        <v>133</v>
      </c>
      <c r="E171" s="40" t="s">
        <v>290</v>
      </c>
      <c r="F171" s="40"/>
      <c r="G171" s="6">
        <f>'пр.4.1.ведом.21-22'!G556</f>
        <v>4802.7</v>
      </c>
      <c r="H171" s="6">
        <f>'пр.4.1.ведом.21-22'!H555</f>
        <v>4802.7</v>
      </c>
    </row>
    <row r="172" spans="1:8" ht="31.5" x14ac:dyDescent="0.25">
      <c r="A172" s="29" t="s">
        <v>418</v>
      </c>
      <c r="B172" s="20" t="s">
        <v>1062</v>
      </c>
      <c r="C172" s="40" t="s">
        <v>279</v>
      </c>
      <c r="D172" s="40" t="s">
        <v>133</v>
      </c>
      <c r="E172" s="40" t="s">
        <v>290</v>
      </c>
      <c r="F172" s="40" t="s">
        <v>651</v>
      </c>
      <c r="G172" s="10">
        <f>G171</f>
        <v>4802.7</v>
      </c>
      <c r="H172" s="10">
        <f>H171</f>
        <v>4802.7</v>
      </c>
    </row>
    <row r="173" spans="1:8" ht="15.75" x14ac:dyDescent="0.25">
      <c r="A173" s="29" t="s">
        <v>440</v>
      </c>
      <c r="B173" s="40" t="s">
        <v>1004</v>
      </c>
      <c r="C173" s="40" t="s">
        <v>279</v>
      </c>
      <c r="D173" s="40" t="s">
        <v>228</v>
      </c>
      <c r="E173" s="40"/>
      <c r="F173" s="40"/>
      <c r="G173" s="10">
        <f>G174+G178+G182</f>
        <v>28803</v>
      </c>
      <c r="H173" s="10">
        <f>H174+H178+H182</f>
        <v>28803</v>
      </c>
    </row>
    <row r="174" spans="1:8" ht="63" x14ac:dyDescent="0.25">
      <c r="A174" s="25" t="s">
        <v>1066</v>
      </c>
      <c r="B174" s="20" t="s">
        <v>1063</v>
      </c>
      <c r="C174" s="40" t="s">
        <v>279</v>
      </c>
      <c r="D174" s="40" t="s">
        <v>228</v>
      </c>
      <c r="E174" s="40"/>
      <c r="F174" s="40"/>
      <c r="G174" s="10">
        <f t="shared" ref="G174:H175" si="29">G175</f>
        <v>9775.4</v>
      </c>
      <c r="H174" s="10">
        <f t="shared" si="29"/>
        <v>9775.4</v>
      </c>
    </row>
    <row r="175" spans="1:8" ht="47.25" x14ac:dyDescent="0.25">
      <c r="A175" s="25" t="s">
        <v>287</v>
      </c>
      <c r="B175" s="20" t="s">
        <v>1063</v>
      </c>
      <c r="C175" s="40" t="s">
        <v>279</v>
      </c>
      <c r="D175" s="40" t="s">
        <v>228</v>
      </c>
      <c r="E175" s="40" t="s">
        <v>288</v>
      </c>
      <c r="F175" s="40"/>
      <c r="G175" s="10">
        <f t="shared" si="29"/>
        <v>9775.4</v>
      </c>
      <c r="H175" s="10">
        <f t="shared" si="29"/>
        <v>9775.4</v>
      </c>
    </row>
    <row r="176" spans="1:8" ht="15.75" x14ac:dyDescent="0.25">
      <c r="A176" s="25" t="s">
        <v>289</v>
      </c>
      <c r="B176" s="20" t="s">
        <v>1063</v>
      </c>
      <c r="C176" s="40" t="s">
        <v>279</v>
      </c>
      <c r="D176" s="40" t="s">
        <v>228</v>
      </c>
      <c r="E176" s="40" t="s">
        <v>290</v>
      </c>
      <c r="F176" s="40"/>
      <c r="G176" s="6">
        <f>'пр.4.1.ведом.21-22'!G624</f>
        <v>9775.4</v>
      </c>
      <c r="H176" s="6">
        <f>'пр.4.1.ведом.21-22'!H624</f>
        <v>9775.4</v>
      </c>
    </row>
    <row r="177" spans="1:8" ht="31.5" x14ac:dyDescent="0.25">
      <c r="A177" s="29" t="s">
        <v>418</v>
      </c>
      <c r="B177" s="20" t="s">
        <v>1063</v>
      </c>
      <c r="C177" s="40" t="s">
        <v>279</v>
      </c>
      <c r="D177" s="40" t="s">
        <v>228</v>
      </c>
      <c r="E177" s="40" t="s">
        <v>290</v>
      </c>
      <c r="F177" s="40" t="s">
        <v>651</v>
      </c>
      <c r="G177" s="10">
        <f>G176</f>
        <v>9775.4</v>
      </c>
      <c r="H177" s="10">
        <f>H176</f>
        <v>9775.4</v>
      </c>
    </row>
    <row r="178" spans="1:8" ht="63" x14ac:dyDescent="0.25">
      <c r="A178" s="25" t="s">
        <v>1067</v>
      </c>
      <c r="B178" s="20" t="s">
        <v>1064</v>
      </c>
      <c r="C178" s="40" t="s">
        <v>279</v>
      </c>
      <c r="D178" s="40" t="s">
        <v>228</v>
      </c>
      <c r="E178" s="40"/>
      <c r="F178" s="40"/>
      <c r="G178" s="6">
        <f>G179</f>
        <v>12351.7</v>
      </c>
      <c r="H178" s="6">
        <f>H179</f>
        <v>12351.7</v>
      </c>
    </row>
    <row r="179" spans="1:8" ht="47.25" x14ac:dyDescent="0.25">
      <c r="A179" s="25" t="s">
        <v>287</v>
      </c>
      <c r="B179" s="20" t="s">
        <v>1064</v>
      </c>
      <c r="C179" s="40" t="s">
        <v>279</v>
      </c>
      <c r="D179" s="40" t="s">
        <v>228</v>
      </c>
      <c r="E179" s="40" t="s">
        <v>288</v>
      </c>
      <c r="F179" s="40"/>
      <c r="G179" s="6">
        <f>G180</f>
        <v>12351.7</v>
      </c>
      <c r="H179" s="6">
        <f>H180</f>
        <v>12351.7</v>
      </c>
    </row>
    <row r="180" spans="1:8" ht="15.75" x14ac:dyDescent="0.25">
      <c r="A180" s="25" t="s">
        <v>289</v>
      </c>
      <c r="B180" s="20" t="s">
        <v>1064</v>
      </c>
      <c r="C180" s="40" t="s">
        <v>279</v>
      </c>
      <c r="D180" s="40" t="s">
        <v>228</v>
      </c>
      <c r="E180" s="40" t="s">
        <v>290</v>
      </c>
      <c r="F180" s="40"/>
      <c r="G180" s="6">
        <f>'пр.4.1.ведом.21-22'!G627</f>
        <v>12351.7</v>
      </c>
      <c r="H180" s="6">
        <f>'пр.4.1.ведом.21-22'!H627</f>
        <v>12351.7</v>
      </c>
    </row>
    <row r="181" spans="1:8" ht="31.5" x14ac:dyDescent="0.25">
      <c r="A181" s="29" t="s">
        <v>418</v>
      </c>
      <c r="B181" s="20" t="s">
        <v>1064</v>
      </c>
      <c r="C181" s="40" t="s">
        <v>279</v>
      </c>
      <c r="D181" s="40" t="s">
        <v>228</v>
      </c>
      <c r="E181" s="40" t="s">
        <v>290</v>
      </c>
      <c r="F181" s="40" t="s">
        <v>651</v>
      </c>
      <c r="G181" s="10">
        <f>G180</f>
        <v>12351.7</v>
      </c>
      <c r="H181" s="10">
        <f>H180</f>
        <v>12351.7</v>
      </c>
    </row>
    <row r="182" spans="1:8" ht="63" x14ac:dyDescent="0.25">
      <c r="A182" s="25" t="s">
        <v>1068</v>
      </c>
      <c r="B182" s="20" t="s">
        <v>1065</v>
      </c>
      <c r="C182" s="40" t="s">
        <v>279</v>
      </c>
      <c r="D182" s="40" t="s">
        <v>228</v>
      </c>
      <c r="E182" s="40"/>
      <c r="F182" s="40"/>
      <c r="G182" s="6">
        <f>G183</f>
        <v>6675.9</v>
      </c>
      <c r="H182" s="6">
        <f>H183</f>
        <v>6675.9</v>
      </c>
    </row>
    <row r="183" spans="1:8" ht="47.25" x14ac:dyDescent="0.25">
      <c r="A183" s="25" t="s">
        <v>287</v>
      </c>
      <c r="B183" s="20" t="s">
        <v>1065</v>
      </c>
      <c r="C183" s="40" t="s">
        <v>279</v>
      </c>
      <c r="D183" s="40" t="s">
        <v>228</v>
      </c>
      <c r="E183" s="40" t="s">
        <v>288</v>
      </c>
      <c r="F183" s="40"/>
      <c r="G183" s="6">
        <f>G184</f>
        <v>6675.9</v>
      </c>
      <c r="H183" s="6">
        <f>H184</f>
        <v>6675.9</v>
      </c>
    </row>
    <row r="184" spans="1:8" ht="15.75" x14ac:dyDescent="0.25">
      <c r="A184" s="25" t="s">
        <v>289</v>
      </c>
      <c r="B184" s="20" t="s">
        <v>1065</v>
      </c>
      <c r="C184" s="40" t="s">
        <v>279</v>
      </c>
      <c r="D184" s="40" t="s">
        <v>228</v>
      </c>
      <c r="E184" s="40" t="s">
        <v>290</v>
      </c>
      <c r="F184" s="40"/>
      <c r="G184" s="6">
        <f>'пр.4.1.ведом.21-22'!G630</f>
        <v>6675.9</v>
      </c>
      <c r="H184" s="6">
        <f>'пр.4.1.ведом.21-22'!H630</f>
        <v>6675.9</v>
      </c>
    </row>
    <row r="185" spans="1:8" ht="31.5" x14ac:dyDescent="0.25">
      <c r="A185" s="29" t="s">
        <v>418</v>
      </c>
      <c r="B185" s="20" t="s">
        <v>1065</v>
      </c>
      <c r="C185" s="40" t="s">
        <v>279</v>
      </c>
      <c r="D185" s="40" t="s">
        <v>228</v>
      </c>
      <c r="E185" s="40" t="s">
        <v>290</v>
      </c>
      <c r="F185" s="40" t="s">
        <v>651</v>
      </c>
      <c r="G185" s="10">
        <f>G184</f>
        <v>6675.9</v>
      </c>
      <c r="H185" s="10">
        <f>H184</f>
        <v>6675.9</v>
      </c>
    </row>
    <row r="186" spans="1:8" ht="15.75" x14ac:dyDescent="0.25">
      <c r="A186" s="29" t="s">
        <v>280</v>
      </c>
      <c r="B186" s="40" t="s">
        <v>1004</v>
      </c>
      <c r="C186" s="40" t="s">
        <v>279</v>
      </c>
      <c r="D186" s="40" t="s">
        <v>230</v>
      </c>
      <c r="E186" s="40"/>
      <c r="F186" s="40"/>
      <c r="G186" s="6">
        <f t="shared" ref="G186:H188" si="30">G187</f>
        <v>32615</v>
      </c>
      <c r="H186" s="6">
        <f t="shared" si="30"/>
        <v>32615</v>
      </c>
    </row>
    <row r="187" spans="1:8" ht="47.25" x14ac:dyDescent="0.25">
      <c r="A187" s="29" t="s">
        <v>285</v>
      </c>
      <c r="B187" s="20" t="s">
        <v>1049</v>
      </c>
      <c r="C187" s="40" t="s">
        <v>279</v>
      </c>
      <c r="D187" s="40" t="s">
        <v>230</v>
      </c>
      <c r="E187" s="7"/>
      <c r="F187" s="7"/>
      <c r="G187" s="10">
        <f t="shared" si="30"/>
        <v>32615</v>
      </c>
      <c r="H187" s="10">
        <f t="shared" si="30"/>
        <v>32615</v>
      </c>
    </row>
    <row r="188" spans="1:8" ht="47.25" x14ac:dyDescent="0.25">
      <c r="A188" s="29" t="s">
        <v>287</v>
      </c>
      <c r="B188" s="20" t="s">
        <v>1049</v>
      </c>
      <c r="C188" s="40" t="s">
        <v>279</v>
      </c>
      <c r="D188" s="40" t="s">
        <v>230</v>
      </c>
      <c r="E188" s="40" t="s">
        <v>288</v>
      </c>
      <c r="F188" s="40"/>
      <c r="G188" s="10">
        <f t="shared" si="30"/>
        <v>32615</v>
      </c>
      <c r="H188" s="10">
        <f t="shared" si="30"/>
        <v>32615</v>
      </c>
    </row>
    <row r="189" spans="1:8" ht="15.75" x14ac:dyDescent="0.25">
      <c r="A189" s="29" t="s">
        <v>289</v>
      </c>
      <c r="B189" s="20" t="s">
        <v>1049</v>
      </c>
      <c r="C189" s="40" t="s">
        <v>279</v>
      </c>
      <c r="D189" s="40" t="s">
        <v>230</v>
      </c>
      <c r="E189" s="40" t="s">
        <v>290</v>
      </c>
      <c r="F189" s="40"/>
      <c r="G189" s="6">
        <f>'пр.4.1.ведом.21-22'!G705</f>
        <v>32615</v>
      </c>
      <c r="H189" s="6">
        <f>'пр.4.1.ведом.21-22'!H705</f>
        <v>32615</v>
      </c>
    </row>
    <row r="190" spans="1:8" ht="31.5" x14ac:dyDescent="0.25">
      <c r="A190" s="29" t="s">
        <v>418</v>
      </c>
      <c r="B190" s="20" t="s">
        <v>1049</v>
      </c>
      <c r="C190" s="40" t="s">
        <v>279</v>
      </c>
      <c r="D190" s="40" t="s">
        <v>230</v>
      </c>
      <c r="E190" s="40" t="s">
        <v>290</v>
      </c>
      <c r="F190" s="40" t="s">
        <v>651</v>
      </c>
      <c r="G190" s="10">
        <f>G189</f>
        <v>32615</v>
      </c>
      <c r="H190" s="10">
        <f>H189</f>
        <v>32615</v>
      </c>
    </row>
    <row r="191" spans="1:8" ht="47.25" x14ac:dyDescent="0.25">
      <c r="A191" s="23" t="s">
        <v>969</v>
      </c>
      <c r="B191" s="24" t="s">
        <v>1019</v>
      </c>
      <c r="C191" s="7"/>
      <c r="D191" s="7"/>
      <c r="E191" s="7"/>
      <c r="F191" s="7"/>
      <c r="G191" s="4">
        <f>G192</f>
        <v>239899.40000000002</v>
      </c>
      <c r="H191" s="4">
        <f>H192</f>
        <v>239899.40000000002</v>
      </c>
    </row>
    <row r="192" spans="1:8" ht="15.75" x14ac:dyDescent="0.25">
      <c r="A192" s="29" t="s">
        <v>278</v>
      </c>
      <c r="B192" s="40" t="s">
        <v>1019</v>
      </c>
      <c r="C192" s="40" t="s">
        <v>279</v>
      </c>
      <c r="D192" s="40"/>
      <c r="E192" s="40"/>
      <c r="F192" s="40"/>
      <c r="G192" s="10">
        <f>G193+G214+G239</f>
        <v>239899.40000000002</v>
      </c>
      <c r="H192" s="10">
        <f>H193+H214+H239</f>
        <v>239899.40000000002</v>
      </c>
    </row>
    <row r="193" spans="1:8" ht="15.75" x14ac:dyDescent="0.25">
      <c r="A193" s="45" t="s">
        <v>419</v>
      </c>
      <c r="B193" s="40" t="s">
        <v>1019</v>
      </c>
      <c r="C193" s="40" t="s">
        <v>279</v>
      </c>
      <c r="D193" s="40" t="s">
        <v>133</v>
      </c>
      <c r="E193" s="40"/>
      <c r="F193" s="40"/>
      <c r="G193" s="10">
        <f>G198+G202+G206+G210+G194</f>
        <v>85840.5</v>
      </c>
      <c r="H193" s="365">
        <f>H198+H202+H206+H210+H194</f>
        <v>85840.5</v>
      </c>
    </row>
    <row r="194" spans="1:8" s="361" customFormat="1" ht="110.25" x14ac:dyDescent="0.25">
      <c r="A194" s="31" t="s">
        <v>308</v>
      </c>
      <c r="B194" s="368" t="s">
        <v>1523</v>
      </c>
      <c r="C194" s="376" t="s">
        <v>279</v>
      </c>
      <c r="D194" s="376" t="s">
        <v>133</v>
      </c>
      <c r="E194" s="376"/>
      <c r="F194" s="376"/>
      <c r="G194" s="365">
        <f>G195</f>
        <v>2916.1</v>
      </c>
      <c r="H194" s="365">
        <f>H195</f>
        <v>2916.1</v>
      </c>
    </row>
    <row r="195" spans="1:8" s="361" customFormat="1" ht="47.25" x14ac:dyDescent="0.25">
      <c r="A195" s="372" t="s">
        <v>287</v>
      </c>
      <c r="B195" s="368" t="s">
        <v>1523</v>
      </c>
      <c r="C195" s="376" t="s">
        <v>279</v>
      </c>
      <c r="D195" s="376" t="s">
        <v>133</v>
      </c>
      <c r="E195" s="376" t="s">
        <v>288</v>
      </c>
      <c r="F195" s="376"/>
      <c r="G195" s="365">
        <f>G196</f>
        <v>2916.1</v>
      </c>
      <c r="H195" s="365">
        <f>H196</f>
        <v>2916.1</v>
      </c>
    </row>
    <row r="196" spans="1:8" s="361" customFormat="1" ht="15.75" x14ac:dyDescent="0.25">
      <c r="A196" s="372" t="s">
        <v>289</v>
      </c>
      <c r="B196" s="368" t="s">
        <v>1523</v>
      </c>
      <c r="C196" s="376" t="s">
        <v>279</v>
      </c>
      <c r="D196" s="376" t="s">
        <v>133</v>
      </c>
      <c r="E196" s="376" t="s">
        <v>290</v>
      </c>
      <c r="F196" s="376"/>
      <c r="G196" s="365">
        <f>'пр.4.1.ведом.21-22'!G560</f>
        <v>2916.1</v>
      </c>
      <c r="H196" s="365">
        <f>'пр.4.1.ведом.21-22'!H560</f>
        <v>2916.1</v>
      </c>
    </row>
    <row r="197" spans="1:8" s="361" customFormat="1" ht="31.5" x14ac:dyDescent="0.25">
      <c r="A197" s="375" t="s">
        <v>418</v>
      </c>
      <c r="B197" s="368" t="s">
        <v>1523</v>
      </c>
      <c r="C197" s="376" t="s">
        <v>279</v>
      </c>
      <c r="D197" s="376" t="s">
        <v>133</v>
      </c>
      <c r="E197" s="376" t="s">
        <v>290</v>
      </c>
      <c r="F197" s="376" t="s">
        <v>651</v>
      </c>
      <c r="G197" s="365">
        <f>G194</f>
        <v>2916.1</v>
      </c>
      <c r="H197" s="365">
        <f>H194</f>
        <v>2916.1</v>
      </c>
    </row>
    <row r="198" spans="1:8" ht="78.75" x14ac:dyDescent="0.25">
      <c r="A198" s="31" t="s">
        <v>304</v>
      </c>
      <c r="B198" s="20" t="s">
        <v>1018</v>
      </c>
      <c r="C198" s="40" t="s">
        <v>279</v>
      </c>
      <c r="D198" s="40" t="s">
        <v>133</v>
      </c>
      <c r="E198" s="40"/>
      <c r="F198" s="40"/>
      <c r="G198" s="6">
        <f>G199</f>
        <v>559.70000000000005</v>
      </c>
      <c r="H198" s="6">
        <f>H199</f>
        <v>559.70000000000005</v>
      </c>
    </row>
    <row r="199" spans="1:8" ht="47.25" x14ac:dyDescent="0.25">
      <c r="A199" s="25" t="s">
        <v>287</v>
      </c>
      <c r="B199" s="20" t="s">
        <v>1018</v>
      </c>
      <c r="C199" s="40" t="s">
        <v>279</v>
      </c>
      <c r="D199" s="40" t="s">
        <v>133</v>
      </c>
      <c r="E199" s="40" t="s">
        <v>288</v>
      </c>
      <c r="F199" s="40"/>
      <c r="G199" s="6">
        <f>G200</f>
        <v>559.70000000000005</v>
      </c>
      <c r="H199" s="6">
        <f>H200</f>
        <v>559.70000000000005</v>
      </c>
    </row>
    <row r="200" spans="1:8" ht="15.75" x14ac:dyDescent="0.25">
      <c r="A200" s="25" t="s">
        <v>289</v>
      </c>
      <c r="B200" s="20" t="s">
        <v>1018</v>
      </c>
      <c r="C200" s="40" t="s">
        <v>279</v>
      </c>
      <c r="D200" s="40" t="s">
        <v>133</v>
      </c>
      <c r="E200" s="40" t="s">
        <v>290</v>
      </c>
      <c r="F200" s="40"/>
      <c r="G200" s="6">
        <f>'пр.4.1.ведом.21-22'!G563</f>
        <v>559.70000000000005</v>
      </c>
      <c r="H200" s="6">
        <f>'пр.4.1.ведом.21-22'!H563</f>
        <v>559.70000000000005</v>
      </c>
    </row>
    <row r="201" spans="1:8" ht="31.5" x14ac:dyDescent="0.25">
      <c r="A201" s="29" t="s">
        <v>418</v>
      </c>
      <c r="B201" s="20" t="s">
        <v>1018</v>
      </c>
      <c r="C201" s="40" t="s">
        <v>279</v>
      </c>
      <c r="D201" s="40" t="s">
        <v>133</v>
      </c>
      <c r="E201" s="40" t="s">
        <v>290</v>
      </c>
      <c r="F201" s="40" t="s">
        <v>651</v>
      </c>
      <c r="G201" s="10">
        <f>G200</f>
        <v>559.70000000000005</v>
      </c>
      <c r="H201" s="10">
        <f>H200</f>
        <v>559.70000000000005</v>
      </c>
    </row>
    <row r="202" spans="1:8" ht="94.5" x14ac:dyDescent="0.25">
      <c r="A202" s="31" t="s">
        <v>435</v>
      </c>
      <c r="B202" s="20" t="s">
        <v>1021</v>
      </c>
      <c r="C202" s="40" t="s">
        <v>279</v>
      </c>
      <c r="D202" s="40" t="s">
        <v>133</v>
      </c>
      <c r="E202" s="40"/>
      <c r="F202" s="40"/>
      <c r="G202" s="6">
        <f>G203</f>
        <v>1629.3</v>
      </c>
      <c r="H202" s="6">
        <f>H203</f>
        <v>1629.3</v>
      </c>
    </row>
    <row r="203" spans="1:8" ht="47.25" x14ac:dyDescent="0.25">
      <c r="A203" s="25" t="s">
        <v>287</v>
      </c>
      <c r="B203" s="20" t="s">
        <v>1021</v>
      </c>
      <c r="C203" s="40" t="s">
        <v>279</v>
      </c>
      <c r="D203" s="40" t="s">
        <v>133</v>
      </c>
      <c r="E203" s="40" t="s">
        <v>288</v>
      </c>
      <c r="F203" s="40"/>
      <c r="G203" s="6">
        <f>G204</f>
        <v>1629.3</v>
      </c>
      <c r="H203" s="6">
        <f>H204</f>
        <v>1629.3</v>
      </c>
    </row>
    <row r="204" spans="1:8" ht="15.75" x14ac:dyDescent="0.25">
      <c r="A204" s="25" t="s">
        <v>289</v>
      </c>
      <c r="B204" s="20" t="s">
        <v>1021</v>
      </c>
      <c r="C204" s="40" t="s">
        <v>279</v>
      </c>
      <c r="D204" s="40" t="s">
        <v>133</v>
      </c>
      <c r="E204" s="40" t="s">
        <v>290</v>
      </c>
      <c r="F204" s="40"/>
      <c r="G204" s="6">
        <f>'пр.4.1.ведом.21-22'!G566</f>
        <v>1629.3</v>
      </c>
      <c r="H204" s="6">
        <f>'пр.4.1.ведом.21-22'!H566</f>
        <v>1629.3</v>
      </c>
    </row>
    <row r="205" spans="1:8" ht="31.5" x14ac:dyDescent="0.25">
      <c r="A205" s="29" t="s">
        <v>418</v>
      </c>
      <c r="B205" s="20" t="s">
        <v>1021</v>
      </c>
      <c r="C205" s="40" t="s">
        <v>279</v>
      </c>
      <c r="D205" s="40" t="s">
        <v>133</v>
      </c>
      <c r="E205" s="40" t="s">
        <v>290</v>
      </c>
      <c r="F205" s="40" t="s">
        <v>651</v>
      </c>
      <c r="G205" s="10">
        <f>G204</f>
        <v>1629.3</v>
      </c>
      <c r="H205" s="10">
        <f>H204</f>
        <v>1629.3</v>
      </c>
    </row>
    <row r="206" spans="1:8" ht="91.5" customHeight="1" x14ac:dyDescent="0.25">
      <c r="A206" s="31" t="s">
        <v>436</v>
      </c>
      <c r="B206" s="20" t="s">
        <v>1020</v>
      </c>
      <c r="C206" s="40" t="s">
        <v>279</v>
      </c>
      <c r="D206" s="40" t="s">
        <v>133</v>
      </c>
      <c r="E206" s="40"/>
      <c r="F206" s="40"/>
      <c r="G206" s="6">
        <f>G207</f>
        <v>80735.399999999994</v>
      </c>
      <c r="H206" s="6">
        <f>H207</f>
        <v>80735.399999999994</v>
      </c>
    </row>
    <row r="207" spans="1:8" ht="47.25" x14ac:dyDescent="0.25">
      <c r="A207" s="25" t="s">
        <v>287</v>
      </c>
      <c r="B207" s="20" t="s">
        <v>1020</v>
      </c>
      <c r="C207" s="40" t="s">
        <v>279</v>
      </c>
      <c r="D207" s="40" t="s">
        <v>133</v>
      </c>
      <c r="E207" s="40" t="s">
        <v>288</v>
      </c>
      <c r="F207" s="40"/>
      <c r="G207" s="6">
        <f>G208</f>
        <v>80735.399999999994</v>
      </c>
      <c r="H207" s="6">
        <f>H208</f>
        <v>80735.399999999994</v>
      </c>
    </row>
    <row r="208" spans="1:8" ht="15.75" x14ac:dyDescent="0.25">
      <c r="A208" s="25" t="s">
        <v>289</v>
      </c>
      <c r="B208" s="20" t="s">
        <v>1020</v>
      </c>
      <c r="C208" s="40" t="s">
        <v>279</v>
      </c>
      <c r="D208" s="40" t="s">
        <v>133</v>
      </c>
      <c r="E208" s="40" t="s">
        <v>290</v>
      </c>
      <c r="F208" s="40"/>
      <c r="G208" s="6">
        <f>'пр.4.1.ведом.21-22'!G569</f>
        <v>80735.399999999994</v>
      </c>
      <c r="H208" s="6">
        <f>'пр.4.1.ведом.21-22'!H569</f>
        <v>80735.399999999994</v>
      </c>
    </row>
    <row r="209" spans="1:8" ht="31.5" x14ac:dyDescent="0.25">
      <c r="A209" s="29" t="s">
        <v>418</v>
      </c>
      <c r="B209" s="20" t="s">
        <v>1020</v>
      </c>
      <c r="C209" s="40" t="s">
        <v>279</v>
      </c>
      <c r="D209" s="40" t="s">
        <v>133</v>
      </c>
      <c r="E209" s="40" t="s">
        <v>290</v>
      </c>
      <c r="F209" s="40" t="s">
        <v>651</v>
      </c>
      <c r="G209" s="10">
        <f>G208</f>
        <v>80735.399999999994</v>
      </c>
      <c r="H209" s="10">
        <f>H208</f>
        <v>80735.399999999994</v>
      </c>
    </row>
    <row r="210" spans="1:8" ht="110.25" hidden="1" x14ac:dyDescent="0.25">
      <c r="A210" s="31" t="s">
        <v>308</v>
      </c>
      <c r="B210" s="20" t="s">
        <v>1022</v>
      </c>
      <c r="C210" s="40" t="s">
        <v>279</v>
      </c>
      <c r="D210" s="40" t="s">
        <v>133</v>
      </c>
      <c r="E210" s="40"/>
      <c r="F210" s="40"/>
      <c r="G210" s="6">
        <f>G211</f>
        <v>0</v>
      </c>
      <c r="H210" s="6">
        <f>H211</f>
        <v>0</v>
      </c>
    </row>
    <row r="211" spans="1:8" ht="47.25" hidden="1" x14ac:dyDescent="0.25">
      <c r="A211" s="25" t="s">
        <v>287</v>
      </c>
      <c r="B211" s="20" t="s">
        <v>1022</v>
      </c>
      <c r="C211" s="40" t="s">
        <v>279</v>
      </c>
      <c r="D211" s="40" t="s">
        <v>133</v>
      </c>
      <c r="E211" s="40" t="s">
        <v>288</v>
      </c>
      <c r="F211" s="40"/>
      <c r="G211" s="6">
        <f>G212</f>
        <v>0</v>
      </c>
      <c r="H211" s="6">
        <f>H212</f>
        <v>0</v>
      </c>
    </row>
    <row r="212" spans="1:8" ht="15.75" hidden="1" x14ac:dyDescent="0.25">
      <c r="A212" s="25" t="s">
        <v>289</v>
      </c>
      <c r="B212" s="20" t="s">
        <v>1022</v>
      </c>
      <c r="C212" s="40" t="s">
        <v>279</v>
      </c>
      <c r="D212" s="40" t="s">
        <v>133</v>
      </c>
      <c r="E212" s="40" t="s">
        <v>290</v>
      </c>
      <c r="F212" s="40"/>
      <c r="G212" s="6">
        <f>'пр.4.1.ведом.21-22'!G572</f>
        <v>0</v>
      </c>
      <c r="H212" s="6">
        <f>'пр.4.1.ведом.21-22'!H572</f>
        <v>0</v>
      </c>
    </row>
    <row r="213" spans="1:8" ht="31.5" hidden="1" x14ac:dyDescent="0.25">
      <c r="A213" s="29" t="s">
        <v>418</v>
      </c>
      <c r="B213" s="20" t="s">
        <v>1022</v>
      </c>
      <c r="C213" s="40" t="s">
        <v>279</v>
      </c>
      <c r="D213" s="40" t="s">
        <v>133</v>
      </c>
      <c r="E213" s="40" t="s">
        <v>290</v>
      </c>
      <c r="F213" s="40" t="s">
        <v>651</v>
      </c>
      <c r="G213" s="10">
        <f>G212</f>
        <v>0</v>
      </c>
      <c r="H213" s="10">
        <f>H212</f>
        <v>0</v>
      </c>
    </row>
    <row r="214" spans="1:8" ht="15.75" x14ac:dyDescent="0.25">
      <c r="A214" s="29" t="s">
        <v>440</v>
      </c>
      <c r="B214" s="40" t="s">
        <v>1019</v>
      </c>
      <c r="C214" s="40" t="s">
        <v>279</v>
      </c>
      <c r="D214" s="40" t="s">
        <v>228</v>
      </c>
      <c r="E214" s="40"/>
      <c r="F214" s="40"/>
      <c r="G214" s="10">
        <f>G219+G223+G227+G231+G235+G215</f>
        <v>152436.70000000001</v>
      </c>
      <c r="H214" s="365">
        <f>H219+H223+H227+H231+H235+H215</f>
        <v>152436.70000000001</v>
      </c>
    </row>
    <row r="215" spans="1:8" s="361" customFormat="1" ht="110.25" x14ac:dyDescent="0.25">
      <c r="A215" s="31" t="s">
        <v>479</v>
      </c>
      <c r="B215" s="368" t="s">
        <v>1523</v>
      </c>
      <c r="C215" s="376" t="s">
        <v>279</v>
      </c>
      <c r="D215" s="376" t="s">
        <v>228</v>
      </c>
      <c r="E215" s="376"/>
      <c r="F215" s="376"/>
      <c r="G215" s="365">
        <f>G216</f>
        <v>4841</v>
      </c>
      <c r="H215" s="365">
        <f>H216</f>
        <v>4841</v>
      </c>
    </row>
    <row r="216" spans="1:8" s="361" customFormat="1" ht="47.25" x14ac:dyDescent="0.25">
      <c r="A216" s="372" t="s">
        <v>287</v>
      </c>
      <c r="B216" s="368" t="s">
        <v>1523</v>
      </c>
      <c r="C216" s="376" t="s">
        <v>279</v>
      </c>
      <c r="D216" s="376" t="s">
        <v>228</v>
      </c>
      <c r="E216" s="376" t="s">
        <v>288</v>
      </c>
      <c r="F216" s="376"/>
      <c r="G216" s="365">
        <f>G217</f>
        <v>4841</v>
      </c>
      <c r="H216" s="365">
        <f>H217</f>
        <v>4841</v>
      </c>
    </row>
    <row r="217" spans="1:8" s="361" customFormat="1" ht="15.75" x14ac:dyDescent="0.25">
      <c r="A217" s="372" t="s">
        <v>289</v>
      </c>
      <c r="B217" s="368" t="s">
        <v>1523</v>
      </c>
      <c r="C217" s="376" t="s">
        <v>279</v>
      </c>
      <c r="D217" s="376" t="s">
        <v>228</v>
      </c>
      <c r="E217" s="376" t="s">
        <v>290</v>
      </c>
      <c r="F217" s="376"/>
      <c r="G217" s="365">
        <f>'пр.4.1.ведом.21-22'!G634</f>
        <v>4841</v>
      </c>
      <c r="H217" s="365">
        <f>'пр.4.1.ведом.21-22'!H634</f>
        <v>4841</v>
      </c>
    </row>
    <row r="218" spans="1:8" s="361" customFormat="1" ht="31.5" x14ac:dyDescent="0.25">
      <c r="A218" s="375" t="s">
        <v>418</v>
      </c>
      <c r="B218" s="368" t="s">
        <v>1523</v>
      </c>
      <c r="C218" s="376" t="s">
        <v>279</v>
      </c>
      <c r="D218" s="376" t="s">
        <v>228</v>
      </c>
      <c r="E218" s="376" t="s">
        <v>290</v>
      </c>
      <c r="F218" s="376" t="s">
        <v>651</v>
      </c>
      <c r="G218" s="365">
        <f>G215</f>
        <v>4841</v>
      </c>
      <c r="H218" s="365">
        <f>H215</f>
        <v>4841</v>
      </c>
    </row>
    <row r="219" spans="1:8" ht="94.5" x14ac:dyDescent="0.25">
      <c r="A219" s="31" t="s">
        <v>475</v>
      </c>
      <c r="B219" s="20" t="s">
        <v>1047</v>
      </c>
      <c r="C219" s="40" t="s">
        <v>279</v>
      </c>
      <c r="D219" s="40" t="s">
        <v>228</v>
      </c>
      <c r="E219" s="40"/>
      <c r="F219" s="40"/>
      <c r="G219" s="6">
        <f>G220</f>
        <v>143160</v>
      </c>
      <c r="H219" s="6">
        <f>H220</f>
        <v>143160</v>
      </c>
    </row>
    <row r="220" spans="1:8" ht="47.25" x14ac:dyDescent="0.25">
      <c r="A220" s="25" t="s">
        <v>287</v>
      </c>
      <c r="B220" s="20" t="s">
        <v>1047</v>
      </c>
      <c r="C220" s="40" t="s">
        <v>279</v>
      </c>
      <c r="D220" s="40" t="s">
        <v>228</v>
      </c>
      <c r="E220" s="40" t="s">
        <v>288</v>
      </c>
      <c r="F220" s="40"/>
      <c r="G220" s="6">
        <f>G221</f>
        <v>143160</v>
      </c>
      <c r="H220" s="6">
        <f>H221</f>
        <v>143160</v>
      </c>
    </row>
    <row r="221" spans="1:8" ht="15.75" x14ac:dyDescent="0.25">
      <c r="A221" s="25" t="s">
        <v>289</v>
      </c>
      <c r="B221" s="20" t="s">
        <v>1047</v>
      </c>
      <c r="C221" s="40" t="s">
        <v>279</v>
      </c>
      <c r="D221" s="40" t="s">
        <v>228</v>
      </c>
      <c r="E221" s="40" t="s">
        <v>290</v>
      </c>
      <c r="F221" s="40"/>
      <c r="G221" s="6">
        <f>'пр.4.1.ведом.21-22'!G637</f>
        <v>143160</v>
      </c>
      <c r="H221" s="6">
        <f>'пр.4.1.ведом.21-22'!H637</f>
        <v>143160</v>
      </c>
    </row>
    <row r="222" spans="1:8" ht="31.5" x14ac:dyDescent="0.25">
      <c r="A222" s="29" t="s">
        <v>418</v>
      </c>
      <c r="B222" s="20" t="s">
        <v>1047</v>
      </c>
      <c r="C222" s="40" t="s">
        <v>279</v>
      </c>
      <c r="D222" s="40" t="s">
        <v>228</v>
      </c>
      <c r="E222" s="40" t="s">
        <v>290</v>
      </c>
      <c r="F222" s="40" t="s">
        <v>651</v>
      </c>
      <c r="G222" s="10">
        <f>G221</f>
        <v>143160</v>
      </c>
      <c r="H222" s="10">
        <f>H221</f>
        <v>143160</v>
      </c>
    </row>
    <row r="223" spans="1:8" ht="78.75" x14ac:dyDescent="0.25">
      <c r="A223" s="31" t="s">
        <v>304</v>
      </c>
      <c r="B223" s="20" t="s">
        <v>1018</v>
      </c>
      <c r="C223" s="40" t="s">
        <v>279</v>
      </c>
      <c r="D223" s="40" t="s">
        <v>228</v>
      </c>
      <c r="E223" s="40"/>
      <c r="F223" s="40"/>
      <c r="G223" s="6">
        <f>G224</f>
        <v>1245.5999999999999</v>
      </c>
      <c r="H223" s="6">
        <f>H224</f>
        <v>1245.5999999999999</v>
      </c>
    </row>
    <row r="224" spans="1:8" ht="47.25" x14ac:dyDescent="0.25">
      <c r="A224" s="25" t="s">
        <v>287</v>
      </c>
      <c r="B224" s="20" t="s">
        <v>1018</v>
      </c>
      <c r="C224" s="40" t="s">
        <v>279</v>
      </c>
      <c r="D224" s="40" t="s">
        <v>228</v>
      </c>
      <c r="E224" s="40" t="s">
        <v>288</v>
      </c>
      <c r="F224" s="40"/>
      <c r="G224" s="6">
        <f>G225</f>
        <v>1245.5999999999999</v>
      </c>
      <c r="H224" s="6">
        <f>H225</f>
        <v>1245.5999999999999</v>
      </c>
    </row>
    <row r="225" spans="1:8" ht="15.75" x14ac:dyDescent="0.25">
      <c r="A225" s="25" t="s">
        <v>289</v>
      </c>
      <c r="B225" s="20" t="s">
        <v>1018</v>
      </c>
      <c r="C225" s="40" t="s">
        <v>279</v>
      </c>
      <c r="D225" s="40" t="s">
        <v>228</v>
      </c>
      <c r="E225" s="40" t="s">
        <v>290</v>
      </c>
      <c r="F225" s="40"/>
      <c r="G225" s="6">
        <f>'пр.4.1.ведом.21-22'!G640</f>
        <v>1245.5999999999999</v>
      </c>
      <c r="H225" s="6">
        <f>'пр.4.1.ведом.21-22'!H640</f>
        <v>1245.5999999999999</v>
      </c>
    </row>
    <row r="226" spans="1:8" ht="31.5" x14ac:dyDescent="0.25">
      <c r="A226" s="29" t="s">
        <v>418</v>
      </c>
      <c r="B226" s="20" t="s">
        <v>1018</v>
      </c>
      <c r="C226" s="40" t="s">
        <v>279</v>
      </c>
      <c r="D226" s="40" t="s">
        <v>228</v>
      </c>
      <c r="E226" s="40" t="s">
        <v>290</v>
      </c>
      <c r="F226" s="40" t="s">
        <v>651</v>
      </c>
      <c r="G226" s="10">
        <f>G225</f>
        <v>1245.5999999999999</v>
      </c>
      <c r="H226" s="10">
        <f>H225</f>
        <v>1245.5999999999999</v>
      </c>
    </row>
    <row r="227" spans="1:8" ht="84.2" customHeight="1" x14ac:dyDescent="0.25">
      <c r="A227" s="31" t="s">
        <v>306</v>
      </c>
      <c r="B227" s="20" t="s">
        <v>1021</v>
      </c>
      <c r="C227" s="40" t="s">
        <v>279</v>
      </c>
      <c r="D227" s="40" t="s">
        <v>228</v>
      </c>
      <c r="E227" s="40"/>
      <c r="F227" s="40"/>
      <c r="G227" s="6">
        <f>G228</f>
        <v>2266.6999999999998</v>
      </c>
      <c r="H227" s="6">
        <f>H228</f>
        <v>2266.6999999999998</v>
      </c>
    </row>
    <row r="228" spans="1:8" ht="47.25" x14ac:dyDescent="0.25">
      <c r="A228" s="25" t="s">
        <v>287</v>
      </c>
      <c r="B228" s="20" t="s">
        <v>1021</v>
      </c>
      <c r="C228" s="40" t="s">
        <v>279</v>
      </c>
      <c r="D228" s="40" t="s">
        <v>228</v>
      </c>
      <c r="E228" s="40" t="s">
        <v>288</v>
      </c>
      <c r="F228" s="40"/>
      <c r="G228" s="6">
        <f>G229</f>
        <v>2266.6999999999998</v>
      </c>
      <c r="H228" s="6">
        <f>H229</f>
        <v>2266.6999999999998</v>
      </c>
    </row>
    <row r="229" spans="1:8" ht="15.75" x14ac:dyDescent="0.25">
      <c r="A229" s="25" t="s">
        <v>289</v>
      </c>
      <c r="B229" s="20" t="s">
        <v>1021</v>
      </c>
      <c r="C229" s="40" t="s">
        <v>279</v>
      </c>
      <c r="D229" s="40" t="s">
        <v>228</v>
      </c>
      <c r="E229" s="40" t="s">
        <v>290</v>
      </c>
      <c r="F229" s="40"/>
      <c r="G229" s="6">
        <f>'пр.4.1.ведом.21-22'!G643</f>
        <v>2266.6999999999998</v>
      </c>
      <c r="H229" s="6">
        <f>'пр.4.1.ведом.21-22'!H643</f>
        <v>2266.6999999999998</v>
      </c>
    </row>
    <row r="230" spans="1:8" ht="31.5" x14ac:dyDescent="0.25">
      <c r="A230" s="29" t="s">
        <v>418</v>
      </c>
      <c r="B230" s="20" t="s">
        <v>1021</v>
      </c>
      <c r="C230" s="40" t="s">
        <v>279</v>
      </c>
      <c r="D230" s="40" t="s">
        <v>228</v>
      </c>
      <c r="E230" s="40" t="s">
        <v>290</v>
      </c>
      <c r="F230" s="40" t="s">
        <v>651</v>
      </c>
      <c r="G230" s="10">
        <f>G229</f>
        <v>2266.6999999999998</v>
      </c>
      <c r="H230" s="10">
        <f>H229</f>
        <v>2266.6999999999998</v>
      </c>
    </row>
    <row r="231" spans="1:8" ht="47.25" x14ac:dyDescent="0.25">
      <c r="A231" s="31" t="s">
        <v>477</v>
      </c>
      <c r="B231" s="20" t="s">
        <v>1048</v>
      </c>
      <c r="C231" s="40" t="s">
        <v>279</v>
      </c>
      <c r="D231" s="40" t="s">
        <v>228</v>
      </c>
      <c r="E231" s="40"/>
      <c r="F231" s="40"/>
      <c r="G231" s="6">
        <f>G232</f>
        <v>923.4</v>
      </c>
      <c r="H231" s="6">
        <f>H232</f>
        <v>923.4</v>
      </c>
    </row>
    <row r="232" spans="1:8" ht="47.25" x14ac:dyDescent="0.25">
      <c r="A232" s="25" t="s">
        <v>287</v>
      </c>
      <c r="B232" s="20" t="s">
        <v>1048</v>
      </c>
      <c r="C232" s="40" t="s">
        <v>279</v>
      </c>
      <c r="D232" s="40" t="s">
        <v>228</v>
      </c>
      <c r="E232" s="40" t="s">
        <v>288</v>
      </c>
      <c r="F232" s="40"/>
      <c r="G232" s="6">
        <f>G233</f>
        <v>923.4</v>
      </c>
      <c r="H232" s="6">
        <f>H233</f>
        <v>923.4</v>
      </c>
    </row>
    <row r="233" spans="1:8" ht="15.75" x14ac:dyDescent="0.25">
      <c r="A233" s="25" t="s">
        <v>289</v>
      </c>
      <c r="B233" s="20" t="s">
        <v>1048</v>
      </c>
      <c r="C233" s="40" t="s">
        <v>279</v>
      </c>
      <c r="D233" s="40" t="s">
        <v>228</v>
      </c>
      <c r="E233" s="40" t="s">
        <v>290</v>
      </c>
      <c r="F233" s="40"/>
      <c r="G233" s="6">
        <f>'пр.4.1.ведом.21-22'!G646</f>
        <v>923.4</v>
      </c>
      <c r="H233" s="6">
        <f>'пр.4.1.ведом.21-22'!H646</f>
        <v>923.4</v>
      </c>
    </row>
    <row r="234" spans="1:8" ht="31.5" x14ac:dyDescent="0.25">
      <c r="A234" s="29" t="s">
        <v>418</v>
      </c>
      <c r="B234" s="20" t="s">
        <v>1048</v>
      </c>
      <c r="C234" s="40" t="s">
        <v>279</v>
      </c>
      <c r="D234" s="40" t="s">
        <v>228</v>
      </c>
      <c r="E234" s="40" t="s">
        <v>290</v>
      </c>
      <c r="F234" s="40" t="s">
        <v>651</v>
      </c>
      <c r="G234" s="10">
        <f>G233</f>
        <v>923.4</v>
      </c>
      <c r="H234" s="10">
        <f>H233</f>
        <v>923.4</v>
      </c>
    </row>
    <row r="235" spans="1:8" ht="110.25" hidden="1" x14ac:dyDescent="0.25">
      <c r="A235" s="31" t="s">
        <v>479</v>
      </c>
      <c r="B235" s="20" t="s">
        <v>1022</v>
      </c>
      <c r="C235" s="40" t="s">
        <v>279</v>
      </c>
      <c r="D235" s="40" t="s">
        <v>228</v>
      </c>
      <c r="E235" s="40"/>
      <c r="F235" s="40"/>
      <c r="G235" s="6">
        <f>G236</f>
        <v>0</v>
      </c>
      <c r="H235" s="6">
        <f>H236</f>
        <v>0</v>
      </c>
    </row>
    <row r="236" spans="1:8" ht="47.25" hidden="1" x14ac:dyDescent="0.25">
      <c r="A236" s="25" t="s">
        <v>287</v>
      </c>
      <c r="B236" s="20" t="s">
        <v>1022</v>
      </c>
      <c r="C236" s="40" t="s">
        <v>279</v>
      </c>
      <c r="D236" s="40" t="s">
        <v>228</v>
      </c>
      <c r="E236" s="40" t="s">
        <v>288</v>
      </c>
      <c r="F236" s="40"/>
      <c r="G236" s="6">
        <f>G237</f>
        <v>0</v>
      </c>
      <c r="H236" s="6">
        <f>H237</f>
        <v>0</v>
      </c>
    </row>
    <row r="237" spans="1:8" ht="15.75" hidden="1" x14ac:dyDescent="0.25">
      <c r="A237" s="25" t="s">
        <v>289</v>
      </c>
      <c r="B237" s="20" t="s">
        <v>1022</v>
      </c>
      <c r="C237" s="40" t="s">
        <v>279</v>
      </c>
      <c r="D237" s="40" t="s">
        <v>228</v>
      </c>
      <c r="E237" s="40" t="s">
        <v>290</v>
      </c>
      <c r="F237" s="40"/>
      <c r="G237" s="6">
        <f>'пр.4.1.ведом.21-22'!G649</f>
        <v>0</v>
      </c>
      <c r="H237" s="6">
        <f>'пр.4.1.ведом.21-22'!H649</f>
        <v>0</v>
      </c>
    </row>
    <row r="238" spans="1:8" ht="31.5" hidden="1" x14ac:dyDescent="0.25">
      <c r="A238" s="29" t="s">
        <v>418</v>
      </c>
      <c r="B238" s="20" t="s">
        <v>1022</v>
      </c>
      <c r="C238" s="40" t="s">
        <v>279</v>
      </c>
      <c r="D238" s="40" t="s">
        <v>228</v>
      </c>
      <c r="E238" s="40" t="s">
        <v>290</v>
      </c>
      <c r="F238" s="40" t="s">
        <v>651</v>
      </c>
      <c r="G238" s="10">
        <f>G237</f>
        <v>0</v>
      </c>
      <c r="H238" s="10">
        <f>H237</f>
        <v>0</v>
      </c>
    </row>
    <row r="239" spans="1:8" ht="15.75" x14ac:dyDescent="0.25">
      <c r="A239" s="29" t="s">
        <v>280</v>
      </c>
      <c r="B239" s="40" t="s">
        <v>1019</v>
      </c>
      <c r="C239" s="40" t="s">
        <v>279</v>
      </c>
      <c r="D239" s="40" t="s">
        <v>230</v>
      </c>
      <c r="E239" s="40"/>
      <c r="F239" s="40"/>
      <c r="G239" s="6">
        <f>G244+G248+G252+G240</f>
        <v>1622.1999999999998</v>
      </c>
      <c r="H239" s="6">
        <f>H244+H248+H252+H240</f>
        <v>1622.1999999999998</v>
      </c>
    </row>
    <row r="240" spans="1:8" s="361" customFormat="1" ht="110.25" x14ac:dyDescent="0.25">
      <c r="A240" s="31" t="s">
        <v>308</v>
      </c>
      <c r="B240" s="368" t="s">
        <v>1523</v>
      </c>
      <c r="C240" s="376" t="s">
        <v>279</v>
      </c>
      <c r="D240" s="376" t="s">
        <v>230</v>
      </c>
      <c r="E240" s="376"/>
      <c r="F240" s="376"/>
      <c r="G240" s="6">
        <f>G241</f>
        <v>903.4</v>
      </c>
      <c r="H240" s="6">
        <f>H241</f>
        <v>903.4</v>
      </c>
    </row>
    <row r="241" spans="1:8" s="361" customFormat="1" ht="47.25" x14ac:dyDescent="0.25">
      <c r="A241" s="372" t="s">
        <v>287</v>
      </c>
      <c r="B241" s="368" t="s">
        <v>1523</v>
      </c>
      <c r="C241" s="376" t="s">
        <v>279</v>
      </c>
      <c r="D241" s="376" t="s">
        <v>230</v>
      </c>
      <c r="E241" s="376" t="s">
        <v>288</v>
      </c>
      <c r="F241" s="376"/>
      <c r="G241" s="6">
        <f>G242</f>
        <v>903.4</v>
      </c>
      <c r="H241" s="6">
        <f>H242</f>
        <v>903.4</v>
      </c>
    </row>
    <row r="242" spans="1:8" s="361" customFormat="1" ht="15.75" x14ac:dyDescent="0.25">
      <c r="A242" s="372" t="s">
        <v>289</v>
      </c>
      <c r="B242" s="368" t="s">
        <v>1523</v>
      </c>
      <c r="C242" s="376" t="s">
        <v>279</v>
      </c>
      <c r="D242" s="376" t="s">
        <v>230</v>
      </c>
      <c r="E242" s="376" t="s">
        <v>290</v>
      </c>
      <c r="F242" s="376"/>
      <c r="G242" s="6">
        <f>'пр.4.1.ведом.21-22'!G709</f>
        <v>903.4</v>
      </c>
      <c r="H242" s="6">
        <f>'пр.4.1.ведом.21-22'!H709</f>
        <v>903.4</v>
      </c>
    </row>
    <row r="243" spans="1:8" s="361" customFormat="1" ht="31.5" x14ac:dyDescent="0.25">
      <c r="A243" s="375" t="s">
        <v>418</v>
      </c>
      <c r="B243" s="368" t="s">
        <v>1523</v>
      </c>
      <c r="C243" s="376" t="s">
        <v>279</v>
      </c>
      <c r="D243" s="376" t="s">
        <v>230</v>
      </c>
      <c r="E243" s="376" t="s">
        <v>290</v>
      </c>
      <c r="F243" s="376" t="s">
        <v>651</v>
      </c>
      <c r="G243" s="6">
        <f>G240</f>
        <v>903.4</v>
      </c>
      <c r="H243" s="6">
        <f>H240</f>
        <v>903.4</v>
      </c>
    </row>
    <row r="244" spans="1:8" ht="78.75" x14ac:dyDescent="0.25">
      <c r="A244" s="31" t="s">
        <v>304</v>
      </c>
      <c r="B244" s="20" t="s">
        <v>1018</v>
      </c>
      <c r="C244" s="40" t="s">
        <v>279</v>
      </c>
      <c r="D244" s="40" t="s">
        <v>230</v>
      </c>
      <c r="E244" s="40"/>
      <c r="F244" s="40"/>
      <c r="G244" s="6">
        <f>G245</f>
        <v>169.3</v>
      </c>
      <c r="H244" s="6">
        <f>H245</f>
        <v>169.3</v>
      </c>
    </row>
    <row r="245" spans="1:8" ht="47.25" x14ac:dyDescent="0.25">
      <c r="A245" s="25" t="s">
        <v>287</v>
      </c>
      <c r="B245" s="20" t="s">
        <v>1018</v>
      </c>
      <c r="C245" s="40" t="s">
        <v>279</v>
      </c>
      <c r="D245" s="40" t="s">
        <v>230</v>
      </c>
      <c r="E245" s="40" t="s">
        <v>288</v>
      </c>
      <c r="F245" s="40"/>
      <c r="G245" s="6">
        <f>G246</f>
        <v>169.3</v>
      </c>
      <c r="H245" s="6">
        <f>H246</f>
        <v>169.3</v>
      </c>
    </row>
    <row r="246" spans="1:8" ht="15.75" x14ac:dyDescent="0.25">
      <c r="A246" s="25" t="s">
        <v>289</v>
      </c>
      <c r="B246" s="20" t="s">
        <v>1018</v>
      </c>
      <c r="C246" s="40" t="s">
        <v>279</v>
      </c>
      <c r="D246" s="40" t="s">
        <v>230</v>
      </c>
      <c r="E246" s="40" t="s">
        <v>290</v>
      </c>
      <c r="F246" s="40"/>
      <c r="G246" s="6">
        <f>'пр.4.1.ведом.21-22'!G712</f>
        <v>169.3</v>
      </c>
      <c r="H246" s="6">
        <f>'пр.4.1.ведом.21-22'!H712</f>
        <v>169.3</v>
      </c>
    </row>
    <row r="247" spans="1:8" ht="31.5" x14ac:dyDescent="0.25">
      <c r="A247" s="29" t="s">
        <v>418</v>
      </c>
      <c r="B247" s="20" t="s">
        <v>1018</v>
      </c>
      <c r="C247" s="40" t="s">
        <v>279</v>
      </c>
      <c r="D247" s="40" t="s">
        <v>230</v>
      </c>
      <c r="E247" s="40" t="s">
        <v>290</v>
      </c>
      <c r="F247" s="40" t="s">
        <v>651</v>
      </c>
      <c r="G247" s="10">
        <f>G246</f>
        <v>169.3</v>
      </c>
      <c r="H247" s="10">
        <f>H246</f>
        <v>169.3</v>
      </c>
    </row>
    <row r="248" spans="1:8" ht="94.5" x14ac:dyDescent="0.25">
      <c r="A248" s="31" t="s">
        <v>306</v>
      </c>
      <c r="B248" s="20" t="s">
        <v>1021</v>
      </c>
      <c r="C248" s="40" t="s">
        <v>279</v>
      </c>
      <c r="D248" s="40" t="s">
        <v>230</v>
      </c>
      <c r="E248" s="40"/>
      <c r="F248" s="40"/>
      <c r="G248" s="6">
        <f>G249</f>
        <v>549.5</v>
      </c>
      <c r="H248" s="6">
        <f>H249</f>
        <v>549.5</v>
      </c>
    </row>
    <row r="249" spans="1:8" ht="47.25" x14ac:dyDescent="0.25">
      <c r="A249" s="25" t="s">
        <v>287</v>
      </c>
      <c r="B249" s="20" t="s">
        <v>1021</v>
      </c>
      <c r="C249" s="40" t="s">
        <v>279</v>
      </c>
      <c r="D249" s="40" t="s">
        <v>230</v>
      </c>
      <c r="E249" s="40" t="s">
        <v>288</v>
      </c>
      <c r="F249" s="40"/>
      <c r="G249" s="6">
        <f>G250</f>
        <v>549.5</v>
      </c>
      <c r="H249" s="6">
        <f>H250</f>
        <v>549.5</v>
      </c>
    </row>
    <row r="250" spans="1:8" ht="15.75" x14ac:dyDescent="0.25">
      <c r="A250" s="25" t="s">
        <v>289</v>
      </c>
      <c r="B250" s="20" t="s">
        <v>1021</v>
      </c>
      <c r="C250" s="40" t="s">
        <v>279</v>
      </c>
      <c r="D250" s="40" t="s">
        <v>230</v>
      </c>
      <c r="E250" s="40" t="s">
        <v>290</v>
      </c>
      <c r="F250" s="40"/>
      <c r="G250" s="6">
        <f>'пр.4.1.ведом.21-22'!G715</f>
        <v>549.5</v>
      </c>
      <c r="H250" s="6">
        <f>'пр.4.1.ведом.21-22'!H715</f>
        <v>549.5</v>
      </c>
    </row>
    <row r="251" spans="1:8" ht="31.5" x14ac:dyDescent="0.25">
      <c r="A251" s="29" t="s">
        <v>418</v>
      </c>
      <c r="B251" s="20" t="s">
        <v>1021</v>
      </c>
      <c r="C251" s="40" t="s">
        <v>279</v>
      </c>
      <c r="D251" s="40" t="s">
        <v>230</v>
      </c>
      <c r="E251" s="40" t="s">
        <v>290</v>
      </c>
      <c r="F251" s="40" t="s">
        <v>651</v>
      </c>
      <c r="G251" s="10">
        <f>G250</f>
        <v>549.5</v>
      </c>
      <c r="H251" s="10">
        <f>H250</f>
        <v>549.5</v>
      </c>
    </row>
    <row r="252" spans="1:8" ht="110.25" hidden="1" x14ac:dyDescent="0.25">
      <c r="A252" s="31" t="s">
        <v>308</v>
      </c>
      <c r="B252" s="20" t="s">
        <v>1022</v>
      </c>
      <c r="C252" s="40" t="s">
        <v>279</v>
      </c>
      <c r="D252" s="40" t="s">
        <v>230</v>
      </c>
      <c r="E252" s="40"/>
      <c r="F252" s="40"/>
      <c r="G252" s="6">
        <f>G253</f>
        <v>0</v>
      </c>
      <c r="H252" s="6">
        <f>H253</f>
        <v>0</v>
      </c>
    </row>
    <row r="253" spans="1:8" ht="47.25" hidden="1" x14ac:dyDescent="0.25">
      <c r="A253" s="25" t="s">
        <v>287</v>
      </c>
      <c r="B253" s="20" t="s">
        <v>1022</v>
      </c>
      <c r="C253" s="40" t="s">
        <v>279</v>
      </c>
      <c r="D253" s="40" t="s">
        <v>230</v>
      </c>
      <c r="E253" s="40" t="s">
        <v>288</v>
      </c>
      <c r="F253" s="40"/>
      <c r="G253" s="6">
        <f>G254</f>
        <v>0</v>
      </c>
      <c r="H253" s="6">
        <f>H254</f>
        <v>0</v>
      </c>
    </row>
    <row r="254" spans="1:8" ht="15.75" hidden="1" x14ac:dyDescent="0.25">
      <c r="A254" s="25" t="s">
        <v>289</v>
      </c>
      <c r="B254" s="20" t="s">
        <v>1022</v>
      </c>
      <c r="C254" s="40" t="s">
        <v>279</v>
      </c>
      <c r="D254" s="40" t="s">
        <v>230</v>
      </c>
      <c r="E254" s="40" t="s">
        <v>290</v>
      </c>
      <c r="F254" s="40"/>
      <c r="G254" s="6">
        <f>'пр.4.1.ведом.21-22'!G718</f>
        <v>0</v>
      </c>
      <c r="H254" s="6">
        <f>'пр.4.1.ведом.21-22'!H718</f>
        <v>0</v>
      </c>
    </row>
    <row r="255" spans="1:8" ht="31.5" hidden="1" x14ac:dyDescent="0.25">
      <c r="A255" s="29" t="s">
        <v>418</v>
      </c>
      <c r="B255" s="20" t="s">
        <v>1022</v>
      </c>
      <c r="C255" s="40" t="s">
        <v>279</v>
      </c>
      <c r="D255" s="40" t="s">
        <v>230</v>
      </c>
      <c r="E255" s="40" t="s">
        <v>290</v>
      </c>
      <c r="F255" s="40" t="s">
        <v>651</v>
      </c>
      <c r="G255" s="10">
        <f>G254</f>
        <v>0</v>
      </c>
      <c r="H255" s="10">
        <f>H254</f>
        <v>0</v>
      </c>
    </row>
    <row r="256" spans="1:8" ht="47.25" x14ac:dyDescent="0.25">
      <c r="A256" s="41" t="s">
        <v>426</v>
      </c>
      <c r="B256" s="7" t="s">
        <v>427</v>
      </c>
      <c r="C256" s="7"/>
      <c r="D256" s="7"/>
      <c r="E256" s="7"/>
      <c r="F256" s="7"/>
      <c r="G256" s="59">
        <f>G257+G272+G287+G298</f>
        <v>10997.7</v>
      </c>
      <c r="H256" s="59">
        <f>H257+H272+H287+H298</f>
        <v>10997.7</v>
      </c>
    </row>
    <row r="257" spans="1:8" ht="31.5" x14ac:dyDescent="0.25">
      <c r="A257" s="23" t="s">
        <v>1005</v>
      </c>
      <c r="B257" s="24" t="s">
        <v>1006</v>
      </c>
      <c r="C257" s="7"/>
      <c r="D257" s="7"/>
      <c r="E257" s="7"/>
      <c r="F257" s="7"/>
      <c r="G257" s="59">
        <f>G258</f>
        <v>4430</v>
      </c>
      <c r="H257" s="59">
        <f>H258</f>
        <v>4430</v>
      </c>
    </row>
    <row r="258" spans="1:8" ht="15.75" x14ac:dyDescent="0.25">
      <c r="A258" s="29" t="s">
        <v>278</v>
      </c>
      <c r="B258" s="40" t="s">
        <v>1006</v>
      </c>
      <c r="C258" s="40" t="s">
        <v>279</v>
      </c>
      <c r="D258" s="40"/>
      <c r="E258" s="40"/>
      <c r="F258" s="40"/>
      <c r="G258" s="10">
        <f t="shared" ref="G258:H258" si="31">G259</f>
        <v>4430</v>
      </c>
      <c r="H258" s="10">
        <f t="shared" si="31"/>
        <v>4430</v>
      </c>
    </row>
    <row r="259" spans="1:8" ht="15.75" x14ac:dyDescent="0.25">
      <c r="A259" s="45" t="s">
        <v>419</v>
      </c>
      <c r="B259" s="40" t="s">
        <v>1006</v>
      </c>
      <c r="C259" s="40" t="s">
        <v>279</v>
      </c>
      <c r="D259" s="40" t="s">
        <v>133</v>
      </c>
      <c r="E259" s="40"/>
      <c r="F259" s="40"/>
      <c r="G259" s="10">
        <f>G260+G264+G268</f>
        <v>4430</v>
      </c>
      <c r="H259" s="10">
        <f>H260+H264+H268</f>
        <v>4430</v>
      </c>
    </row>
    <row r="260" spans="1:8" ht="47.25" hidden="1" x14ac:dyDescent="0.25">
      <c r="A260" s="29" t="s">
        <v>293</v>
      </c>
      <c r="B260" s="20" t="s">
        <v>1007</v>
      </c>
      <c r="C260" s="40" t="s">
        <v>279</v>
      </c>
      <c r="D260" s="40" t="s">
        <v>133</v>
      </c>
      <c r="E260" s="40"/>
      <c r="F260" s="40"/>
      <c r="G260" s="10">
        <f t="shared" ref="G260:H261" si="32">G261</f>
        <v>0</v>
      </c>
      <c r="H260" s="10">
        <f t="shared" si="32"/>
        <v>0</v>
      </c>
    </row>
    <row r="261" spans="1:8" ht="47.25" hidden="1" x14ac:dyDescent="0.25">
      <c r="A261" s="29" t="s">
        <v>287</v>
      </c>
      <c r="B261" s="20" t="s">
        <v>1007</v>
      </c>
      <c r="C261" s="40" t="s">
        <v>279</v>
      </c>
      <c r="D261" s="40" t="s">
        <v>133</v>
      </c>
      <c r="E261" s="40" t="s">
        <v>288</v>
      </c>
      <c r="F261" s="40"/>
      <c r="G261" s="10">
        <f t="shared" si="32"/>
        <v>0</v>
      </c>
      <c r="H261" s="10">
        <f t="shared" si="32"/>
        <v>0</v>
      </c>
    </row>
    <row r="262" spans="1:8" ht="15.75" hidden="1" x14ac:dyDescent="0.25">
      <c r="A262" s="29" t="s">
        <v>289</v>
      </c>
      <c r="B262" s="20" t="s">
        <v>1007</v>
      </c>
      <c r="C262" s="40" t="s">
        <v>279</v>
      </c>
      <c r="D262" s="40" t="s">
        <v>133</v>
      </c>
      <c r="E262" s="40" t="s">
        <v>290</v>
      </c>
      <c r="F262" s="40"/>
      <c r="G262" s="10">
        <f>'пр.4.1.ведом.21-22'!G577</f>
        <v>0</v>
      </c>
      <c r="H262" s="10">
        <f>'пр.4.1.ведом.21-22'!H577</f>
        <v>0</v>
      </c>
    </row>
    <row r="263" spans="1:8" ht="31.5" hidden="1" x14ac:dyDescent="0.25">
      <c r="A263" s="29" t="s">
        <v>418</v>
      </c>
      <c r="B263" s="20" t="s">
        <v>1007</v>
      </c>
      <c r="C263" s="40" t="s">
        <v>279</v>
      </c>
      <c r="D263" s="40" t="s">
        <v>133</v>
      </c>
      <c r="E263" s="40" t="s">
        <v>290</v>
      </c>
      <c r="F263" s="40" t="s">
        <v>651</v>
      </c>
      <c r="G263" s="10">
        <f>G262</f>
        <v>0</v>
      </c>
      <c r="H263" s="10">
        <f>H262</f>
        <v>0</v>
      </c>
    </row>
    <row r="264" spans="1:8" ht="31.5" hidden="1" x14ac:dyDescent="0.25">
      <c r="A264" s="29" t="s">
        <v>295</v>
      </c>
      <c r="B264" s="20" t="s">
        <v>1008</v>
      </c>
      <c r="C264" s="40" t="s">
        <v>279</v>
      </c>
      <c r="D264" s="40" t="s">
        <v>133</v>
      </c>
      <c r="E264" s="40"/>
      <c r="F264" s="40"/>
      <c r="G264" s="10">
        <f t="shared" ref="G264:H265" si="33">G265</f>
        <v>0</v>
      </c>
      <c r="H264" s="10">
        <f t="shared" si="33"/>
        <v>0</v>
      </c>
    </row>
    <row r="265" spans="1:8" ht="47.25" hidden="1" x14ac:dyDescent="0.25">
      <c r="A265" s="29" t="s">
        <v>287</v>
      </c>
      <c r="B265" s="20" t="s">
        <v>1008</v>
      </c>
      <c r="C265" s="40" t="s">
        <v>279</v>
      </c>
      <c r="D265" s="40" t="s">
        <v>133</v>
      </c>
      <c r="E265" s="40" t="s">
        <v>288</v>
      </c>
      <c r="F265" s="40"/>
      <c r="G265" s="10">
        <f t="shared" si="33"/>
        <v>0</v>
      </c>
      <c r="H265" s="10">
        <f t="shared" si="33"/>
        <v>0</v>
      </c>
    </row>
    <row r="266" spans="1:8" ht="15.75" hidden="1" x14ac:dyDescent="0.25">
      <c r="A266" s="29" t="s">
        <v>289</v>
      </c>
      <c r="B266" s="20" t="s">
        <v>1008</v>
      </c>
      <c r="C266" s="40" t="s">
        <v>279</v>
      </c>
      <c r="D266" s="40" t="s">
        <v>133</v>
      </c>
      <c r="E266" s="40" t="s">
        <v>290</v>
      </c>
      <c r="F266" s="40"/>
      <c r="G266" s="10">
        <f>'пр.4.1.ведом.21-22'!G580</f>
        <v>0</v>
      </c>
      <c r="H266" s="10">
        <f>'пр.4.1.ведом.21-22'!H580</f>
        <v>0</v>
      </c>
    </row>
    <row r="267" spans="1:8" ht="31.5" hidden="1" x14ac:dyDescent="0.25">
      <c r="A267" s="29" t="s">
        <v>418</v>
      </c>
      <c r="B267" s="20" t="s">
        <v>1008</v>
      </c>
      <c r="C267" s="40" t="s">
        <v>279</v>
      </c>
      <c r="D267" s="40" t="s">
        <v>133</v>
      </c>
      <c r="E267" s="40" t="s">
        <v>290</v>
      </c>
      <c r="F267" s="40" t="s">
        <v>651</v>
      </c>
      <c r="G267" s="10">
        <f>G266</f>
        <v>0</v>
      </c>
      <c r="H267" s="10">
        <f>H266</f>
        <v>0</v>
      </c>
    </row>
    <row r="268" spans="1:8" ht="47.25" x14ac:dyDescent="0.25">
      <c r="A268" s="29" t="s">
        <v>430</v>
      </c>
      <c r="B268" s="20" t="s">
        <v>1009</v>
      </c>
      <c r="C268" s="40" t="s">
        <v>279</v>
      </c>
      <c r="D268" s="40" t="s">
        <v>133</v>
      </c>
      <c r="E268" s="40"/>
      <c r="F268" s="40"/>
      <c r="G268" s="10">
        <f t="shared" ref="G268:H269" si="34">G269</f>
        <v>4430</v>
      </c>
      <c r="H268" s="10">
        <f t="shared" si="34"/>
        <v>4430</v>
      </c>
    </row>
    <row r="269" spans="1:8" ht="47.25" x14ac:dyDescent="0.25">
      <c r="A269" s="29" t="s">
        <v>287</v>
      </c>
      <c r="B269" s="20" t="s">
        <v>1009</v>
      </c>
      <c r="C269" s="40" t="s">
        <v>279</v>
      </c>
      <c r="D269" s="40" t="s">
        <v>133</v>
      </c>
      <c r="E269" s="40" t="s">
        <v>288</v>
      </c>
      <c r="F269" s="40"/>
      <c r="G269" s="10">
        <f t="shared" si="34"/>
        <v>4430</v>
      </c>
      <c r="H269" s="10">
        <f t="shared" si="34"/>
        <v>4430</v>
      </c>
    </row>
    <row r="270" spans="1:8" ht="15.75" x14ac:dyDescent="0.25">
      <c r="A270" s="29" t="s">
        <v>289</v>
      </c>
      <c r="B270" s="20" t="s">
        <v>1009</v>
      </c>
      <c r="C270" s="40" t="s">
        <v>279</v>
      </c>
      <c r="D270" s="40" t="s">
        <v>133</v>
      </c>
      <c r="E270" s="40" t="s">
        <v>290</v>
      </c>
      <c r="F270" s="40"/>
      <c r="G270" s="6">
        <f>'пр.4.1.ведом.21-22'!G583</f>
        <v>4430</v>
      </c>
      <c r="H270" s="6">
        <f>'пр.4.1.ведом.21-22'!H583</f>
        <v>4430</v>
      </c>
    </row>
    <row r="271" spans="1:8" ht="31.5" x14ac:dyDescent="0.25">
      <c r="A271" s="29" t="s">
        <v>418</v>
      </c>
      <c r="B271" s="20" t="s">
        <v>1009</v>
      </c>
      <c r="C271" s="40" t="s">
        <v>279</v>
      </c>
      <c r="D271" s="40" t="s">
        <v>133</v>
      </c>
      <c r="E271" s="40" t="s">
        <v>290</v>
      </c>
      <c r="F271" s="40" t="s">
        <v>651</v>
      </c>
      <c r="G271" s="10">
        <f>G270</f>
        <v>4430</v>
      </c>
      <c r="H271" s="10">
        <f>H270</f>
        <v>4430</v>
      </c>
    </row>
    <row r="272" spans="1:8" ht="47.25" x14ac:dyDescent="0.25">
      <c r="A272" s="246" t="s">
        <v>1075</v>
      </c>
      <c r="B272" s="24" t="s">
        <v>1010</v>
      </c>
      <c r="C272" s="7"/>
      <c r="D272" s="7"/>
      <c r="E272" s="7"/>
      <c r="F272" s="7"/>
      <c r="G272" s="4">
        <f>G273</f>
        <v>4610</v>
      </c>
      <c r="H272" s="4">
        <f>H273</f>
        <v>4610</v>
      </c>
    </row>
    <row r="273" spans="1:8" ht="15.75" x14ac:dyDescent="0.25">
      <c r="A273" s="29" t="s">
        <v>278</v>
      </c>
      <c r="B273" s="40" t="s">
        <v>1010</v>
      </c>
      <c r="C273" s="40" t="s">
        <v>279</v>
      </c>
      <c r="D273" s="40"/>
      <c r="E273" s="40"/>
      <c r="F273" s="40"/>
      <c r="G273" s="10">
        <f t="shared" ref="G273:H273" si="35">G274</f>
        <v>4610</v>
      </c>
      <c r="H273" s="10">
        <f t="shared" si="35"/>
        <v>4610</v>
      </c>
    </row>
    <row r="274" spans="1:8" ht="15.75" x14ac:dyDescent="0.25">
      <c r="A274" s="45" t="s">
        <v>419</v>
      </c>
      <c r="B274" s="40" t="s">
        <v>1010</v>
      </c>
      <c r="C274" s="40" t="s">
        <v>279</v>
      </c>
      <c r="D274" s="40" t="s">
        <v>133</v>
      </c>
      <c r="E274" s="40"/>
      <c r="F274" s="40"/>
      <c r="G274" s="10">
        <f>G275+G279+G283</f>
        <v>4610</v>
      </c>
      <c r="H274" s="10">
        <f>H275+H279+H283</f>
        <v>4610</v>
      </c>
    </row>
    <row r="275" spans="1:8" ht="31.5" hidden="1" x14ac:dyDescent="0.25">
      <c r="A275" s="29" t="s">
        <v>299</v>
      </c>
      <c r="B275" s="20" t="s">
        <v>1011</v>
      </c>
      <c r="C275" s="40" t="s">
        <v>279</v>
      </c>
      <c r="D275" s="40" t="s">
        <v>133</v>
      </c>
      <c r="E275" s="40"/>
      <c r="F275" s="40"/>
      <c r="G275" s="10">
        <f t="shared" ref="G275:H276" si="36">G276</f>
        <v>0</v>
      </c>
      <c r="H275" s="10">
        <f t="shared" si="36"/>
        <v>0</v>
      </c>
    </row>
    <row r="276" spans="1:8" ht="47.25" hidden="1" x14ac:dyDescent="0.25">
      <c r="A276" s="29" t="s">
        <v>287</v>
      </c>
      <c r="B276" s="20" t="s">
        <v>1011</v>
      </c>
      <c r="C276" s="40" t="s">
        <v>279</v>
      </c>
      <c r="D276" s="40" t="s">
        <v>133</v>
      </c>
      <c r="E276" s="40" t="s">
        <v>288</v>
      </c>
      <c r="F276" s="40"/>
      <c r="G276" s="10">
        <f t="shared" si="36"/>
        <v>0</v>
      </c>
      <c r="H276" s="10">
        <f t="shared" si="36"/>
        <v>0</v>
      </c>
    </row>
    <row r="277" spans="1:8" ht="15.75" hidden="1" x14ac:dyDescent="0.25">
      <c r="A277" s="29" t="s">
        <v>289</v>
      </c>
      <c r="B277" s="20" t="s">
        <v>1011</v>
      </c>
      <c r="C277" s="40" t="s">
        <v>279</v>
      </c>
      <c r="D277" s="40" t="s">
        <v>133</v>
      </c>
      <c r="E277" s="40" t="s">
        <v>290</v>
      </c>
      <c r="F277" s="40"/>
      <c r="G277" s="10">
        <f>'пр.4.1.ведом.21-22'!G587</f>
        <v>0</v>
      </c>
      <c r="H277" s="10">
        <f>'пр.4.1.ведом.21-22'!H587</f>
        <v>0</v>
      </c>
    </row>
    <row r="278" spans="1:8" ht="31.5" hidden="1" x14ac:dyDescent="0.25">
      <c r="A278" s="29" t="s">
        <v>418</v>
      </c>
      <c r="B278" s="20" t="s">
        <v>1011</v>
      </c>
      <c r="C278" s="40" t="s">
        <v>279</v>
      </c>
      <c r="D278" s="40" t="s">
        <v>133</v>
      </c>
      <c r="E278" s="40" t="s">
        <v>290</v>
      </c>
      <c r="F278" s="40" t="s">
        <v>651</v>
      </c>
      <c r="G278" s="10">
        <f>G277</f>
        <v>0</v>
      </c>
      <c r="H278" s="10">
        <f>H277</f>
        <v>0</v>
      </c>
    </row>
    <row r="279" spans="1:8" ht="47.25" x14ac:dyDescent="0.25">
      <c r="A279" s="60" t="s">
        <v>785</v>
      </c>
      <c r="B279" s="20" t="s">
        <v>1012</v>
      </c>
      <c r="C279" s="20" t="s">
        <v>279</v>
      </c>
      <c r="D279" s="20" t="s">
        <v>133</v>
      </c>
      <c r="E279" s="20"/>
      <c r="F279" s="20"/>
      <c r="G279" s="10">
        <f t="shared" ref="G279:H280" si="37">G280</f>
        <v>2850</v>
      </c>
      <c r="H279" s="10">
        <f t="shared" si="37"/>
        <v>2850</v>
      </c>
    </row>
    <row r="280" spans="1:8" ht="47.25" x14ac:dyDescent="0.25">
      <c r="A280" s="29" t="s">
        <v>287</v>
      </c>
      <c r="B280" s="20" t="s">
        <v>1012</v>
      </c>
      <c r="C280" s="20" t="s">
        <v>279</v>
      </c>
      <c r="D280" s="20" t="s">
        <v>133</v>
      </c>
      <c r="E280" s="20" t="s">
        <v>288</v>
      </c>
      <c r="F280" s="20"/>
      <c r="G280" s="10">
        <f t="shared" si="37"/>
        <v>2850</v>
      </c>
      <c r="H280" s="10">
        <f t="shared" si="37"/>
        <v>2850</v>
      </c>
    </row>
    <row r="281" spans="1:8" ht="15.75" x14ac:dyDescent="0.25">
      <c r="A281" s="193" t="s">
        <v>289</v>
      </c>
      <c r="B281" s="20" t="s">
        <v>1012</v>
      </c>
      <c r="C281" s="20" t="s">
        <v>279</v>
      </c>
      <c r="D281" s="20" t="s">
        <v>133</v>
      </c>
      <c r="E281" s="20" t="s">
        <v>290</v>
      </c>
      <c r="F281" s="20"/>
      <c r="G281" s="10">
        <f>'пр.4.1.ведом.21-22'!G590</f>
        <v>2850</v>
      </c>
      <c r="H281" s="10">
        <f>'пр.4.1.ведом.21-22'!H590</f>
        <v>2850</v>
      </c>
    </row>
    <row r="282" spans="1:8" ht="31.5" x14ac:dyDescent="0.25">
      <c r="A282" s="29" t="s">
        <v>418</v>
      </c>
      <c r="B282" s="20" t="s">
        <v>1012</v>
      </c>
      <c r="C282" s="40" t="s">
        <v>279</v>
      </c>
      <c r="D282" s="40" t="s">
        <v>133</v>
      </c>
      <c r="E282" s="40" t="s">
        <v>290</v>
      </c>
      <c r="F282" s="40" t="s">
        <v>651</v>
      </c>
      <c r="G282" s="10">
        <f>G281</f>
        <v>2850</v>
      </c>
      <c r="H282" s="10">
        <f>H281</f>
        <v>2850</v>
      </c>
    </row>
    <row r="283" spans="1:8" ht="63" x14ac:dyDescent="0.25">
      <c r="A283" s="60" t="s">
        <v>786</v>
      </c>
      <c r="B283" s="20" t="s">
        <v>1013</v>
      </c>
      <c r="C283" s="20" t="s">
        <v>279</v>
      </c>
      <c r="D283" s="20" t="s">
        <v>133</v>
      </c>
      <c r="E283" s="20"/>
      <c r="F283" s="20"/>
      <c r="G283" s="10">
        <f t="shared" ref="G283:H284" si="38">G284</f>
        <v>1760</v>
      </c>
      <c r="H283" s="10">
        <f t="shared" si="38"/>
        <v>1760</v>
      </c>
    </row>
    <row r="284" spans="1:8" ht="47.25" x14ac:dyDescent="0.25">
      <c r="A284" s="29" t="s">
        <v>287</v>
      </c>
      <c r="B284" s="20" t="s">
        <v>1013</v>
      </c>
      <c r="C284" s="20" t="s">
        <v>279</v>
      </c>
      <c r="D284" s="20" t="s">
        <v>133</v>
      </c>
      <c r="E284" s="20" t="s">
        <v>288</v>
      </c>
      <c r="F284" s="20"/>
      <c r="G284" s="10">
        <f t="shared" si="38"/>
        <v>1760</v>
      </c>
      <c r="H284" s="10">
        <f t="shared" si="38"/>
        <v>1760</v>
      </c>
    </row>
    <row r="285" spans="1:8" ht="15.75" x14ac:dyDescent="0.25">
      <c r="A285" s="193" t="s">
        <v>289</v>
      </c>
      <c r="B285" s="20" t="s">
        <v>1013</v>
      </c>
      <c r="C285" s="20" t="s">
        <v>279</v>
      </c>
      <c r="D285" s="20" t="s">
        <v>133</v>
      </c>
      <c r="E285" s="20" t="s">
        <v>290</v>
      </c>
      <c r="F285" s="20"/>
      <c r="G285" s="10">
        <f>'пр.4.1.ведом.21-22'!G593</f>
        <v>1760</v>
      </c>
      <c r="H285" s="10">
        <f>'пр.4.1.ведом.21-22'!H593</f>
        <v>1760</v>
      </c>
    </row>
    <row r="286" spans="1:8" ht="31.5" x14ac:dyDescent="0.25">
      <c r="A286" s="29" t="s">
        <v>418</v>
      </c>
      <c r="B286" s="20" t="s">
        <v>1013</v>
      </c>
      <c r="C286" s="40" t="s">
        <v>279</v>
      </c>
      <c r="D286" s="40" t="s">
        <v>133</v>
      </c>
      <c r="E286" s="40" t="s">
        <v>290</v>
      </c>
      <c r="F286" s="40" t="s">
        <v>651</v>
      </c>
      <c r="G286" s="10">
        <f>G285</f>
        <v>1760</v>
      </c>
      <c r="H286" s="10">
        <f>H285</f>
        <v>1760</v>
      </c>
    </row>
    <row r="287" spans="1:8" ht="78.75" x14ac:dyDescent="0.25">
      <c r="A287" s="23" t="s">
        <v>1014</v>
      </c>
      <c r="B287" s="24" t="s">
        <v>1015</v>
      </c>
      <c r="C287" s="24"/>
      <c r="D287" s="24"/>
      <c r="E287" s="24"/>
      <c r="F287" s="24"/>
      <c r="G287" s="59">
        <f>G288</f>
        <v>291.10000000000002</v>
      </c>
      <c r="H287" s="59">
        <f>H288</f>
        <v>291.10000000000002</v>
      </c>
    </row>
    <row r="288" spans="1:8" ht="15.75" x14ac:dyDescent="0.25">
      <c r="A288" s="29" t="s">
        <v>278</v>
      </c>
      <c r="B288" s="40" t="s">
        <v>1015</v>
      </c>
      <c r="C288" s="40" t="s">
        <v>279</v>
      </c>
      <c r="D288" s="40"/>
      <c r="E288" s="40"/>
      <c r="F288" s="40"/>
      <c r="G288" s="10">
        <f t="shared" ref="G288:H288" si="39">G289</f>
        <v>291.10000000000002</v>
      </c>
      <c r="H288" s="10">
        <f t="shared" si="39"/>
        <v>291.10000000000002</v>
      </c>
    </row>
    <row r="289" spans="1:8" ht="15.75" x14ac:dyDescent="0.25">
      <c r="A289" s="45" t="s">
        <v>419</v>
      </c>
      <c r="B289" s="40" t="s">
        <v>1015</v>
      </c>
      <c r="C289" s="40" t="s">
        <v>279</v>
      </c>
      <c r="D289" s="40" t="s">
        <v>133</v>
      </c>
      <c r="E289" s="40"/>
      <c r="F289" s="40"/>
      <c r="G289" s="10">
        <f>G290+G294</f>
        <v>291.10000000000002</v>
      </c>
      <c r="H289" s="10">
        <f>H290+H294</f>
        <v>291.10000000000002</v>
      </c>
    </row>
    <row r="290" spans="1:8" ht="157.5" x14ac:dyDescent="0.25">
      <c r="A290" s="25" t="s">
        <v>1468</v>
      </c>
      <c r="B290" s="20" t="s">
        <v>1016</v>
      </c>
      <c r="C290" s="20" t="s">
        <v>279</v>
      </c>
      <c r="D290" s="20" t="s">
        <v>133</v>
      </c>
      <c r="E290" s="20"/>
      <c r="F290" s="20"/>
      <c r="G290" s="10">
        <f>G291</f>
        <v>124.4</v>
      </c>
      <c r="H290" s="10">
        <f>H291</f>
        <v>124.4</v>
      </c>
    </row>
    <row r="291" spans="1:8" ht="47.25" x14ac:dyDescent="0.25">
      <c r="A291" s="25" t="s">
        <v>287</v>
      </c>
      <c r="B291" s="20" t="s">
        <v>1016</v>
      </c>
      <c r="C291" s="20" t="s">
        <v>279</v>
      </c>
      <c r="D291" s="20" t="s">
        <v>133</v>
      </c>
      <c r="E291" s="20" t="s">
        <v>288</v>
      </c>
      <c r="F291" s="20"/>
      <c r="G291" s="10">
        <f>G292</f>
        <v>124.4</v>
      </c>
      <c r="H291" s="10">
        <f>H292</f>
        <v>124.4</v>
      </c>
    </row>
    <row r="292" spans="1:8" ht="15.75" x14ac:dyDescent="0.25">
      <c r="A292" s="25" t="s">
        <v>289</v>
      </c>
      <c r="B292" s="20" t="s">
        <v>1016</v>
      </c>
      <c r="C292" s="20" t="s">
        <v>279</v>
      </c>
      <c r="D292" s="20" t="s">
        <v>133</v>
      </c>
      <c r="E292" s="20" t="s">
        <v>290</v>
      </c>
      <c r="F292" s="20"/>
      <c r="G292" s="10">
        <f>'пр.4.1.ведом.21-22'!G597</f>
        <v>124.4</v>
      </c>
      <c r="H292" s="10">
        <f>'пр.4.1.ведом.21-22'!H597</f>
        <v>124.4</v>
      </c>
    </row>
    <row r="293" spans="1:8" ht="31.5" x14ac:dyDescent="0.25">
      <c r="A293" s="29" t="s">
        <v>418</v>
      </c>
      <c r="B293" s="20" t="s">
        <v>1016</v>
      </c>
      <c r="C293" s="40" t="s">
        <v>279</v>
      </c>
      <c r="D293" s="40" t="s">
        <v>133</v>
      </c>
      <c r="E293" s="40" t="s">
        <v>290</v>
      </c>
      <c r="F293" s="40" t="s">
        <v>651</v>
      </c>
      <c r="G293" s="10">
        <f>G292</f>
        <v>124.4</v>
      </c>
      <c r="H293" s="10">
        <f>H292</f>
        <v>124.4</v>
      </c>
    </row>
    <row r="294" spans="1:8" ht="157.5" x14ac:dyDescent="0.25">
      <c r="A294" s="25" t="s">
        <v>438</v>
      </c>
      <c r="B294" s="20" t="s">
        <v>1017</v>
      </c>
      <c r="C294" s="20" t="s">
        <v>279</v>
      </c>
      <c r="D294" s="20" t="s">
        <v>133</v>
      </c>
      <c r="E294" s="20"/>
      <c r="F294" s="20"/>
      <c r="G294" s="10">
        <f>G295</f>
        <v>166.7</v>
      </c>
      <c r="H294" s="10">
        <f>H295</f>
        <v>166.7</v>
      </c>
    </row>
    <row r="295" spans="1:8" ht="47.25" x14ac:dyDescent="0.25">
      <c r="A295" s="25" t="s">
        <v>287</v>
      </c>
      <c r="B295" s="20" t="s">
        <v>1017</v>
      </c>
      <c r="C295" s="20" t="s">
        <v>279</v>
      </c>
      <c r="D295" s="20" t="s">
        <v>133</v>
      </c>
      <c r="E295" s="20" t="s">
        <v>288</v>
      </c>
      <c r="F295" s="20"/>
      <c r="G295" s="10">
        <f>G296</f>
        <v>166.7</v>
      </c>
      <c r="H295" s="10">
        <f>H296</f>
        <v>166.7</v>
      </c>
    </row>
    <row r="296" spans="1:8" ht="15.75" x14ac:dyDescent="0.25">
      <c r="A296" s="25" t="s">
        <v>289</v>
      </c>
      <c r="B296" s="20" t="s">
        <v>1017</v>
      </c>
      <c r="C296" s="20" t="s">
        <v>279</v>
      </c>
      <c r="D296" s="20" t="s">
        <v>133</v>
      </c>
      <c r="E296" s="20" t="s">
        <v>290</v>
      </c>
      <c r="F296" s="20"/>
      <c r="G296" s="10">
        <f>'пр.4.1.ведом.21-22'!G600</f>
        <v>166.7</v>
      </c>
      <c r="H296" s="10">
        <f>'пр.4.1.ведом.21-22'!H600</f>
        <v>166.7</v>
      </c>
    </row>
    <row r="297" spans="1:8" ht="31.5" x14ac:dyDescent="0.25">
      <c r="A297" s="29" t="s">
        <v>418</v>
      </c>
      <c r="B297" s="20" t="s">
        <v>1017</v>
      </c>
      <c r="C297" s="40" t="s">
        <v>279</v>
      </c>
      <c r="D297" s="40" t="s">
        <v>133</v>
      </c>
      <c r="E297" s="40" t="s">
        <v>290</v>
      </c>
      <c r="F297" s="40" t="s">
        <v>651</v>
      </c>
      <c r="G297" s="10">
        <f>G296</f>
        <v>166.7</v>
      </c>
      <c r="H297" s="10">
        <f>H296</f>
        <v>166.7</v>
      </c>
    </row>
    <row r="298" spans="1:8" s="221" customFormat="1" ht="126" x14ac:dyDescent="0.25">
      <c r="A298" s="23" t="s">
        <v>1405</v>
      </c>
      <c r="B298" s="24" t="s">
        <v>1403</v>
      </c>
      <c r="C298" s="7"/>
      <c r="D298" s="7"/>
      <c r="E298" s="7"/>
      <c r="F298" s="7"/>
      <c r="G298" s="59">
        <f>G299</f>
        <v>1666.6</v>
      </c>
      <c r="H298" s="59">
        <f>H299</f>
        <v>1666.6</v>
      </c>
    </row>
    <row r="299" spans="1:8" s="221" customFormat="1" ht="15.75" x14ac:dyDescent="0.25">
      <c r="A299" s="25" t="s">
        <v>278</v>
      </c>
      <c r="B299" s="20" t="s">
        <v>1403</v>
      </c>
      <c r="C299" s="40" t="s">
        <v>279</v>
      </c>
      <c r="D299" s="40"/>
      <c r="E299" s="40"/>
      <c r="F299" s="40"/>
      <c r="G299" s="10">
        <f>G300</f>
        <v>1666.6</v>
      </c>
      <c r="H299" s="10">
        <f>H300</f>
        <v>1666.6</v>
      </c>
    </row>
    <row r="300" spans="1:8" s="221" customFormat="1" ht="15.75" x14ac:dyDescent="0.25">
      <c r="A300" s="25" t="s">
        <v>419</v>
      </c>
      <c r="B300" s="20" t="s">
        <v>1403</v>
      </c>
      <c r="C300" s="40" t="s">
        <v>279</v>
      </c>
      <c r="D300" s="40" t="s">
        <v>133</v>
      </c>
      <c r="E300" s="40"/>
      <c r="F300" s="40"/>
      <c r="G300" s="10">
        <f>G301+G305</f>
        <v>1666.6</v>
      </c>
      <c r="H300" s="10">
        <f>H301+H305</f>
        <v>1666.6</v>
      </c>
    </row>
    <row r="301" spans="1:8" s="221" customFormat="1" ht="94.5" x14ac:dyDescent="0.25">
      <c r="A301" s="151" t="s">
        <v>1469</v>
      </c>
      <c r="B301" s="20" t="s">
        <v>1407</v>
      </c>
      <c r="C301" s="40" t="s">
        <v>279</v>
      </c>
      <c r="D301" s="40" t="s">
        <v>133</v>
      </c>
      <c r="E301" s="40"/>
      <c r="F301" s="40"/>
      <c r="G301" s="10">
        <f>G302</f>
        <v>0</v>
      </c>
      <c r="H301" s="10">
        <f>H302</f>
        <v>0</v>
      </c>
    </row>
    <row r="302" spans="1:8" s="221" customFormat="1" ht="47.25" x14ac:dyDescent="0.25">
      <c r="A302" s="25" t="s">
        <v>287</v>
      </c>
      <c r="B302" s="20" t="s">
        <v>1407</v>
      </c>
      <c r="C302" s="40" t="s">
        <v>279</v>
      </c>
      <c r="D302" s="40" t="s">
        <v>133</v>
      </c>
      <c r="E302" s="40" t="s">
        <v>288</v>
      </c>
      <c r="F302" s="40"/>
      <c r="G302" s="10">
        <f>G303</f>
        <v>0</v>
      </c>
      <c r="H302" s="10">
        <f>H303</f>
        <v>0</v>
      </c>
    </row>
    <row r="303" spans="1:8" s="221" customFormat="1" ht="15.75" x14ac:dyDescent="0.25">
      <c r="A303" s="25" t="s">
        <v>289</v>
      </c>
      <c r="B303" s="20" t="s">
        <v>1407</v>
      </c>
      <c r="C303" s="40" t="s">
        <v>279</v>
      </c>
      <c r="D303" s="40" t="s">
        <v>133</v>
      </c>
      <c r="E303" s="40" t="s">
        <v>290</v>
      </c>
      <c r="F303" s="40"/>
      <c r="G303" s="10">
        <f>'пр.4.1.ведом.21-22'!G609</f>
        <v>0</v>
      </c>
      <c r="H303" s="10">
        <f>'пр.4.1.ведом.21-22'!H609</f>
        <v>0</v>
      </c>
    </row>
    <row r="304" spans="1:8" s="221" customFormat="1" ht="31.5" x14ac:dyDescent="0.25">
      <c r="A304" s="29" t="s">
        <v>418</v>
      </c>
      <c r="B304" s="20" t="s">
        <v>1407</v>
      </c>
      <c r="C304" s="40" t="s">
        <v>279</v>
      </c>
      <c r="D304" s="40" t="s">
        <v>133</v>
      </c>
      <c r="E304" s="40" t="s">
        <v>290</v>
      </c>
      <c r="F304" s="40" t="s">
        <v>651</v>
      </c>
      <c r="G304" s="10">
        <f>G301</f>
        <v>0</v>
      </c>
      <c r="H304" s="10">
        <f>H301</f>
        <v>0</v>
      </c>
    </row>
    <row r="305" spans="1:8" s="221" customFormat="1" ht="110.25" x14ac:dyDescent="0.25">
      <c r="A305" s="151" t="s">
        <v>1404</v>
      </c>
      <c r="B305" s="20" t="s">
        <v>1406</v>
      </c>
      <c r="C305" s="40" t="s">
        <v>279</v>
      </c>
      <c r="D305" s="40" t="s">
        <v>133</v>
      </c>
      <c r="E305" s="40"/>
      <c r="F305" s="40"/>
      <c r="G305" s="10">
        <f>G306</f>
        <v>1666.6</v>
      </c>
      <c r="H305" s="10">
        <f>H306</f>
        <v>1666.6</v>
      </c>
    </row>
    <row r="306" spans="1:8" s="221" customFormat="1" ht="47.25" x14ac:dyDescent="0.25">
      <c r="A306" s="25" t="s">
        <v>287</v>
      </c>
      <c r="B306" s="20" t="s">
        <v>1406</v>
      </c>
      <c r="C306" s="40" t="s">
        <v>279</v>
      </c>
      <c r="D306" s="40" t="s">
        <v>133</v>
      </c>
      <c r="E306" s="40" t="s">
        <v>288</v>
      </c>
      <c r="F306" s="40"/>
      <c r="G306" s="10">
        <f>G307</f>
        <v>1666.6</v>
      </c>
      <c r="H306" s="10">
        <f>H307</f>
        <v>1666.6</v>
      </c>
    </row>
    <row r="307" spans="1:8" s="221" customFormat="1" ht="15.75" x14ac:dyDescent="0.25">
      <c r="A307" s="25" t="s">
        <v>289</v>
      </c>
      <c r="B307" s="20" t="s">
        <v>1406</v>
      </c>
      <c r="C307" s="40" t="s">
        <v>279</v>
      </c>
      <c r="D307" s="40" t="s">
        <v>133</v>
      </c>
      <c r="E307" s="40" t="s">
        <v>290</v>
      </c>
      <c r="F307" s="40"/>
      <c r="G307" s="10">
        <f>'пр.4.1.ведом.21-22'!G612</f>
        <v>1666.6</v>
      </c>
      <c r="H307" s="10">
        <f>'пр.4.1.ведом.21-22'!H612</f>
        <v>1666.6</v>
      </c>
    </row>
    <row r="308" spans="1:8" s="221" customFormat="1" ht="31.5" x14ac:dyDescent="0.25">
      <c r="A308" s="29" t="s">
        <v>418</v>
      </c>
      <c r="B308" s="20" t="s">
        <v>1406</v>
      </c>
      <c r="C308" s="40" t="s">
        <v>279</v>
      </c>
      <c r="D308" s="40" t="s">
        <v>133</v>
      </c>
      <c r="E308" s="40" t="s">
        <v>290</v>
      </c>
      <c r="F308" s="40" t="s">
        <v>651</v>
      </c>
      <c r="G308" s="10">
        <f>G305</f>
        <v>1666.6</v>
      </c>
      <c r="H308" s="10">
        <f>H305</f>
        <v>1666.6</v>
      </c>
    </row>
    <row r="309" spans="1:8" ht="47.25" x14ac:dyDescent="0.25">
      <c r="A309" s="41" t="s">
        <v>445</v>
      </c>
      <c r="B309" s="7" t="s">
        <v>446</v>
      </c>
      <c r="C309" s="7"/>
      <c r="D309" s="7"/>
      <c r="E309" s="7"/>
      <c r="F309" s="7"/>
      <c r="G309" s="4">
        <f>G310+G329+G340+G351+G362</f>
        <v>8844.0999999999985</v>
      </c>
      <c r="H309" s="4">
        <f>H310+H329+H340+H351+H362</f>
        <v>8852.5999999999985</v>
      </c>
    </row>
    <row r="310" spans="1:8" ht="31.5" x14ac:dyDescent="0.25">
      <c r="A310" s="23" t="s">
        <v>1027</v>
      </c>
      <c r="B310" s="24" t="s">
        <v>1028</v>
      </c>
      <c r="C310" s="7"/>
      <c r="D310" s="7"/>
      <c r="E310" s="7"/>
      <c r="F310" s="7"/>
      <c r="G310" s="4">
        <f>G311</f>
        <v>224</v>
      </c>
      <c r="H310" s="4">
        <f>H311</f>
        <v>224</v>
      </c>
    </row>
    <row r="311" spans="1:8" ht="15.75" x14ac:dyDescent="0.25">
      <c r="A311" s="29" t="s">
        <v>278</v>
      </c>
      <c r="B311" s="40" t="s">
        <v>1028</v>
      </c>
      <c r="C311" s="40" t="s">
        <v>279</v>
      </c>
      <c r="D311" s="40"/>
      <c r="E311" s="40"/>
      <c r="F311" s="40"/>
      <c r="G311" s="10">
        <f t="shared" ref="G311:H311" si="40">G312</f>
        <v>224</v>
      </c>
      <c r="H311" s="10">
        <f t="shared" si="40"/>
        <v>224</v>
      </c>
    </row>
    <row r="312" spans="1:8" ht="15.75" x14ac:dyDescent="0.25">
      <c r="A312" s="29" t="s">
        <v>440</v>
      </c>
      <c r="B312" s="40" t="s">
        <v>1028</v>
      </c>
      <c r="C312" s="40" t="s">
        <v>279</v>
      </c>
      <c r="D312" s="40" t="s">
        <v>228</v>
      </c>
      <c r="E312" s="40"/>
      <c r="F312" s="40"/>
      <c r="G312" s="10">
        <f>G313+G317+G321+G325</f>
        <v>224</v>
      </c>
      <c r="H312" s="10">
        <f>H313+H317+H321+H325</f>
        <v>224</v>
      </c>
    </row>
    <row r="313" spans="1:8" ht="47.25" hidden="1" x14ac:dyDescent="0.25">
      <c r="A313" s="25" t="s">
        <v>811</v>
      </c>
      <c r="B313" s="20" t="s">
        <v>1032</v>
      </c>
      <c r="C313" s="40" t="s">
        <v>279</v>
      </c>
      <c r="D313" s="40" t="s">
        <v>228</v>
      </c>
      <c r="E313" s="40"/>
      <c r="F313" s="40"/>
      <c r="G313" s="6">
        <f>G314</f>
        <v>0</v>
      </c>
      <c r="H313" s="6">
        <f>H314</f>
        <v>0</v>
      </c>
    </row>
    <row r="314" spans="1:8" ht="47.25" hidden="1" x14ac:dyDescent="0.25">
      <c r="A314" s="25" t="s">
        <v>287</v>
      </c>
      <c r="B314" s="20" t="s">
        <v>1032</v>
      </c>
      <c r="C314" s="40" t="s">
        <v>279</v>
      </c>
      <c r="D314" s="40" t="s">
        <v>228</v>
      </c>
      <c r="E314" s="40" t="s">
        <v>288</v>
      </c>
      <c r="F314" s="40"/>
      <c r="G314" s="6">
        <f>G315</f>
        <v>0</v>
      </c>
      <c r="H314" s="6">
        <f>H315</f>
        <v>0</v>
      </c>
    </row>
    <row r="315" spans="1:8" ht="15.75" hidden="1" x14ac:dyDescent="0.25">
      <c r="A315" s="25" t="s">
        <v>289</v>
      </c>
      <c r="B315" s="20" t="s">
        <v>1032</v>
      </c>
      <c r="C315" s="40" t="s">
        <v>279</v>
      </c>
      <c r="D315" s="40" t="s">
        <v>228</v>
      </c>
      <c r="E315" s="40" t="s">
        <v>290</v>
      </c>
      <c r="F315" s="40"/>
      <c r="G315" s="6">
        <f>'пр.4.1.ведом.21-22'!G654</f>
        <v>0</v>
      </c>
      <c r="H315" s="6">
        <f>'пр.4.1.ведом.21-22'!H654</f>
        <v>0</v>
      </c>
    </row>
    <row r="316" spans="1:8" ht="31.5" hidden="1" x14ac:dyDescent="0.25">
      <c r="A316" s="29" t="s">
        <v>418</v>
      </c>
      <c r="B316" s="20" t="s">
        <v>1032</v>
      </c>
      <c r="C316" s="40" t="s">
        <v>279</v>
      </c>
      <c r="D316" s="40" t="s">
        <v>228</v>
      </c>
      <c r="E316" s="40" t="s">
        <v>290</v>
      </c>
      <c r="F316" s="40" t="s">
        <v>651</v>
      </c>
      <c r="G316" s="10">
        <f>G315</f>
        <v>0</v>
      </c>
      <c r="H316" s="10">
        <f>H315</f>
        <v>0</v>
      </c>
    </row>
    <row r="317" spans="1:8" ht="47.25" hidden="1" x14ac:dyDescent="0.25">
      <c r="A317" s="25" t="s">
        <v>293</v>
      </c>
      <c r="B317" s="20" t="s">
        <v>1033</v>
      </c>
      <c r="C317" s="40" t="s">
        <v>279</v>
      </c>
      <c r="D317" s="40" t="s">
        <v>228</v>
      </c>
      <c r="E317" s="40"/>
      <c r="F317" s="40"/>
      <c r="G317" s="6">
        <f t="shared" ref="G317:H318" si="41">G318</f>
        <v>0</v>
      </c>
      <c r="H317" s="6">
        <f t="shared" si="41"/>
        <v>0</v>
      </c>
    </row>
    <row r="318" spans="1:8" ht="47.25" hidden="1" x14ac:dyDescent="0.25">
      <c r="A318" s="25" t="s">
        <v>287</v>
      </c>
      <c r="B318" s="20" t="s">
        <v>1033</v>
      </c>
      <c r="C318" s="40" t="s">
        <v>279</v>
      </c>
      <c r="D318" s="40" t="s">
        <v>228</v>
      </c>
      <c r="E318" s="40" t="s">
        <v>288</v>
      </c>
      <c r="F318" s="40"/>
      <c r="G318" s="6">
        <f t="shared" si="41"/>
        <v>0</v>
      </c>
      <c r="H318" s="6">
        <f t="shared" si="41"/>
        <v>0</v>
      </c>
    </row>
    <row r="319" spans="1:8" ht="15.75" hidden="1" x14ac:dyDescent="0.25">
      <c r="A319" s="25" t="s">
        <v>289</v>
      </c>
      <c r="B319" s="20" t="s">
        <v>1033</v>
      </c>
      <c r="C319" s="40" t="s">
        <v>279</v>
      </c>
      <c r="D319" s="40" t="s">
        <v>228</v>
      </c>
      <c r="E319" s="40" t="s">
        <v>290</v>
      </c>
      <c r="F319" s="40"/>
      <c r="G319" s="6">
        <f>'пр.4.1.ведом.21-22'!G657</f>
        <v>0</v>
      </c>
      <c r="H319" s="6">
        <f>'пр.4.1.ведом.21-22'!H657</f>
        <v>0</v>
      </c>
    </row>
    <row r="320" spans="1:8" ht="31.5" hidden="1" x14ac:dyDescent="0.25">
      <c r="A320" s="29" t="s">
        <v>418</v>
      </c>
      <c r="B320" s="20" t="s">
        <v>1033</v>
      </c>
      <c r="C320" s="40" t="s">
        <v>279</v>
      </c>
      <c r="D320" s="40" t="s">
        <v>228</v>
      </c>
      <c r="E320" s="40" t="s">
        <v>290</v>
      </c>
      <c r="F320" s="40" t="s">
        <v>651</v>
      </c>
      <c r="G320" s="10">
        <f>G319</f>
        <v>0</v>
      </c>
      <c r="H320" s="10">
        <f>H319</f>
        <v>0</v>
      </c>
    </row>
    <row r="321" spans="1:8" ht="31.5" hidden="1" x14ac:dyDescent="0.25">
      <c r="A321" s="25" t="s">
        <v>295</v>
      </c>
      <c r="B321" s="20" t="s">
        <v>1034</v>
      </c>
      <c r="C321" s="40" t="s">
        <v>279</v>
      </c>
      <c r="D321" s="40" t="s">
        <v>228</v>
      </c>
      <c r="E321" s="40"/>
      <c r="F321" s="40"/>
      <c r="G321" s="6">
        <f t="shared" ref="G321:H322" si="42">G322</f>
        <v>0</v>
      </c>
      <c r="H321" s="6">
        <f t="shared" si="42"/>
        <v>0</v>
      </c>
    </row>
    <row r="322" spans="1:8" ht="47.25" hidden="1" x14ac:dyDescent="0.25">
      <c r="A322" s="25" t="s">
        <v>287</v>
      </c>
      <c r="B322" s="20" t="s">
        <v>1034</v>
      </c>
      <c r="C322" s="40" t="s">
        <v>279</v>
      </c>
      <c r="D322" s="40" t="s">
        <v>228</v>
      </c>
      <c r="E322" s="40" t="s">
        <v>288</v>
      </c>
      <c r="F322" s="40"/>
      <c r="G322" s="6">
        <f t="shared" si="42"/>
        <v>0</v>
      </c>
      <c r="H322" s="6">
        <f t="shared" si="42"/>
        <v>0</v>
      </c>
    </row>
    <row r="323" spans="1:8" ht="15.75" hidden="1" x14ac:dyDescent="0.25">
      <c r="A323" s="25" t="s">
        <v>289</v>
      </c>
      <c r="B323" s="20" t="s">
        <v>1034</v>
      </c>
      <c r="C323" s="40" t="s">
        <v>279</v>
      </c>
      <c r="D323" s="40" t="s">
        <v>228</v>
      </c>
      <c r="E323" s="40" t="s">
        <v>290</v>
      </c>
      <c r="F323" s="40"/>
      <c r="G323" s="6">
        <f>'пр.4.1.ведом.21-22'!G660</f>
        <v>0</v>
      </c>
      <c r="H323" s="6">
        <f>'пр.4.1.ведом.21-22'!H660</f>
        <v>0</v>
      </c>
    </row>
    <row r="324" spans="1:8" ht="31.5" hidden="1" x14ac:dyDescent="0.25">
      <c r="A324" s="29" t="s">
        <v>418</v>
      </c>
      <c r="B324" s="20" t="s">
        <v>1034</v>
      </c>
      <c r="C324" s="40" t="s">
        <v>279</v>
      </c>
      <c r="D324" s="40" t="s">
        <v>228</v>
      </c>
      <c r="E324" s="40" t="s">
        <v>290</v>
      </c>
      <c r="F324" s="40" t="s">
        <v>651</v>
      </c>
      <c r="G324" s="10">
        <f>G323</f>
        <v>0</v>
      </c>
      <c r="H324" s="10">
        <f>H323</f>
        <v>0</v>
      </c>
    </row>
    <row r="325" spans="1:8" ht="47.25" x14ac:dyDescent="0.25">
      <c r="A325" s="29" t="s">
        <v>297</v>
      </c>
      <c r="B325" s="20" t="s">
        <v>1035</v>
      </c>
      <c r="C325" s="40" t="s">
        <v>279</v>
      </c>
      <c r="D325" s="40" t="s">
        <v>228</v>
      </c>
      <c r="E325" s="40"/>
      <c r="F325" s="40"/>
      <c r="G325" s="10">
        <f t="shared" ref="G325:H326" si="43">G326</f>
        <v>224</v>
      </c>
      <c r="H325" s="10">
        <f t="shared" si="43"/>
        <v>224</v>
      </c>
    </row>
    <row r="326" spans="1:8" ht="47.25" x14ac:dyDescent="0.25">
      <c r="A326" s="29" t="s">
        <v>287</v>
      </c>
      <c r="B326" s="20" t="s">
        <v>1035</v>
      </c>
      <c r="C326" s="40" t="s">
        <v>279</v>
      </c>
      <c r="D326" s="40" t="s">
        <v>228</v>
      </c>
      <c r="E326" s="40" t="s">
        <v>288</v>
      </c>
      <c r="F326" s="40"/>
      <c r="G326" s="10">
        <f t="shared" si="43"/>
        <v>224</v>
      </c>
      <c r="H326" s="10">
        <f t="shared" si="43"/>
        <v>224</v>
      </c>
    </row>
    <row r="327" spans="1:8" ht="15.75" x14ac:dyDescent="0.25">
      <c r="A327" s="29" t="s">
        <v>289</v>
      </c>
      <c r="B327" s="20" t="s">
        <v>1035</v>
      </c>
      <c r="C327" s="40" t="s">
        <v>279</v>
      </c>
      <c r="D327" s="40" t="s">
        <v>228</v>
      </c>
      <c r="E327" s="40" t="s">
        <v>290</v>
      </c>
      <c r="F327" s="40"/>
      <c r="G327" s="10">
        <f>'пр.4.1.ведом.21-22'!G663</f>
        <v>224</v>
      </c>
      <c r="H327" s="10">
        <f>'пр.4.1.ведом.21-22'!H663</f>
        <v>224</v>
      </c>
    </row>
    <row r="328" spans="1:8" ht="31.5" x14ac:dyDescent="0.25">
      <c r="A328" s="29" t="s">
        <v>418</v>
      </c>
      <c r="B328" s="20" t="s">
        <v>1035</v>
      </c>
      <c r="C328" s="40" t="s">
        <v>279</v>
      </c>
      <c r="D328" s="40" t="s">
        <v>228</v>
      </c>
      <c r="E328" s="40" t="s">
        <v>290</v>
      </c>
      <c r="F328" s="40" t="s">
        <v>651</v>
      </c>
      <c r="G328" s="10">
        <f>G327</f>
        <v>224</v>
      </c>
      <c r="H328" s="10">
        <f>H327</f>
        <v>224</v>
      </c>
    </row>
    <row r="329" spans="1:8" ht="47.25" x14ac:dyDescent="0.25">
      <c r="A329" s="23" t="s">
        <v>1029</v>
      </c>
      <c r="B329" s="24" t="s">
        <v>1030</v>
      </c>
      <c r="C329" s="7"/>
      <c r="D329" s="7"/>
      <c r="E329" s="7"/>
      <c r="F329" s="7"/>
      <c r="G329" s="59">
        <f>G332+G336</f>
        <v>3943.4</v>
      </c>
      <c r="H329" s="59">
        <f>H332+H336</f>
        <v>3951.9</v>
      </c>
    </row>
    <row r="330" spans="1:8" ht="15.75" x14ac:dyDescent="0.25">
      <c r="A330" s="29" t="s">
        <v>278</v>
      </c>
      <c r="B330" s="40" t="s">
        <v>1030</v>
      </c>
      <c r="C330" s="40" t="s">
        <v>279</v>
      </c>
      <c r="D330" s="40"/>
      <c r="E330" s="40"/>
      <c r="F330" s="40"/>
      <c r="G330" s="10">
        <f t="shared" ref="G330:H330" si="44">G331</f>
        <v>3943.4</v>
      </c>
      <c r="H330" s="10">
        <f t="shared" si="44"/>
        <v>3951.9</v>
      </c>
    </row>
    <row r="331" spans="1:8" ht="15.75" x14ac:dyDescent="0.25">
      <c r="A331" s="29" t="s">
        <v>440</v>
      </c>
      <c r="B331" s="40" t="s">
        <v>1030</v>
      </c>
      <c r="C331" s="40" t="s">
        <v>279</v>
      </c>
      <c r="D331" s="40" t="s">
        <v>228</v>
      </c>
      <c r="E331" s="40"/>
      <c r="F331" s="40"/>
      <c r="G331" s="10">
        <f>G332+G336</f>
        <v>3943.4</v>
      </c>
      <c r="H331" s="10">
        <f>H332+H336</f>
        <v>3951.9</v>
      </c>
    </row>
    <row r="332" spans="1:8" ht="47.25" x14ac:dyDescent="0.25">
      <c r="A332" s="29" t="s">
        <v>617</v>
      </c>
      <c r="B332" s="20" t="s">
        <v>1036</v>
      </c>
      <c r="C332" s="40" t="s">
        <v>279</v>
      </c>
      <c r="D332" s="40" t="s">
        <v>228</v>
      </c>
      <c r="E332" s="40"/>
      <c r="F332" s="40"/>
      <c r="G332" s="10">
        <f t="shared" ref="G332:H333" si="45">G333</f>
        <v>2200</v>
      </c>
      <c r="H332" s="10">
        <f t="shared" si="45"/>
        <v>2200</v>
      </c>
    </row>
    <row r="333" spans="1:8" ht="47.25" x14ac:dyDescent="0.25">
      <c r="A333" s="29" t="s">
        <v>287</v>
      </c>
      <c r="B333" s="20" t="s">
        <v>1036</v>
      </c>
      <c r="C333" s="40" t="s">
        <v>279</v>
      </c>
      <c r="D333" s="40" t="s">
        <v>228</v>
      </c>
      <c r="E333" s="40" t="s">
        <v>288</v>
      </c>
      <c r="F333" s="40"/>
      <c r="G333" s="10">
        <f t="shared" si="45"/>
        <v>2200</v>
      </c>
      <c r="H333" s="10">
        <f t="shared" si="45"/>
        <v>2200</v>
      </c>
    </row>
    <row r="334" spans="1:8" ht="15.75" x14ac:dyDescent="0.25">
      <c r="A334" s="29" t="s">
        <v>289</v>
      </c>
      <c r="B334" s="20" t="s">
        <v>1036</v>
      </c>
      <c r="C334" s="40" t="s">
        <v>279</v>
      </c>
      <c r="D334" s="40" t="s">
        <v>228</v>
      </c>
      <c r="E334" s="40" t="s">
        <v>290</v>
      </c>
      <c r="F334" s="40"/>
      <c r="G334" s="6">
        <f>'пр.4.1.ведом.21-22'!G667</f>
        <v>2200</v>
      </c>
      <c r="H334" s="6">
        <f>'пр.4.1.ведом.21-22'!H667</f>
        <v>2200</v>
      </c>
    </row>
    <row r="335" spans="1:8" ht="31.5" x14ac:dyDescent="0.25">
      <c r="A335" s="29" t="s">
        <v>418</v>
      </c>
      <c r="B335" s="20" t="s">
        <v>1036</v>
      </c>
      <c r="C335" s="40" t="s">
        <v>279</v>
      </c>
      <c r="D335" s="40" t="s">
        <v>228</v>
      </c>
      <c r="E335" s="40" t="s">
        <v>290</v>
      </c>
      <c r="F335" s="40" t="s">
        <v>651</v>
      </c>
      <c r="G335" s="10">
        <f>G334</f>
        <v>2200</v>
      </c>
      <c r="H335" s="10">
        <f>H334</f>
        <v>2200</v>
      </c>
    </row>
    <row r="336" spans="1:8" ht="31.5" x14ac:dyDescent="0.25">
      <c r="A336" s="25" t="s">
        <v>471</v>
      </c>
      <c r="B336" s="20" t="s">
        <v>1037</v>
      </c>
      <c r="C336" s="40" t="s">
        <v>279</v>
      </c>
      <c r="D336" s="40" t="s">
        <v>228</v>
      </c>
      <c r="E336" s="40"/>
      <c r="F336" s="40"/>
      <c r="G336" s="10">
        <f>G337</f>
        <v>1743.4</v>
      </c>
      <c r="H336" s="10">
        <f>H337</f>
        <v>1751.9</v>
      </c>
    </row>
    <row r="337" spans="1:8" ht="47.25" x14ac:dyDescent="0.25">
      <c r="A337" s="25" t="s">
        <v>287</v>
      </c>
      <c r="B337" s="20" t="s">
        <v>1037</v>
      </c>
      <c r="C337" s="40" t="s">
        <v>279</v>
      </c>
      <c r="D337" s="40" t="s">
        <v>228</v>
      </c>
      <c r="E337" s="40" t="s">
        <v>288</v>
      </c>
      <c r="F337" s="40"/>
      <c r="G337" s="10">
        <f>G338</f>
        <v>1743.4</v>
      </c>
      <c r="H337" s="10">
        <f>H338</f>
        <v>1751.9</v>
      </c>
    </row>
    <row r="338" spans="1:8" ht="15.75" x14ac:dyDescent="0.25">
      <c r="A338" s="25" t="s">
        <v>289</v>
      </c>
      <c r="B338" s="20" t="s">
        <v>1037</v>
      </c>
      <c r="C338" s="40" t="s">
        <v>279</v>
      </c>
      <c r="D338" s="40" t="s">
        <v>228</v>
      </c>
      <c r="E338" s="40" t="s">
        <v>290</v>
      </c>
      <c r="F338" s="40"/>
      <c r="G338" s="10">
        <f>'пр.4.1.ведом.21-22'!G670</f>
        <v>1743.4</v>
      </c>
      <c r="H338" s="10">
        <f>'пр.4.1.ведом.21-22'!H670</f>
        <v>1751.9</v>
      </c>
    </row>
    <row r="339" spans="1:8" ht="31.5" x14ac:dyDescent="0.25">
      <c r="A339" s="29" t="s">
        <v>418</v>
      </c>
      <c r="B339" s="20" t="s">
        <v>1037</v>
      </c>
      <c r="C339" s="40" t="s">
        <v>279</v>
      </c>
      <c r="D339" s="40" t="s">
        <v>228</v>
      </c>
      <c r="E339" s="40" t="s">
        <v>290</v>
      </c>
      <c r="F339" s="40" t="s">
        <v>651</v>
      </c>
      <c r="G339" s="10">
        <f>G338</f>
        <v>1743.4</v>
      </c>
      <c r="H339" s="10">
        <f>H338</f>
        <v>1751.9</v>
      </c>
    </row>
    <row r="340" spans="1:8" ht="31.5" x14ac:dyDescent="0.25">
      <c r="A340" s="23" t="s">
        <v>1031</v>
      </c>
      <c r="B340" s="24" t="s">
        <v>1038</v>
      </c>
      <c r="C340" s="7"/>
      <c r="D340" s="7"/>
      <c r="E340" s="7"/>
      <c r="F340" s="7"/>
      <c r="G340" s="59">
        <f>G343+G347</f>
        <v>1364.7</v>
      </c>
      <c r="H340" s="59">
        <f>H343+H347</f>
        <v>1364.7</v>
      </c>
    </row>
    <row r="341" spans="1:8" ht="15.75" x14ac:dyDescent="0.25">
      <c r="A341" s="29" t="s">
        <v>278</v>
      </c>
      <c r="B341" s="40" t="s">
        <v>1038</v>
      </c>
      <c r="C341" s="40" t="s">
        <v>279</v>
      </c>
      <c r="D341" s="40"/>
      <c r="E341" s="40"/>
      <c r="F341" s="40"/>
      <c r="G341" s="10">
        <f t="shared" ref="G341:H341" si="46">G342</f>
        <v>1364.7</v>
      </c>
      <c r="H341" s="10">
        <f t="shared" si="46"/>
        <v>1364.7</v>
      </c>
    </row>
    <row r="342" spans="1:8" ht="15.75" x14ac:dyDescent="0.25">
      <c r="A342" s="29" t="s">
        <v>440</v>
      </c>
      <c r="B342" s="40" t="s">
        <v>1038</v>
      </c>
      <c r="C342" s="40" t="s">
        <v>279</v>
      </c>
      <c r="D342" s="40" t="s">
        <v>228</v>
      </c>
      <c r="E342" s="40"/>
      <c r="F342" s="40"/>
      <c r="G342" s="10">
        <f>G343+G347</f>
        <v>1364.7</v>
      </c>
      <c r="H342" s="10">
        <f>H343+H347</f>
        <v>1364.7</v>
      </c>
    </row>
    <row r="343" spans="1:8" ht="63" x14ac:dyDescent="0.25">
      <c r="A343" s="25" t="s">
        <v>453</v>
      </c>
      <c r="B343" s="20" t="s">
        <v>1039</v>
      </c>
      <c r="C343" s="40" t="s">
        <v>279</v>
      </c>
      <c r="D343" s="40" t="s">
        <v>228</v>
      </c>
      <c r="E343" s="40"/>
      <c r="F343" s="40"/>
      <c r="G343" s="10">
        <f>G344</f>
        <v>868</v>
      </c>
      <c r="H343" s="10">
        <f>H344</f>
        <v>868</v>
      </c>
    </row>
    <row r="344" spans="1:8" ht="47.25" x14ac:dyDescent="0.25">
      <c r="A344" s="25" t="s">
        <v>287</v>
      </c>
      <c r="B344" s="20" t="s">
        <v>1039</v>
      </c>
      <c r="C344" s="40" t="s">
        <v>279</v>
      </c>
      <c r="D344" s="40" t="s">
        <v>228</v>
      </c>
      <c r="E344" s="40" t="s">
        <v>288</v>
      </c>
      <c r="F344" s="40"/>
      <c r="G344" s="10">
        <f>G345</f>
        <v>868</v>
      </c>
      <c r="H344" s="10">
        <f>H345</f>
        <v>868</v>
      </c>
    </row>
    <row r="345" spans="1:8" ht="15.75" x14ac:dyDescent="0.25">
      <c r="A345" s="25" t="s">
        <v>289</v>
      </c>
      <c r="B345" s="20" t="s">
        <v>1039</v>
      </c>
      <c r="C345" s="40" t="s">
        <v>279</v>
      </c>
      <c r="D345" s="40" t="s">
        <v>228</v>
      </c>
      <c r="E345" s="40" t="s">
        <v>290</v>
      </c>
      <c r="F345" s="40"/>
      <c r="G345" s="10">
        <f>'пр.4.1.ведом.21-22'!G674</f>
        <v>868</v>
      </c>
      <c r="H345" s="10">
        <f>'пр.4.1.ведом.21-22'!H674</f>
        <v>868</v>
      </c>
    </row>
    <row r="346" spans="1:8" ht="31.5" x14ac:dyDescent="0.25">
      <c r="A346" s="29" t="s">
        <v>418</v>
      </c>
      <c r="B346" s="20" t="s">
        <v>1039</v>
      </c>
      <c r="C346" s="40" t="s">
        <v>279</v>
      </c>
      <c r="D346" s="40" t="s">
        <v>228</v>
      </c>
      <c r="E346" s="40" t="s">
        <v>290</v>
      </c>
      <c r="F346" s="40" t="s">
        <v>651</v>
      </c>
      <c r="G346" s="10">
        <f>G345</f>
        <v>868</v>
      </c>
      <c r="H346" s="10">
        <f>H345</f>
        <v>868</v>
      </c>
    </row>
    <row r="347" spans="1:8" ht="47.25" x14ac:dyDescent="0.25">
      <c r="A347" s="25" t="s">
        <v>473</v>
      </c>
      <c r="B347" s="20" t="s">
        <v>1040</v>
      </c>
      <c r="C347" s="40" t="s">
        <v>279</v>
      </c>
      <c r="D347" s="40" t="s">
        <v>228</v>
      </c>
      <c r="E347" s="40"/>
      <c r="F347" s="40"/>
      <c r="G347" s="10">
        <f>G348</f>
        <v>496.7</v>
      </c>
      <c r="H347" s="10">
        <f>H348</f>
        <v>496.7</v>
      </c>
    </row>
    <row r="348" spans="1:8" ht="47.25" x14ac:dyDescent="0.25">
      <c r="A348" s="289" t="s">
        <v>287</v>
      </c>
      <c r="B348" s="20" t="s">
        <v>1040</v>
      </c>
      <c r="C348" s="40" t="s">
        <v>279</v>
      </c>
      <c r="D348" s="40" t="s">
        <v>228</v>
      </c>
      <c r="E348" s="40" t="s">
        <v>288</v>
      </c>
      <c r="F348" s="40"/>
      <c r="G348" s="10">
        <f>G349</f>
        <v>496.7</v>
      </c>
      <c r="H348" s="10">
        <f>H349</f>
        <v>496.7</v>
      </c>
    </row>
    <row r="349" spans="1:8" ht="15.75" x14ac:dyDescent="0.25">
      <c r="A349" s="25" t="s">
        <v>289</v>
      </c>
      <c r="B349" s="20" t="s">
        <v>1040</v>
      </c>
      <c r="C349" s="40" t="s">
        <v>279</v>
      </c>
      <c r="D349" s="40" t="s">
        <v>228</v>
      </c>
      <c r="E349" s="40" t="s">
        <v>290</v>
      </c>
      <c r="F349" s="40"/>
      <c r="G349" s="10">
        <f>'пр.4.1.ведом.21-22'!G677</f>
        <v>496.7</v>
      </c>
      <c r="H349" s="10">
        <f>'пр.4.1.ведом.21-22'!H677</f>
        <v>496.7</v>
      </c>
    </row>
    <row r="350" spans="1:8" ht="31.5" x14ac:dyDescent="0.25">
      <c r="A350" s="29" t="s">
        <v>418</v>
      </c>
      <c r="B350" s="20" t="s">
        <v>1040</v>
      </c>
      <c r="C350" s="40" t="s">
        <v>279</v>
      </c>
      <c r="D350" s="40" t="s">
        <v>228</v>
      </c>
      <c r="E350" s="40" t="s">
        <v>290</v>
      </c>
      <c r="F350" s="40" t="s">
        <v>651</v>
      </c>
      <c r="G350" s="10">
        <f>G349</f>
        <v>496.7</v>
      </c>
      <c r="H350" s="10">
        <f>H349</f>
        <v>496.7</v>
      </c>
    </row>
    <row r="351" spans="1:8" ht="47.25" x14ac:dyDescent="0.25">
      <c r="A351" s="246" t="s">
        <v>1075</v>
      </c>
      <c r="B351" s="24" t="s">
        <v>1041</v>
      </c>
      <c r="C351" s="7"/>
      <c r="D351" s="7"/>
      <c r="E351" s="7"/>
      <c r="F351" s="7"/>
      <c r="G351" s="59">
        <f>G354+G358</f>
        <v>2634</v>
      </c>
      <c r="H351" s="59">
        <f>H354+H358</f>
        <v>2634</v>
      </c>
    </row>
    <row r="352" spans="1:8" ht="15.75" x14ac:dyDescent="0.25">
      <c r="A352" s="29" t="s">
        <v>278</v>
      </c>
      <c r="B352" s="40" t="s">
        <v>1041</v>
      </c>
      <c r="C352" s="40" t="s">
        <v>279</v>
      </c>
      <c r="D352" s="40"/>
      <c r="E352" s="40"/>
      <c r="F352" s="40"/>
      <c r="G352" s="10">
        <f t="shared" ref="G352:H352" si="47">G353</f>
        <v>2634</v>
      </c>
      <c r="H352" s="10">
        <f t="shared" si="47"/>
        <v>2634</v>
      </c>
    </row>
    <row r="353" spans="1:8" ht="15.75" x14ac:dyDescent="0.25">
      <c r="A353" s="29" t="s">
        <v>440</v>
      </c>
      <c r="B353" s="40" t="s">
        <v>1041</v>
      </c>
      <c r="C353" s="40" t="s">
        <v>279</v>
      </c>
      <c r="D353" s="40" t="s">
        <v>228</v>
      </c>
      <c r="E353" s="40"/>
      <c r="F353" s="40"/>
      <c r="G353" s="10">
        <f>G354+G358</f>
        <v>2634</v>
      </c>
      <c r="H353" s="10">
        <f>H354+H358</f>
        <v>2634</v>
      </c>
    </row>
    <row r="354" spans="1:8" ht="31.5" hidden="1" x14ac:dyDescent="0.25">
      <c r="A354" s="29" t="s">
        <v>299</v>
      </c>
      <c r="B354" s="20" t="s">
        <v>1043</v>
      </c>
      <c r="C354" s="40" t="s">
        <v>279</v>
      </c>
      <c r="D354" s="40" t="s">
        <v>228</v>
      </c>
      <c r="E354" s="40"/>
      <c r="F354" s="40"/>
      <c r="G354" s="10">
        <f t="shared" ref="G354:H355" si="48">G355</f>
        <v>0</v>
      </c>
      <c r="H354" s="10">
        <f t="shared" si="48"/>
        <v>0</v>
      </c>
    </row>
    <row r="355" spans="1:8" ht="47.25" hidden="1" x14ac:dyDescent="0.25">
      <c r="A355" s="29" t="s">
        <v>287</v>
      </c>
      <c r="B355" s="20" t="s">
        <v>1043</v>
      </c>
      <c r="C355" s="40" t="s">
        <v>279</v>
      </c>
      <c r="D355" s="40" t="s">
        <v>228</v>
      </c>
      <c r="E355" s="40" t="s">
        <v>288</v>
      </c>
      <c r="F355" s="40"/>
      <c r="G355" s="10">
        <f t="shared" si="48"/>
        <v>0</v>
      </c>
      <c r="H355" s="10">
        <f t="shared" si="48"/>
        <v>0</v>
      </c>
    </row>
    <row r="356" spans="1:8" ht="15.75" hidden="1" x14ac:dyDescent="0.25">
      <c r="A356" s="29" t="s">
        <v>289</v>
      </c>
      <c r="B356" s="20" t="s">
        <v>1043</v>
      </c>
      <c r="C356" s="40" t="s">
        <v>279</v>
      </c>
      <c r="D356" s="40" t="s">
        <v>228</v>
      </c>
      <c r="E356" s="40" t="s">
        <v>290</v>
      </c>
      <c r="F356" s="40"/>
      <c r="G356" s="10">
        <f>'пр.4.1.ведом.21-22'!G681</f>
        <v>0</v>
      </c>
      <c r="H356" s="10">
        <f>'пр.4.1.ведом.21-22'!H681</f>
        <v>0</v>
      </c>
    </row>
    <row r="357" spans="1:8" ht="31.5" hidden="1" x14ac:dyDescent="0.25">
      <c r="A357" s="29" t="s">
        <v>418</v>
      </c>
      <c r="B357" s="20" t="s">
        <v>1043</v>
      </c>
      <c r="C357" s="40" t="s">
        <v>279</v>
      </c>
      <c r="D357" s="40" t="s">
        <v>228</v>
      </c>
      <c r="E357" s="40" t="s">
        <v>290</v>
      </c>
      <c r="F357" s="40" t="s">
        <v>651</v>
      </c>
      <c r="G357" s="10">
        <f>G356</f>
        <v>0</v>
      </c>
      <c r="H357" s="10">
        <f>H356</f>
        <v>0</v>
      </c>
    </row>
    <row r="358" spans="1:8" ht="47.25" x14ac:dyDescent="0.25">
      <c r="A358" s="60" t="s">
        <v>785</v>
      </c>
      <c r="B358" s="20" t="s">
        <v>1044</v>
      </c>
      <c r="C358" s="40" t="s">
        <v>279</v>
      </c>
      <c r="D358" s="40" t="s">
        <v>228</v>
      </c>
      <c r="E358" s="40"/>
      <c r="F358" s="40"/>
      <c r="G358" s="10">
        <f t="shared" ref="G358:H359" si="49">G359</f>
        <v>2634</v>
      </c>
      <c r="H358" s="10">
        <f t="shared" si="49"/>
        <v>2634</v>
      </c>
    </row>
    <row r="359" spans="1:8" ht="47.25" x14ac:dyDescent="0.25">
      <c r="A359" s="29" t="s">
        <v>287</v>
      </c>
      <c r="B359" s="20" t="s">
        <v>1044</v>
      </c>
      <c r="C359" s="40" t="s">
        <v>279</v>
      </c>
      <c r="D359" s="40" t="s">
        <v>228</v>
      </c>
      <c r="E359" s="40" t="s">
        <v>288</v>
      </c>
      <c r="F359" s="40"/>
      <c r="G359" s="10">
        <f t="shared" si="49"/>
        <v>2634</v>
      </c>
      <c r="H359" s="10">
        <f t="shared" si="49"/>
        <v>2634</v>
      </c>
    </row>
    <row r="360" spans="1:8" ht="15.75" x14ac:dyDescent="0.25">
      <c r="A360" s="193" t="s">
        <v>289</v>
      </c>
      <c r="B360" s="20" t="s">
        <v>1044</v>
      </c>
      <c r="C360" s="40" t="s">
        <v>279</v>
      </c>
      <c r="D360" s="40" t="s">
        <v>228</v>
      </c>
      <c r="E360" s="40" t="s">
        <v>290</v>
      </c>
      <c r="F360" s="40"/>
      <c r="G360" s="10">
        <f>'пр.4.1.ведом.21-22'!G684</f>
        <v>2634</v>
      </c>
      <c r="H360" s="10">
        <f>'пр.4.1.ведом.21-22'!H684</f>
        <v>2634</v>
      </c>
    </row>
    <row r="361" spans="1:8" ht="31.5" x14ac:dyDescent="0.25">
      <c r="A361" s="29" t="s">
        <v>418</v>
      </c>
      <c r="B361" s="20" t="s">
        <v>1044</v>
      </c>
      <c r="C361" s="40" t="s">
        <v>279</v>
      </c>
      <c r="D361" s="40" t="s">
        <v>228</v>
      </c>
      <c r="E361" s="40" t="s">
        <v>290</v>
      </c>
      <c r="F361" s="40" t="s">
        <v>651</v>
      </c>
      <c r="G361" s="10">
        <f>G360</f>
        <v>2634</v>
      </c>
      <c r="H361" s="10">
        <f>H360</f>
        <v>2634</v>
      </c>
    </row>
    <row r="362" spans="1:8" ht="47.25" x14ac:dyDescent="0.25">
      <c r="A362" s="244" t="s">
        <v>1046</v>
      </c>
      <c r="B362" s="24" t="s">
        <v>1042</v>
      </c>
      <c r="C362" s="7"/>
      <c r="D362" s="7"/>
      <c r="E362" s="7"/>
      <c r="F362" s="7"/>
      <c r="G362" s="59">
        <f>G365</f>
        <v>678</v>
      </c>
      <c r="H362" s="59">
        <f>H365</f>
        <v>678</v>
      </c>
    </row>
    <row r="363" spans="1:8" ht="15.75" x14ac:dyDescent="0.25">
      <c r="A363" s="29" t="s">
        <v>278</v>
      </c>
      <c r="B363" s="40" t="s">
        <v>1042</v>
      </c>
      <c r="C363" s="40" t="s">
        <v>279</v>
      </c>
      <c r="D363" s="40"/>
      <c r="E363" s="40"/>
      <c r="F363" s="40"/>
      <c r="G363" s="10">
        <f t="shared" ref="G363:H363" si="50">G364</f>
        <v>678</v>
      </c>
      <c r="H363" s="10">
        <f t="shared" si="50"/>
        <v>678</v>
      </c>
    </row>
    <row r="364" spans="1:8" ht="15.75" x14ac:dyDescent="0.25">
      <c r="A364" s="29" t="s">
        <v>440</v>
      </c>
      <c r="B364" s="40" t="s">
        <v>1042</v>
      </c>
      <c r="C364" s="40" t="s">
        <v>279</v>
      </c>
      <c r="D364" s="40" t="s">
        <v>228</v>
      </c>
      <c r="E364" s="40"/>
      <c r="F364" s="40"/>
      <c r="G364" s="10">
        <f t="shared" ref="G364:H366" si="51">G365</f>
        <v>678</v>
      </c>
      <c r="H364" s="10">
        <f t="shared" si="51"/>
        <v>678</v>
      </c>
    </row>
    <row r="365" spans="1:8" ht="63" x14ac:dyDescent="0.25">
      <c r="A365" s="193" t="s">
        <v>872</v>
      </c>
      <c r="B365" s="20" t="s">
        <v>1045</v>
      </c>
      <c r="C365" s="40" t="s">
        <v>279</v>
      </c>
      <c r="D365" s="40" t="s">
        <v>228</v>
      </c>
      <c r="E365" s="40"/>
      <c r="F365" s="40"/>
      <c r="G365" s="10">
        <f t="shared" si="51"/>
        <v>678</v>
      </c>
      <c r="H365" s="10">
        <f t="shared" si="51"/>
        <v>678</v>
      </c>
    </row>
    <row r="366" spans="1:8" ht="47.25" x14ac:dyDescent="0.25">
      <c r="A366" s="29" t="s">
        <v>287</v>
      </c>
      <c r="B366" s="20" t="s">
        <v>1045</v>
      </c>
      <c r="C366" s="40" t="s">
        <v>279</v>
      </c>
      <c r="D366" s="40" t="s">
        <v>228</v>
      </c>
      <c r="E366" s="40" t="s">
        <v>288</v>
      </c>
      <c r="F366" s="40"/>
      <c r="G366" s="10">
        <f t="shared" si="51"/>
        <v>678</v>
      </c>
      <c r="H366" s="10">
        <f t="shared" si="51"/>
        <v>678</v>
      </c>
    </row>
    <row r="367" spans="1:8" ht="15.75" x14ac:dyDescent="0.25">
      <c r="A367" s="193" t="s">
        <v>289</v>
      </c>
      <c r="B367" s="20" t="s">
        <v>1045</v>
      </c>
      <c r="C367" s="40" t="s">
        <v>279</v>
      </c>
      <c r="D367" s="40" t="s">
        <v>228</v>
      </c>
      <c r="E367" s="40" t="s">
        <v>290</v>
      </c>
      <c r="F367" s="40"/>
      <c r="G367" s="10">
        <f>'пр.4.1.ведом.21-22'!G688</f>
        <v>678</v>
      </c>
      <c r="H367" s="10">
        <f>'пр.4.1.ведом.21-22'!H688</f>
        <v>678</v>
      </c>
    </row>
    <row r="368" spans="1:8" ht="31.5" x14ac:dyDescent="0.25">
      <c r="A368" s="29" t="s">
        <v>418</v>
      </c>
      <c r="B368" s="20" t="s">
        <v>1045</v>
      </c>
      <c r="C368" s="40" t="s">
        <v>279</v>
      </c>
      <c r="D368" s="40" t="s">
        <v>228</v>
      </c>
      <c r="E368" s="40" t="s">
        <v>290</v>
      </c>
      <c r="F368" s="40" t="s">
        <v>651</v>
      </c>
      <c r="G368" s="10">
        <f>G367</f>
        <v>678</v>
      </c>
      <c r="H368" s="10">
        <f>H367</f>
        <v>678</v>
      </c>
    </row>
    <row r="369" spans="1:8" ht="47.25" x14ac:dyDescent="0.25">
      <c r="A369" s="41" t="s">
        <v>461</v>
      </c>
      <c r="B369" s="7" t="s">
        <v>462</v>
      </c>
      <c r="C369" s="7"/>
      <c r="D369" s="7"/>
      <c r="E369" s="7"/>
      <c r="F369" s="7"/>
      <c r="G369" s="59">
        <f t="shared" ref="G369:H369" si="52">G371</f>
        <v>689</v>
      </c>
      <c r="H369" s="59">
        <f t="shared" si="52"/>
        <v>689</v>
      </c>
    </row>
    <row r="370" spans="1:8" ht="47.25" x14ac:dyDescent="0.25">
      <c r="A370" s="246" t="s">
        <v>1075</v>
      </c>
      <c r="B370" s="24" t="s">
        <v>1051</v>
      </c>
      <c r="C370" s="7"/>
      <c r="D370" s="7"/>
      <c r="E370" s="7"/>
      <c r="F370" s="7"/>
      <c r="G370" s="59">
        <f>G371</f>
        <v>689</v>
      </c>
      <c r="H370" s="59">
        <f>H371</f>
        <v>689</v>
      </c>
    </row>
    <row r="371" spans="1:8" ht="15.75" x14ac:dyDescent="0.25">
      <c r="A371" s="29" t="s">
        <v>278</v>
      </c>
      <c r="B371" s="40" t="s">
        <v>1051</v>
      </c>
      <c r="C371" s="40" t="s">
        <v>279</v>
      </c>
      <c r="D371" s="40"/>
      <c r="E371" s="40"/>
      <c r="F371" s="40"/>
      <c r="G371" s="10">
        <f t="shared" ref="G371:H371" si="53">G372</f>
        <v>689</v>
      </c>
      <c r="H371" s="10">
        <f t="shared" si="53"/>
        <v>689</v>
      </c>
    </row>
    <row r="372" spans="1:8" ht="15.75" x14ac:dyDescent="0.25">
      <c r="A372" s="29" t="s">
        <v>280</v>
      </c>
      <c r="B372" s="40" t="s">
        <v>1051</v>
      </c>
      <c r="C372" s="40" t="s">
        <v>279</v>
      </c>
      <c r="D372" s="40" t="s">
        <v>230</v>
      </c>
      <c r="E372" s="40"/>
      <c r="F372" s="40"/>
      <c r="G372" s="10">
        <f>G373</f>
        <v>689</v>
      </c>
      <c r="H372" s="10">
        <f>H373</f>
        <v>689</v>
      </c>
    </row>
    <row r="373" spans="1:8" ht="47.25" x14ac:dyDescent="0.25">
      <c r="A373" s="45" t="s">
        <v>785</v>
      </c>
      <c r="B373" s="20" t="s">
        <v>1052</v>
      </c>
      <c r="C373" s="20" t="s">
        <v>279</v>
      </c>
      <c r="D373" s="20" t="s">
        <v>230</v>
      </c>
      <c r="E373" s="20"/>
      <c r="F373" s="20"/>
      <c r="G373" s="10">
        <f t="shared" ref="G373:H374" si="54">G374</f>
        <v>689</v>
      </c>
      <c r="H373" s="10">
        <f t="shared" si="54"/>
        <v>689</v>
      </c>
    </row>
    <row r="374" spans="1:8" ht="47.25" x14ac:dyDescent="0.25">
      <c r="A374" s="29" t="s">
        <v>287</v>
      </c>
      <c r="B374" s="20" t="s">
        <v>1052</v>
      </c>
      <c r="C374" s="20" t="s">
        <v>279</v>
      </c>
      <c r="D374" s="20" t="s">
        <v>230</v>
      </c>
      <c r="E374" s="20" t="s">
        <v>288</v>
      </c>
      <c r="F374" s="20"/>
      <c r="G374" s="10">
        <f t="shared" si="54"/>
        <v>689</v>
      </c>
      <c r="H374" s="10">
        <f t="shared" si="54"/>
        <v>689</v>
      </c>
    </row>
    <row r="375" spans="1:8" ht="15.75" x14ac:dyDescent="0.25">
      <c r="A375" s="31" t="s">
        <v>289</v>
      </c>
      <c r="B375" s="20" t="s">
        <v>1052</v>
      </c>
      <c r="C375" s="20" t="s">
        <v>279</v>
      </c>
      <c r="D375" s="20" t="s">
        <v>230</v>
      </c>
      <c r="E375" s="20" t="s">
        <v>290</v>
      </c>
      <c r="F375" s="20"/>
      <c r="G375" s="10">
        <f>'пр.4.1.ведом.21-22'!G727</f>
        <v>689</v>
      </c>
      <c r="H375" s="10">
        <f>'пр.4.1.ведом.21-22'!H727</f>
        <v>689</v>
      </c>
    </row>
    <row r="376" spans="1:8" ht="31.5" x14ac:dyDescent="0.25">
      <c r="A376" s="29" t="s">
        <v>418</v>
      </c>
      <c r="B376" s="20" t="s">
        <v>1052</v>
      </c>
      <c r="C376" s="40" t="s">
        <v>279</v>
      </c>
      <c r="D376" s="40" t="s">
        <v>230</v>
      </c>
      <c r="E376" s="40" t="s">
        <v>290</v>
      </c>
      <c r="F376" s="40" t="s">
        <v>651</v>
      </c>
      <c r="G376" s="10">
        <f>G375</f>
        <v>689</v>
      </c>
      <c r="H376" s="10">
        <f>H375</f>
        <v>689</v>
      </c>
    </row>
    <row r="377" spans="1:8" ht="47.25" x14ac:dyDescent="0.25">
      <c r="A377" s="41" t="s">
        <v>482</v>
      </c>
      <c r="B377" s="7" t="s">
        <v>484</v>
      </c>
      <c r="C377" s="7"/>
      <c r="D377" s="7"/>
      <c r="E377" s="7"/>
      <c r="F377" s="7"/>
      <c r="G377" s="59">
        <f>G378</f>
        <v>5804.9</v>
      </c>
      <c r="H377" s="59">
        <f>H378</f>
        <v>5804.9</v>
      </c>
    </row>
    <row r="378" spans="1:8" ht="31.5" x14ac:dyDescent="0.25">
      <c r="A378" s="23" t="s">
        <v>1054</v>
      </c>
      <c r="B378" s="24" t="s">
        <v>1055</v>
      </c>
      <c r="C378" s="7"/>
      <c r="D378" s="7"/>
      <c r="E378" s="7"/>
      <c r="F378" s="7"/>
      <c r="G378" s="59">
        <f>G379</f>
        <v>5804.9</v>
      </c>
      <c r="H378" s="59">
        <f>H379</f>
        <v>5804.9</v>
      </c>
    </row>
    <row r="379" spans="1:8" ht="15.75" x14ac:dyDescent="0.25">
      <c r="A379" s="29" t="s">
        <v>278</v>
      </c>
      <c r="B379" s="40" t="s">
        <v>1055</v>
      </c>
      <c r="C379" s="40" t="s">
        <v>279</v>
      </c>
      <c r="D379" s="40"/>
      <c r="E379" s="40"/>
      <c r="F379" s="40"/>
      <c r="G379" s="10">
        <f t="shared" ref="G379:H382" si="55">G380</f>
        <v>5804.9</v>
      </c>
      <c r="H379" s="10">
        <f t="shared" si="55"/>
        <v>5804.9</v>
      </c>
    </row>
    <row r="380" spans="1:8" ht="19.5" customHeight="1" x14ac:dyDescent="0.25">
      <c r="A380" s="29" t="s">
        <v>481</v>
      </c>
      <c r="B380" s="40" t="s">
        <v>1055</v>
      </c>
      <c r="C380" s="40" t="s">
        <v>279</v>
      </c>
      <c r="D380" s="40" t="s">
        <v>279</v>
      </c>
      <c r="E380" s="40"/>
      <c r="F380" s="40"/>
      <c r="G380" s="10">
        <f>G381+G385</f>
        <v>5804.9</v>
      </c>
      <c r="H380" s="10">
        <f>H381+H385</f>
        <v>5804.9</v>
      </c>
    </row>
    <row r="381" spans="1:8" ht="47.25" x14ac:dyDescent="0.25">
      <c r="A381" s="31" t="s">
        <v>1235</v>
      </c>
      <c r="B381" s="20" t="s">
        <v>1056</v>
      </c>
      <c r="C381" s="40" t="s">
        <v>279</v>
      </c>
      <c r="D381" s="40" t="s">
        <v>279</v>
      </c>
      <c r="E381" s="40"/>
      <c r="F381" s="40"/>
      <c r="G381" s="10">
        <f t="shared" si="55"/>
        <v>3584</v>
      </c>
      <c r="H381" s="10">
        <f t="shared" si="55"/>
        <v>3584</v>
      </c>
    </row>
    <row r="382" spans="1:8" ht="47.25" x14ac:dyDescent="0.25">
      <c r="A382" s="25" t="s">
        <v>287</v>
      </c>
      <c r="B382" s="20" t="s">
        <v>1056</v>
      </c>
      <c r="C382" s="40" t="s">
        <v>279</v>
      </c>
      <c r="D382" s="40" t="s">
        <v>279</v>
      </c>
      <c r="E382" s="40" t="s">
        <v>288</v>
      </c>
      <c r="F382" s="40"/>
      <c r="G382" s="10">
        <f t="shared" si="55"/>
        <v>3584</v>
      </c>
      <c r="H382" s="10">
        <f t="shared" si="55"/>
        <v>3584</v>
      </c>
    </row>
    <row r="383" spans="1:8" ht="15.75" x14ac:dyDescent="0.25">
      <c r="A383" s="25" t="s">
        <v>289</v>
      </c>
      <c r="B383" s="20" t="s">
        <v>1056</v>
      </c>
      <c r="C383" s="40" t="s">
        <v>279</v>
      </c>
      <c r="D383" s="40" t="s">
        <v>279</v>
      </c>
      <c r="E383" s="40" t="s">
        <v>290</v>
      </c>
      <c r="F383" s="40"/>
      <c r="G383" s="10">
        <f>'пр.4.1.ведом.21-22'!G739</f>
        <v>3584</v>
      </c>
      <c r="H383" s="10">
        <f>'пр.4.1.ведом.21-22'!H739</f>
        <v>3584</v>
      </c>
    </row>
    <row r="384" spans="1:8" ht="31.5" x14ac:dyDescent="0.25">
      <c r="A384" s="29" t="s">
        <v>418</v>
      </c>
      <c r="B384" s="20" t="s">
        <v>1056</v>
      </c>
      <c r="C384" s="40" t="s">
        <v>279</v>
      </c>
      <c r="D384" s="40" t="s">
        <v>279</v>
      </c>
      <c r="E384" s="40" t="s">
        <v>290</v>
      </c>
      <c r="F384" s="40" t="s">
        <v>651</v>
      </c>
      <c r="G384" s="10">
        <f>G383</f>
        <v>3584</v>
      </c>
      <c r="H384" s="10">
        <f>H383</f>
        <v>3584</v>
      </c>
    </row>
    <row r="385" spans="1:8" ht="31.5" x14ac:dyDescent="0.25">
      <c r="A385" s="31" t="s">
        <v>489</v>
      </c>
      <c r="B385" s="20" t="s">
        <v>1057</v>
      </c>
      <c r="C385" s="40" t="s">
        <v>279</v>
      </c>
      <c r="D385" s="40" t="s">
        <v>279</v>
      </c>
      <c r="E385" s="40"/>
      <c r="F385" s="40"/>
      <c r="G385" s="10">
        <f>G386</f>
        <v>2220.9</v>
      </c>
      <c r="H385" s="10">
        <f>H386</f>
        <v>2220.9</v>
      </c>
    </row>
    <row r="386" spans="1:8" ht="47.25" x14ac:dyDescent="0.25">
      <c r="A386" s="25" t="s">
        <v>287</v>
      </c>
      <c r="B386" s="20" t="s">
        <v>1057</v>
      </c>
      <c r="C386" s="40" t="s">
        <v>279</v>
      </c>
      <c r="D386" s="40" t="s">
        <v>279</v>
      </c>
      <c r="E386" s="40" t="s">
        <v>288</v>
      </c>
      <c r="F386" s="40"/>
      <c r="G386" s="10">
        <f>G387</f>
        <v>2220.9</v>
      </c>
      <c r="H386" s="10">
        <f>H387</f>
        <v>2220.9</v>
      </c>
    </row>
    <row r="387" spans="1:8" ht="15.75" x14ac:dyDescent="0.25">
      <c r="A387" s="25" t="s">
        <v>289</v>
      </c>
      <c r="B387" s="20" t="s">
        <v>1057</v>
      </c>
      <c r="C387" s="40" t="s">
        <v>279</v>
      </c>
      <c r="D387" s="40" t="s">
        <v>279</v>
      </c>
      <c r="E387" s="40" t="s">
        <v>290</v>
      </c>
      <c r="F387" s="40"/>
      <c r="G387" s="10">
        <f>'пр.4.1.ведом.21-22'!G742</f>
        <v>2220.9</v>
      </c>
      <c r="H387" s="10">
        <f>'пр.4.1.ведом.21-22'!H742</f>
        <v>2220.9</v>
      </c>
    </row>
    <row r="388" spans="1:8" ht="31.5" x14ac:dyDescent="0.25">
      <c r="A388" s="29" t="s">
        <v>418</v>
      </c>
      <c r="B388" s="20" t="s">
        <v>1057</v>
      </c>
      <c r="C388" s="40" t="s">
        <v>279</v>
      </c>
      <c r="D388" s="40" t="s">
        <v>279</v>
      </c>
      <c r="E388" s="40" t="s">
        <v>290</v>
      </c>
      <c r="F388" s="40" t="s">
        <v>651</v>
      </c>
      <c r="G388" s="10">
        <f>G387</f>
        <v>2220.9</v>
      </c>
      <c r="H388" s="10">
        <f>H387</f>
        <v>2220.9</v>
      </c>
    </row>
    <row r="389" spans="1:8" ht="63" hidden="1" x14ac:dyDescent="0.25">
      <c r="A389" s="58" t="s">
        <v>813</v>
      </c>
      <c r="B389" s="210" t="s">
        <v>171</v>
      </c>
      <c r="C389" s="7"/>
      <c r="D389" s="210"/>
      <c r="E389" s="210"/>
      <c r="F389" s="210"/>
      <c r="G389" s="59">
        <f>G391</f>
        <v>0</v>
      </c>
      <c r="H389" s="59">
        <f>H391</f>
        <v>0</v>
      </c>
    </row>
    <row r="390" spans="1:8" ht="47.25" hidden="1" x14ac:dyDescent="0.25">
      <c r="A390" s="23" t="s">
        <v>1243</v>
      </c>
      <c r="B390" s="24" t="s">
        <v>1240</v>
      </c>
      <c r="C390" s="7"/>
      <c r="D390" s="7"/>
      <c r="E390" s="7"/>
      <c r="F390" s="7"/>
      <c r="G390" s="59">
        <f>G391+G393</f>
        <v>0</v>
      </c>
      <c r="H390" s="59">
        <f>H391+H393</f>
        <v>0</v>
      </c>
    </row>
    <row r="391" spans="1:8" ht="15.75" hidden="1" x14ac:dyDescent="0.25">
      <c r="A391" s="45" t="s">
        <v>247</v>
      </c>
      <c r="B391" s="5" t="s">
        <v>1240</v>
      </c>
      <c r="C391" s="40" t="s">
        <v>165</v>
      </c>
      <c r="D391" s="40"/>
      <c r="E391" s="40"/>
      <c r="F391" s="40"/>
      <c r="G391" s="10">
        <f>G392</f>
        <v>0</v>
      </c>
      <c r="H391" s="10">
        <f>H392</f>
        <v>0</v>
      </c>
    </row>
    <row r="392" spans="1:8" ht="15.75" hidden="1" x14ac:dyDescent="0.25">
      <c r="A392" s="45" t="s">
        <v>796</v>
      </c>
      <c r="B392" s="5" t="s">
        <v>1240</v>
      </c>
      <c r="C392" s="40" t="s">
        <v>165</v>
      </c>
      <c r="D392" s="40" t="s">
        <v>253</v>
      </c>
      <c r="E392" s="40"/>
      <c r="F392" s="40"/>
      <c r="G392" s="10">
        <f>G393+G397</f>
        <v>0</v>
      </c>
      <c r="H392" s="10">
        <f>H393+H397</f>
        <v>0</v>
      </c>
    </row>
    <row r="393" spans="1:8" ht="31.5" hidden="1" x14ac:dyDescent="0.25">
      <c r="A393" s="25" t="s">
        <v>1244</v>
      </c>
      <c r="B393" s="20" t="s">
        <v>1241</v>
      </c>
      <c r="C393" s="40" t="s">
        <v>165</v>
      </c>
      <c r="D393" s="40" t="s">
        <v>253</v>
      </c>
      <c r="E393" s="40"/>
      <c r="F393" s="40"/>
      <c r="G393" s="10">
        <f>G394</f>
        <v>0</v>
      </c>
      <c r="H393" s="10">
        <f>H394</f>
        <v>0</v>
      </c>
    </row>
    <row r="394" spans="1:8" ht="15.75" hidden="1" x14ac:dyDescent="0.25">
      <c r="A394" s="25" t="s">
        <v>150</v>
      </c>
      <c r="B394" s="20" t="s">
        <v>1241</v>
      </c>
      <c r="C394" s="40" t="s">
        <v>165</v>
      </c>
      <c r="D394" s="40" t="s">
        <v>253</v>
      </c>
      <c r="E394" s="40" t="s">
        <v>147</v>
      </c>
      <c r="F394" s="40"/>
      <c r="G394" s="10">
        <f>G395</f>
        <v>0</v>
      </c>
      <c r="H394" s="10">
        <f>H395</f>
        <v>0</v>
      </c>
    </row>
    <row r="395" spans="1:8" ht="63" hidden="1" x14ac:dyDescent="0.25">
      <c r="A395" s="25" t="s">
        <v>199</v>
      </c>
      <c r="B395" s="20" t="s">
        <v>1241</v>
      </c>
      <c r="C395" s="40" t="s">
        <v>165</v>
      </c>
      <c r="D395" s="40" t="s">
        <v>253</v>
      </c>
      <c r="E395" s="40" t="s">
        <v>149</v>
      </c>
      <c r="F395" s="40"/>
      <c r="G395" s="10">
        <f>'пр.4.1.ведом.21-22'!G186</f>
        <v>0</v>
      </c>
      <c r="H395" s="10">
        <f>'пр.4.1.ведом.21-22'!H186</f>
        <v>0</v>
      </c>
    </row>
    <row r="396" spans="1:8" ht="31.5" hidden="1" x14ac:dyDescent="0.25">
      <c r="A396" s="29" t="s">
        <v>163</v>
      </c>
      <c r="B396" s="20" t="s">
        <v>1241</v>
      </c>
      <c r="C396" s="40" t="s">
        <v>165</v>
      </c>
      <c r="D396" s="40" t="s">
        <v>253</v>
      </c>
      <c r="E396" s="40" t="s">
        <v>149</v>
      </c>
      <c r="F396" s="40" t="s">
        <v>656</v>
      </c>
      <c r="G396" s="10">
        <f>G395</f>
        <v>0</v>
      </c>
      <c r="H396" s="10">
        <f>H395</f>
        <v>0</v>
      </c>
    </row>
    <row r="397" spans="1:8" ht="47.25" hidden="1" x14ac:dyDescent="0.25">
      <c r="A397" s="25" t="s">
        <v>254</v>
      </c>
      <c r="B397" s="20" t="s">
        <v>1242</v>
      </c>
      <c r="C397" s="40" t="s">
        <v>165</v>
      </c>
      <c r="D397" s="40" t="s">
        <v>253</v>
      </c>
      <c r="E397" s="40"/>
      <c r="F397" s="40"/>
      <c r="G397" s="10">
        <f>G398</f>
        <v>0</v>
      </c>
      <c r="H397" s="10">
        <f>H398</f>
        <v>0</v>
      </c>
    </row>
    <row r="398" spans="1:8" ht="15.75" hidden="1" x14ac:dyDescent="0.25">
      <c r="A398" s="25" t="s">
        <v>150</v>
      </c>
      <c r="B398" s="20" t="s">
        <v>1242</v>
      </c>
      <c r="C398" s="40" t="s">
        <v>165</v>
      </c>
      <c r="D398" s="40" t="s">
        <v>253</v>
      </c>
      <c r="E398" s="40" t="s">
        <v>160</v>
      </c>
      <c r="F398" s="40"/>
      <c r="G398" s="10">
        <f>G399</f>
        <v>0</v>
      </c>
      <c r="H398" s="10">
        <f>H399</f>
        <v>0</v>
      </c>
    </row>
    <row r="399" spans="1:8" ht="63" hidden="1" x14ac:dyDescent="0.25">
      <c r="A399" s="25" t="s">
        <v>199</v>
      </c>
      <c r="B399" s="20" t="s">
        <v>1242</v>
      </c>
      <c r="C399" s="40" t="s">
        <v>165</v>
      </c>
      <c r="D399" s="40" t="s">
        <v>253</v>
      </c>
      <c r="E399" s="40" t="s">
        <v>175</v>
      </c>
      <c r="F399" s="40"/>
      <c r="G399" s="10">
        <f>'пр.4.1.ведом.21-22'!G189</f>
        <v>0</v>
      </c>
      <c r="H399" s="10">
        <f>'пр.4.1.ведом.21-22'!H189</f>
        <v>0</v>
      </c>
    </row>
    <row r="400" spans="1:8" ht="31.5" hidden="1" x14ac:dyDescent="0.25">
      <c r="A400" s="29" t="s">
        <v>163</v>
      </c>
      <c r="B400" s="20" t="s">
        <v>1242</v>
      </c>
      <c r="C400" s="40" t="s">
        <v>165</v>
      </c>
      <c r="D400" s="40" t="s">
        <v>253</v>
      </c>
      <c r="E400" s="40" t="s">
        <v>175</v>
      </c>
      <c r="F400" s="40" t="s">
        <v>656</v>
      </c>
      <c r="G400" s="10">
        <f>G399</f>
        <v>0</v>
      </c>
      <c r="H400" s="10">
        <f>H399</f>
        <v>0</v>
      </c>
    </row>
    <row r="401" spans="1:8" ht="47.25" x14ac:dyDescent="0.25">
      <c r="A401" s="41" t="s">
        <v>817</v>
      </c>
      <c r="B401" s="210" t="s">
        <v>177</v>
      </c>
      <c r="C401" s="7"/>
      <c r="D401" s="7"/>
      <c r="E401" s="7"/>
      <c r="F401" s="7"/>
      <c r="G401" s="59">
        <f>G402+G409+G428</f>
        <v>549</v>
      </c>
      <c r="H401" s="59">
        <f>H402+H409+H428</f>
        <v>549</v>
      </c>
    </row>
    <row r="402" spans="1:8" ht="78.75" x14ac:dyDescent="0.25">
      <c r="A402" s="248" t="s">
        <v>1153</v>
      </c>
      <c r="B402" s="7" t="s">
        <v>893</v>
      </c>
      <c r="C402" s="7"/>
      <c r="D402" s="8"/>
      <c r="E402" s="210"/>
      <c r="F402" s="7"/>
      <c r="G402" s="59">
        <f>G404</f>
        <v>446</v>
      </c>
      <c r="H402" s="59">
        <f>H404</f>
        <v>446</v>
      </c>
    </row>
    <row r="403" spans="1:8" ht="15.75" x14ac:dyDescent="0.25">
      <c r="A403" s="45" t="s">
        <v>132</v>
      </c>
      <c r="B403" s="5" t="s">
        <v>893</v>
      </c>
      <c r="C403" s="40" t="s">
        <v>133</v>
      </c>
      <c r="D403" s="5"/>
      <c r="E403" s="5"/>
      <c r="F403" s="40"/>
      <c r="G403" s="10">
        <f t="shared" ref="G403:H403" si="56">G404</f>
        <v>446</v>
      </c>
      <c r="H403" s="10">
        <f t="shared" si="56"/>
        <v>446</v>
      </c>
    </row>
    <row r="404" spans="1:8" ht="78.75" x14ac:dyDescent="0.25">
      <c r="A404" s="29" t="s">
        <v>164</v>
      </c>
      <c r="B404" s="5" t="s">
        <v>893</v>
      </c>
      <c r="C404" s="40" t="s">
        <v>133</v>
      </c>
      <c r="D404" s="9" t="s">
        <v>165</v>
      </c>
      <c r="E404" s="5"/>
      <c r="F404" s="40"/>
      <c r="G404" s="10">
        <f>G405</f>
        <v>446</v>
      </c>
      <c r="H404" s="10">
        <f>H405</f>
        <v>446</v>
      </c>
    </row>
    <row r="405" spans="1:8" ht="31.5" x14ac:dyDescent="0.25">
      <c r="A405" s="29" t="s">
        <v>178</v>
      </c>
      <c r="B405" s="40" t="s">
        <v>885</v>
      </c>
      <c r="C405" s="40" t="s">
        <v>133</v>
      </c>
      <c r="D405" s="9" t="s">
        <v>165</v>
      </c>
      <c r="E405" s="40"/>
      <c r="F405" s="40"/>
      <c r="G405" s="10">
        <f t="shared" ref="G405:H406" si="57">G406</f>
        <v>446</v>
      </c>
      <c r="H405" s="10">
        <f t="shared" si="57"/>
        <v>446</v>
      </c>
    </row>
    <row r="406" spans="1:8" ht="31.5" x14ac:dyDescent="0.25">
      <c r="A406" s="29" t="s">
        <v>146</v>
      </c>
      <c r="B406" s="40" t="s">
        <v>885</v>
      </c>
      <c r="C406" s="40" t="s">
        <v>133</v>
      </c>
      <c r="D406" s="9" t="s">
        <v>165</v>
      </c>
      <c r="E406" s="40" t="s">
        <v>147</v>
      </c>
      <c r="F406" s="40"/>
      <c r="G406" s="10">
        <f t="shared" si="57"/>
        <v>446</v>
      </c>
      <c r="H406" s="10">
        <f t="shared" si="57"/>
        <v>446</v>
      </c>
    </row>
    <row r="407" spans="1:8" ht="47.25" x14ac:dyDescent="0.25">
      <c r="A407" s="29" t="s">
        <v>148</v>
      </c>
      <c r="B407" s="40" t="s">
        <v>885</v>
      </c>
      <c r="C407" s="40" t="s">
        <v>133</v>
      </c>
      <c r="D407" s="9" t="s">
        <v>165</v>
      </c>
      <c r="E407" s="40" t="s">
        <v>149</v>
      </c>
      <c r="F407" s="40"/>
      <c r="G407" s="10">
        <f>'пр.4.1.ведом.21-22'!G73</f>
        <v>446</v>
      </c>
      <c r="H407" s="10">
        <f>'пр.4.1.ведом.21-22'!H73</f>
        <v>446</v>
      </c>
    </row>
    <row r="408" spans="1:8" ht="31.5" x14ac:dyDescent="0.25">
      <c r="A408" s="29" t="s">
        <v>163</v>
      </c>
      <c r="B408" s="40" t="s">
        <v>885</v>
      </c>
      <c r="C408" s="40" t="s">
        <v>133</v>
      </c>
      <c r="D408" s="9" t="s">
        <v>165</v>
      </c>
      <c r="E408" s="40" t="s">
        <v>149</v>
      </c>
      <c r="F408" s="40" t="s">
        <v>656</v>
      </c>
      <c r="G408" s="10">
        <f>G407</f>
        <v>446</v>
      </c>
      <c r="H408" s="10">
        <f>H407</f>
        <v>446</v>
      </c>
    </row>
    <row r="409" spans="1:8" ht="78.75" x14ac:dyDescent="0.25">
      <c r="A409" s="247" t="s">
        <v>887</v>
      </c>
      <c r="B409" s="7" t="s">
        <v>894</v>
      </c>
      <c r="C409" s="7"/>
      <c r="D409" s="8"/>
      <c r="E409" s="210"/>
      <c r="F409" s="7"/>
      <c r="G409" s="59">
        <f>G410</f>
        <v>102.5</v>
      </c>
      <c r="H409" s="59">
        <f>H410</f>
        <v>102.5</v>
      </c>
    </row>
    <row r="410" spans="1:8" ht="15.75" x14ac:dyDescent="0.25">
      <c r="A410" s="45" t="s">
        <v>132</v>
      </c>
      <c r="B410" s="5" t="s">
        <v>894</v>
      </c>
      <c r="C410" s="40" t="s">
        <v>133</v>
      </c>
      <c r="D410" s="5"/>
      <c r="E410" s="5"/>
      <c r="F410" s="40"/>
      <c r="G410" s="10">
        <f>G411+G420</f>
        <v>102.5</v>
      </c>
      <c r="H410" s="10">
        <f>H411+H420</f>
        <v>102.5</v>
      </c>
    </row>
    <row r="411" spans="1:8" ht="47.25" x14ac:dyDescent="0.25">
      <c r="A411" s="29" t="s">
        <v>590</v>
      </c>
      <c r="B411" s="5" t="s">
        <v>894</v>
      </c>
      <c r="C411" s="40" t="s">
        <v>133</v>
      </c>
      <c r="D411" s="9" t="s">
        <v>228</v>
      </c>
      <c r="E411" s="5"/>
      <c r="F411" s="40"/>
      <c r="G411" s="10">
        <f>G412+G416</f>
        <v>25.5</v>
      </c>
      <c r="H411" s="10">
        <f>H412+H416</f>
        <v>25.5</v>
      </c>
    </row>
    <row r="412" spans="1:8" ht="63" x14ac:dyDescent="0.25">
      <c r="A412" s="31" t="s">
        <v>710</v>
      </c>
      <c r="B412" s="40" t="s">
        <v>1140</v>
      </c>
      <c r="C412" s="40" t="s">
        <v>133</v>
      </c>
      <c r="D412" s="9" t="s">
        <v>228</v>
      </c>
      <c r="E412" s="5"/>
      <c r="F412" s="40"/>
      <c r="G412" s="10">
        <f>G413</f>
        <v>0.5</v>
      </c>
      <c r="H412" s="10">
        <f>H413</f>
        <v>0.5</v>
      </c>
    </row>
    <row r="413" spans="1:8" ht="31.5" x14ac:dyDescent="0.25">
      <c r="A413" s="25" t="s">
        <v>146</v>
      </c>
      <c r="B413" s="40" t="s">
        <v>1140</v>
      </c>
      <c r="C413" s="40" t="s">
        <v>133</v>
      </c>
      <c r="D413" s="9" t="s">
        <v>228</v>
      </c>
      <c r="E413" s="5">
        <v>200</v>
      </c>
      <c r="F413" s="40"/>
      <c r="G413" s="10">
        <f>G414</f>
        <v>0.5</v>
      </c>
      <c r="H413" s="10">
        <f>H414</f>
        <v>0.5</v>
      </c>
    </row>
    <row r="414" spans="1:8" ht="47.25" x14ac:dyDescent="0.25">
      <c r="A414" s="25" t="s">
        <v>148</v>
      </c>
      <c r="B414" s="40" t="s">
        <v>711</v>
      </c>
      <c r="C414" s="40" t="s">
        <v>133</v>
      </c>
      <c r="D414" s="9" t="s">
        <v>228</v>
      </c>
      <c r="E414" s="5">
        <v>240</v>
      </c>
      <c r="F414" s="40"/>
      <c r="G414" s="10">
        <f>'пр.4.1.ведом.21-22'!G1076</f>
        <v>0.5</v>
      </c>
      <c r="H414" s="10">
        <f>'пр.4.1.ведом.21-22'!H1076</f>
        <v>0.5</v>
      </c>
    </row>
    <row r="415" spans="1:8" ht="31.5" x14ac:dyDescent="0.25">
      <c r="A415" s="45" t="s">
        <v>589</v>
      </c>
      <c r="B415" s="40" t="s">
        <v>711</v>
      </c>
      <c r="C415" s="40" t="s">
        <v>133</v>
      </c>
      <c r="D415" s="9" t="s">
        <v>228</v>
      </c>
      <c r="E415" s="5">
        <v>240</v>
      </c>
      <c r="F415" s="40" t="s">
        <v>812</v>
      </c>
      <c r="G415" s="10">
        <f>G414</f>
        <v>0.5</v>
      </c>
      <c r="H415" s="10">
        <f>H414</f>
        <v>0.5</v>
      </c>
    </row>
    <row r="416" spans="1:8" ht="63" x14ac:dyDescent="0.25">
      <c r="A416" s="31" t="s">
        <v>710</v>
      </c>
      <c r="B416" s="20" t="s">
        <v>1139</v>
      </c>
      <c r="C416" s="40" t="s">
        <v>133</v>
      </c>
      <c r="D416" s="9" t="s">
        <v>228</v>
      </c>
      <c r="E416" s="5"/>
      <c r="F416" s="40"/>
      <c r="G416" s="10">
        <f>G417</f>
        <v>25</v>
      </c>
      <c r="H416" s="10">
        <f>H417</f>
        <v>25</v>
      </c>
    </row>
    <row r="417" spans="1:8" ht="31.5" x14ac:dyDescent="0.25">
      <c r="A417" s="25" t="s">
        <v>146</v>
      </c>
      <c r="B417" s="20" t="s">
        <v>1139</v>
      </c>
      <c r="C417" s="40" t="s">
        <v>133</v>
      </c>
      <c r="D417" s="9" t="s">
        <v>228</v>
      </c>
      <c r="E417" s="5">
        <v>200</v>
      </c>
      <c r="F417" s="40"/>
      <c r="G417" s="10">
        <f>G418</f>
        <v>25</v>
      </c>
      <c r="H417" s="10">
        <f>H418</f>
        <v>25</v>
      </c>
    </row>
    <row r="418" spans="1:8" ht="47.25" x14ac:dyDescent="0.25">
      <c r="A418" s="25" t="s">
        <v>148</v>
      </c>
      <c r="B418" s="20" t="s">
        <v>1139</v>
      </c>
      <c r="C418" s="40" t="s">
        <v>133</v>
      </c>
      <c r="D418" s="9" t="s">
        <v>228</v>
      </c>
      <c r="E418" s="5">
        <v>240</v>
      </c>
      <c r="F418" s="40"/>
      <c r="G418" s="10">
        <f>'пр.4.1.ведом.21-22'!G1079</f>
        <v>25</v>
      </c>
      <c r="H418" s="10">
        <f>'пр.4.1.ведом.21-22'!H1079</f>
        <v>25</v>
      </c>
    </row>
    <row r="419" spans="1:8" ht="31.5" x14ac:dyDescent="0.25">
      <c r="A419" s="45" t="s">
        <v>589</v>
      </c>
      <c r="B419" s="20" t="s">
        <v>1139</v>
      </c>
      <c r="C419" s="40" t="s">
        <v>133</v>
      </c>
      <c r="D419" s="9" t="s">
        <v>228</v>
      </c>
      <c r="E419" s="5">
        <v>240</v>
      </c>
      <c r="F419" s="40" t="s">
        <v>812</v>
      </c>
      <c r="G419" s="10">
        <f>G418</f>
        <v>25</v>
      </c>
      <c r="H419" s="10">
        <f>H418</f>
        <v>25</v>
      </c>
    </row>
    <row r="420" spans="1:8" ht="78.75" x14ac:dyDescent="0.25">
      <c r="A420" s="29" t="s">
        <v>164</v>
      </c>
      <c r="B420" s="5" t="s">
        <v>894</v>
      </c>
      <c r="C420" s="40" t="s">
        <v>133</v>
      </c>
      <c r="D420" s="9" t="s">
        <v>165</v>
      </c>
      <c r="E420" s="5"/>
      <c r="F420" s="40"/>
      <c r="G420" s="10">
        <f>G421</f>
        <v>77</v>
      </c>
      <c r="H420" s="10">
        <f>H421</f>
        <v>77</v>
      </c>
    </row>
    <row r="421" spans="1:8" ht="63" x14ac:dyDescent="0.25">
      <c r="A421" s="178" t="s">
        <v>180</v>
      </c>
      <c r="B421" s="40" t="s">
        <v>886</v>
      </c>
      <c r="C421" s="40" t="s">
        <v>133</v>
      </c>
      <c r="D421" s="9" t="s">
        <v>165</v>
      </c>
      <c r="E421" s="40"/>
      <c r="F421" s="40"/>
      <c r="G421" s="10">
        <f>G422+G425</f>
        <v>77</v>
      </c>
      <c r="H421" s="10">
        <f>H422+H425</f>
        <v>77</v>
      </c>
    </row>
    <row r="422" spans="1:8" ht="94.5" x14ac:dyDescent="0.25">
      <c r="A422" s="25" t="s">
        <v>142</v>
      </c>
      <c r="B422" s="40" t="s">
        <v>886</v>
      </c>
      <c r="C422" s="40" t="s">
        <v>133</v>
      </c>
      <c r="D422" s="9" t="s">
        <v>165</v>
      </c>
      <c r="E422" s="40" t="s">
        <v>143</v>
      </c>
      <c r="F422" s="40"/>
      <c r="G422" s="10">
        <f t="shared" ref="G422:H422" si="58">G423</f>
        <v>37</v>
      </c>
      <c r="H422" s="10">
        <f t="shared" si="58"/>
        <v>37</v>
      </c>
    </row>
    <row r="423" spans="1:8" ht="31.5" x14ac:dyDescent="0.25">
      <c r="A423" s="25" t="s">
        <v>144</v>
      </c>
      <c r="B423" s="40" t="s">
        <v>886</v>
      </c>
      <c r="C423" s="40" t="s">
        <v>133</v>
      </c>
      <c r="D423" s="9" t="s">
        <v>165</v>
      </c>
      <c r="E423" s="40" t="s">
        <v>145</v>
      </c>
      <c r="F423" s="40"/>
      <c r="G423" s="10">
        <f>'пр.4.1.ведом.21-22'!G77</f>
        <v>37</v>
      </c>
      <c r="H423" s="10">
        <f>'пр.4.1.ведом.21-22'!H77</f>
        <v>37</v>
      </c>
    </row>
    <row r="424" spans="1:8" ht="31.5" x14ac:dyDescent="0.25">
      <c r="A424" s="29" t="s">
        <v>163</v>
      </c>
      <c r="B424" s="40" t="s">
        <v>886</v>
      </c>
      <c r="C424" s="40" t="s">
        <v>133</v>
      </c>
      <c r="D424" s="9" t="s">
        <v>165</v>
      </c>
      <c r="E424" s="40" t="s">
        <v>145</v>
      </c>
      <c r="F424" s="40" t="s">
        <v>656</v>
      </c>
      <c r="G424" s="10">
        <f>G423</f>
        <v>37</v>
      </c>
      <c r="H424" s="10">
        <f>H423</f>
        <v>37</v>
      </c>
    </row>
    <row r="425" spans="1:8" ht="31.5" x14ac:dyDescent="0.25">
      <c r="A425" s="25" t="s">
        <v>146</v>
      </c>
      <c r="B425" s="40" t="s">
        <v>886</v>
      </c>
      <c r="C425" s="40" t="s">
        <v>133</v>
      </c>
      <c r="D425" s="9" t="s">
        <v>165</v>
      </c>
      <c r="E425" s="40" t="s">
        <v>147</v>
      </c>
      <c r="F425" s="40"/>
      <c r="G425" s="10">
        <f t="shared" ref="G425:H425" si="59">G426</f>
        <v>40</v>
      </c>
      <c r="H425" s="10">
        <f t="shared" si="59"/>
        <v>40</v>
      </c>
    </row>
    <row r="426" spans="1:8" ht="47.25" x14ac:dyDescent="0.25">
      <c r="A426" s="25" t="s">
        <v>148</v>
      </c>
      <c r="B426" s="40" t="s">
        <v>886</v>
      </c>
      <c r="C426" s="40" t="s">
        <v>133</v>
      </c>
      <c r="D426" s="9" t="s">
        <v>165</v>
      </c>
      <c r="E426" s="40" t="s">
        <v>149</v>
      </c>
      <c r="F426" s="40"/>
      <c r="G426" s="10">
        <f>'пр.4.1.ведом.21-22'!G79</f>
        <v>40</v>
      </c>
      <c r="H426" s="10">
        <f>'пр.4.1.ведом.21-22'!H79</f>
        <v>40</v>
      </c>
    </row>
    <row r="427" spans="1:8" ht="31.5" x14ac:dyDescent="0.25">
      <c r="A427" s="29" t="s">
        <v>163</v>
      </c>
      <c r="B427" s="40" t="s">
        <v>886</v>
      </c>
      <c r="C427" s="40" t="s">
        <v>133</v>
      </c>
      <c r="D427" s="9" t="s">
        <v>165</v>
      </c>
      <c r="E427" s="40" t="s">
        <v>149</v>
      </c>
      <c r="F427" s="40" t="s">
        <v>656</v>
      </c>
      <c r="G427" s="10">
        <f>G426</f>
        <v>40</v>
      </c>
      <c r="H427" s="10">
        <f>H426</f>
        <v>40</v>
      </c>
    </row>
    <row r="428" spans="1:8" ht="78.75" x14ac:dyDescent="0.25">
      <c r="A428" s="249" t="s">
        <v>1154</v>
      </c>
      <c r="B428" s="7" t="s">
        <v>895</v>
      </c>
      <c r="C428" s="7"/>
      <c r="D428" s="8"/>
      <c r="E428" s="7"/>
      <c r="F428" s="7"/>
      <c r="G428" s="59">
        <f>G429</f>
        <v>0.5</v>
      </c>
      <c r="H428" s="59">
        <f>H429</f>
        <v>0.5</v>
      </c>
    </row>
    <row r="429" spans="1:8" s="221" customFormat="1" ht="15.75" x14ac:dyDescent="0.25">
      <c r="A429" s="325" t="s">
        <v>132</v>
      </c>
      <c r="B429" s="40" t="s">
        <v>895</v>
      </c>
      <c r="C429" s="40" t="s">
        <v>133</v>
      </c>
      <c r="D429" s="9"/>
      <c r="E429" s="7"/>
      <c r="F429" s="7"/>
      <c r="G429" s="10">
        <f>G430</f>
        <v>0.5</v>
      </c>
      <c r="H429" s="10">
        <f>H430</f>
        <v>0.5</v>
      </c>
    </row>
    <row r="430" spans="1:8" s="221" customFormat="1" ht="78.75" x14ac:dyDescent="0.25">
      <c r="A430" s="29" t="s">
        <v>164</v>
      </c>
      <c r="B430" s="40" t="s">
        <v>895</v>
      </c>
      <c r="C430" s="40" t="s">
        <v>133</v>
      </c>
      <c r="D430" s="9" t="s">
        <v>165</v>
      </c>
      <c r="E430" s="7"/>
      <c r="F430" s="7"/>
      <c r="G430" s="10">
        <f>G431+G435</f>
        <v>0.5</v>
      </c>
      <c r="H430" s="10">
        <f>H431+H435</f>
        <v>0.5</v>
      </c>
    </row>
    <row r="431" spans="1:8" ht="63" x14ac:dyDescent="0.25">
      <c r="A431" s="33" t="s">
        <v>206</v>
      </c>
      <c r="B431" s="40" t="s">
        <v>888</v>
      </c>
      <c r="C431" s="40" t="s">
        <v>133</v>
      </c>
      <c r="D431" s="9" t="s">
        <v>165</v>
      </c>
      <c r="E431" s="40"/>
      <c r="F431" s="40"/>
      <c r="G431" s="10">
        <f>G432</f>
        <v>0.5</v>
      </c>
      <c r="H431" s="10">
        <f>H432</f>
        <v>0.5</v>
      </c>
    </row>
    <row r="432" spans="1:8" ht="31.5" x14ac:dyDescent="0.25">
      <c r="A432" s="25" t="s">
        <v>146</v>
      </c>
      <c r="B432" s="40" t="s">
        <v>888</v>
      </c>
      <c r="C432" s="40" t="s">
        <v>133</v>
      </c>
      <c r="D432" s="9" t="s">
        <v>165</v>
      </c>
      <c r="E432" s="40" t="s">
        <v>147</v>
      </c>
      <c r="F432" s="40"/>
      <c r="G432" s="10">
        <f>G433</f>
        <v>0.5</v>
      </c>
      <c r="H432" s="10">
        <f>H433</f>
        <v>0.5</v>
      </c>
    </row>
    <row r="433" spans="1:8" ht="47.25" x14ac:dyDescent="0.25">
      <c r="A433" s="25" t="s">
        <v>148</v>
      </c>
      <c r="B433" s="40" t="s">
        <v>888</v>
      </c>
      <c r="C433" s="40" t="s">
        <v>133</v>
      </c>
      <c r="D433" s="9" t="s">
        <v>165</v>
      </c>
      <c r="E433" s="40" t="s">
        <v>149</v>
      </c>
      <c r="F433" s="40"/>
      <c r="G433" s="10">
        <f>'пр.4.1.ведом.21-22'!G83</f>
        <v>0.5</v>
      </c>
      <c r="H433" s="10">
        <f>'пр.4.1.ведом.21-22'!H83</f>
        <v>0.5</v>
      </c>
    </row>
    <row r="434" spans="1:8" ht="31.5" x14ac:dyDescent="0.25">
      <c r="A434" s="29" t="s">
        <v>163</v>
      </c>
      <c r="B434" s="40" t="s">
        <v>888</v>
      </c>
      <c r="C434" s="40" t="s">
        <v>133</v>
      </c>
      <c r="D434" s="9" t="s">
        <v>165</v>
      </c>
      <c r="E434" s="40" t="s">
        <v>149</v>
      </c>
      <c r="F434" s="40" t="s">
        <v>656</v>
      </c>
      <c r="G434" s="10">
        <f>G433</f>
        <v>0.5</v>
      </c>
      <c r="H434" s="10">
        <f>H433</f>
        <v>0.5</v>
      </c>
    </row>
    <row r="435" spans="1:8" ht="63" hidden="1" x14ac:dyDescent="0.25">
      <c r="A435" s="33" t="s">
        <v>206</v>
      </c>
      <c r="B435" s="20" t="s">
        <v>889</v>
      </c>
      <c r="C435" s="40" t="s">
        <v>133</v>
      </c>
      <c r="D435" s="9" t="s">
        <v>165</v>
      </c>
      <c r="E435" s="40"/>
      <c r="F435" s="40"/>
      <c r="G435" s="10">
        <f>G436</f>
        <v>0</v>
      </c>
      <c r="H435" s="10">
        <f>H436</f>
        <v>0</v>
      </c>
    </row>
    <row r="436" spans="1:8" ht="31.5" hidden="1" x14ac:dyDescent="0.25">
      <c r="A436" s="25" t="s">
        <v>146</v>
      </c>
      <c r="B436" s="20" t="s">
        <v>889</v>
      </c>
      <c r="C436" s="40" t="s">
        <v>133</v>
      </c>
      <c r="D436" s="9" t="s">
        <v>165</v>
      </c>
      <c r="E436" s="40" t="s">
        <v>147</v>
      </c>
      <c r="F436" s="40"/>
      <c r="G436" s="10">
        <f>G437</f>
        <v>0</v>
      </c>
      <c r="H436" s="10">
        <f>H437</f>
        <v>0</v>
      </c>
    </row>
    <row r="437" spans="1:8" ht="47.25" hidden="1" x14ac:dyDescent="0.25">
      <c r="A437" s="25" t="s">
        <v>148</v>
      </c>
      <c r="B437" s="20" t="s">
        <v>889</v>
      </c>
      <c r="C437" s="40" t="s">
        <v>133</v>
      </c>
      <c r="D437" s="9" t="s">
        <v>165</v>
      </c>
      <c r="E437" s="40" t="s">
        <v>149</v>
      </c>
      <c r="F437" s="40"/>
      <c r="G437" s="10">
        <f>'пр.4.1.ведом.21-22'!G86</f>
        <v>0</v>
      </c>
      <c r="H437" s="10">
        <f>'пр.4.1.ведом.21-22'!H86</f>
        <v>0</v>
      </c>
    </row>
    <row r="438" spans="1:8" ht="31.5" hidden="1" x14ac:dyDescent="0.25">
      <c r="A438" s="29" t="s">
        <v>163</v>
      </c>
      <c r="B438" s="20" t="s">
        <v>889</v>
      </c>
      <c r="C438" s="40" t="s">
        <v>133</v>
      </c>
      <c r="D438" s="9" t="s">
        <v>165</v>
      </c>
      <c r="E438" s="40" t="s">
        <v>149</v>
      </c>
      <c r="F438" s="40" t="s">
        <v>656</v>
      </c>
      <c r="G438" s="10">
        <f>G437</f>
        <v>0</v>
      </c>
      <c r="H438" s="10">
        <f>H437</f>
        <v>0</v>
      </c>
    </row>
    <row r="439" spans="1:8" ht="78.75" x14ac:dyDescent="0.25">
      <c r="A439" s="41" t="s">
        <v>268</v>
      </c>
      <c r="B439" s="210" t="s">
        <v>269</v>
      </c>
      <c r="C439" s="40"/>
      <c r="D439" s="40"/>
      <c r="E439" s="40"/>
      <c r="F439" s="40"/>
      <c r="G439" s="59">
        <f t="shared" ref="G439:H439" si="60">G441</f>
        <v>5010</v>
      </c>
      <c r="H439" s="59">
        <f t="shared" si="60"/>
        <v>10</v>
      </c>
    </row>
    <row r="440" spans="1:8" ht="47.25" x14ac:dyDescent="0.25">
      <c r="A440" s="23" t="s">
        <v>929</v>
      </c>
      <c r="B440" s="24" t="s">
        <v>927</v>
      </c>
      <c r="C440" s="40"/>
      <c r="D440" s="40"/>
      <c r="E440" s="40"/>
      <c r="F440" s="40"/>
      <c r="G440" s="59">
        <f t="shared" ref="G440:H441" si="61">G441</f>
        <v>5010</v>
      </c>
      <c r="H440" s="59">
        <f t="shared" si="61"/>
        <v>10</v>
      </c>
    </row>
    <row r="441" spans="1:8" ht="15.75" x14ac:dyDescent="0.25">
      <c r="A441" s="29" t="s">
        <v>258</v>
      </c>
      <c r="B441" s="5" t="s">
        <v>927</v>
      </c>
      <c r="C441" s="40" t="s">
        <v>259</v>
      </c>
      <c r="D441" s="40"/>
      <c r="E441" s="40"/>
      <c r="F441" s="40"/>
      <c r="G441" s="10">
        <f t="shared" si="61"/>
        <v>5010</v>
      </c>
      <c r="H441" s="10">
        <f t="shared" si="61"/>
        <v>10</v>
      </c>
    </row>
    <row r="442" spans="1:8" ht="15.75" x14ac:dyDescent="0.25">
      <c r="A442" s="29" t="s">
        <v>267</v>
      </c>
      <c r="B442" s="5" t="s">
        <v>927</v>
      </c>
      <c r="C442" s="40" t="s">
        <v>259</v>
      </c>
      <c r="D442" s="40" t="s">
        <v>230</v>
      </c>
      <c r="E442" s="40"/>
      <c r="F442" s="40"/>
      <c r="G442" s="10">
        <f>G443+G447</f>
        <v>5010</v>
      </c>
      <c r="H442" s="10">
        <f>H443+H447</f>
        <v>10</v>
      </c>
    </row>
    <row r="443" spans="1:8" ht="31.5" x14ac:dyDescent="0.25">
      <c r="A443" s="25" t="s">
        <v>928</v>
      </c>
      <c r="B443" s="20" t="s">
        <v>1474</v>
      </c>
      <c r="C443" s="40" t="s">
        <v>259</v>
      </c>
      <c r="D443" s="40" t="s">
        <v>230</v>
      </c>
      <c r="E443" s="40"/>
      <c r="F443" s="40"/>
      <c r="G443" s="10">
        <f t="shared" ref="G443:H444" si="62">G444</f>
        <v>10</v>
      </c>
      <c r="H443" s="10">
        <f t="shared" si="62"/>
        <v>10</v>
      </c>
    </row>
    <row r="444" spans="1:8" ht="31.5" x14ac:dyDescent="0.25">
      <c r="A444" s="25" t="s">
        <v>263</v>
      </c>
      <c r="B444" s="20" t="s">
        <v>1474</v>
      </c>
      <c r="C444" s="40" t="s">
        <v>259</v>
      </c>
      <c r="D444" s="40" t="s">
        <v>230</v>
      </c>
      <c r="E444" s="40" t="s">
        <v>264</v>
      </c>
      <c r="F444" s="40"/>
      <c r="G444" s="10">
        <f t="shared" si="62"/>
        <v>10</v>
      </c>
      <c r="H444" s="10">
        <f t="shared" si="62"/>
        <v>10</v>
      </c>
    </row>
    <row r="445" spans="1:8" ht="47.25" x14ac:dyDescent="0.25">
      <c r="A445" s="25" t="s">
        <v>265</v>
      </c>
      <c r="B445" s="20" t="s">
        <v>1474</v>
      </c>
      <c r="C445" s="40" t="s">
        <v>259</v>
      </c>
      <c r="D445" s="40" t="s">
        <v>230</v>
      </c>
      <c r="E445" s="40" t="s">
        <v>266</v>
      </c>
      <c r="F445" s="40"/>
      <c r="G445" s="10">
        <f>'пр.4.1.ведом.21-22'!G202</f>
        <v>10</v>
      </c>
      <c r="H445" s="10">
        <f>'пр.4.1.ведом.21-22'!H202</f>
        <v>10</v>
      </c>
    </row>
    <row r="446" spans="1:8" ht="31.5" x14ac:dyDescent="0.25">
      <c r="A446" s="45" t="s">
        <v>163</v>
      </c>
      <c r="B446" s="20" t="s">
        <v>1474</v>
      </c>
      <c r="C446" s="40" t="s">
        <v>259</v>
      </c>
      <c r="D446" s="40" t="s">
        <v>230</v>
      </c>
      <c r="E446" s="40" t="s">
        <v>266</v>
      </c>
      <c r="F446" s="40" t="s">
        <v>656</v>
      </c>
      <c r="G446" s="10">
        <f>G445</f>
        <v>10</v>
      </c>
      <c r="H446" s="10">
        <f>H445</f>
        <v>10</v>
      </c>
    </row>
    <row r="447" spans="1:8" s="221" customFormat="1" ht="78.75" x14ac:dyDescent="0.25">
      <c r="A447" s="25" t="s">
        <v>1422</v>
      </c>
      <c r="B447" s="20" t="s">
        <v>1421</v>
      </c>
      <c r="C447" s="40" t="s">
        <v>259</v>
      </c>
      <c r="D447" s="40" t="s">
        <v>230</v>
      </c>
      <c r="E447" s="40"/>
      <c r="F447" s="40"/>
      <c r="G447" s="10">
        <f>G448</f>
        <v>5000</v>
      </c>
      <c r="H447" s="10">
        <f>H448</f>
        <v>0</v>
      </c>
    </row>
    <row r="448" spans="1:8" s="221" customFormat="1" ht="31.5" x14ac:dyDescent="0.25">
      <c r="A448" s="25" t="s">
        <v>263</v>
      </c>
      <c r="B448" s="20" t="s">
        <v>1421</v>
      </c>
      <c r="C448" s="40" t="s">
        <v>259</v>
      </c>
      <c r="D448" s="40" t="s">
        <v>230</v>
      </c>
      <c r="E448" s="40" t="s">
        <v>264</v>
      </c>
      <c r="F448" s="40"/>
      <c r="G448" s="10">
        <f>G449</f>
        <v>5000</v>
      </c>
      <c r="H448" s="10">
        <f>H449</f>
        <v>0</v>
      </c>
    </row>
    <row r="449" spans="1:8" s="221" customFormat="1" ht="47.25" x14ac:dyDescent="0.25">
      <c r="A449" s="25" t="s">
        <v>265</v>
      </c>
      <c r="B449" s="20" t="s">
        <v>1421</v>
      </c>
      <c r="C449" s="40" t="s">
        <v>259</v>
      </c>
      <c r="D449" s="40" t="s">
        <v>230</v>
      </c>
      <c r="E449" s="40" t="s">
        <v>266</v>
      </c>
      <c r="F449" s="40"/>
      <c r="G449" s="10">
        <f>'пр.4.1.ведом.21-22'!G205</f>
        <v>5000</v>
      </c>
      <c r="H449" s="10">
        <f>'пр.4.1.ведом.21-22'!H205</f>
        <v>0</v>
      </c>
    </row>
    <row r="450" spans="1:8" s="221" customFormat="1" ht="31.5" x14ac:dyDescent="0.25">
      <c r="A450" s="45" t="s">
        <v>163</v>
      </c>
      <c r="B450" s="20" t="s">
        <v>1421</v>
      </c>
      <c r="C450" s="40" t="s">
        <v>259</v>
      </c>
      <c r="D450" s="40" t="s">
        <v>230</v>
      </c>
      <c r="E450" s="40" t="s">
        <v>266</v>
      </c>
      <c r="F450" s="40" t="s">
        <v>656</v>
      </c>
      <c r="G450" s="10">
        <f>G447</f>
        <v>5000</v>
      </c>
      <c r="H450" s="10">
        <f>H447</f>
        <v>0</v>
      </c>
    </row>
    <row r="451" spans="1:8" ht="63" x14ac:dyDescent="0.25">
      <c r="A451" s="41" t="s">
        <v>496</v>
      </c>
      <c r="B451" s="3" t="s">
        <v>497</v>
      </c>
      <c r="C451" s="68"/>
      <c r="D451" s="68"/>
      <c r="E451" s="68"/>
      <c r="F451" s="68"/>
      <c r="G451" s="4">
        <f>G452+G501</f>
        <v>48187.5</v>
      </c>
      <c r="H451" s="4">
        <f>H452+H501</f>
        <v>48187.5</v>
      </c>
    </row>
    <row r="452" spans="1:8" ht="63" x14ac:dyDescent="0.25">
      <c r="A452" s="58" t="s">
        <v>508</v>
      </c>
      <c r="B452" s="7" t="s">
        <v>509</v>
      </c>
      <c r="C452" s="7"/>
      <c r="D452" s="7"/>
      <c r="E452" s="7"/>
      <c r="F452" s="3"/>
      <c r="G452" s="59">
        <f>G453+G468+G483+G494</f>
        <v>46187.5</v>
      </c>
      <c r="H452" s="59">
        <f>H453+H468+H483+H494</f>
        <v>46187.5</v>
      </c>
    </row>
    <row r="453" spans="1:8" ht="47.25" x14ac:dyDescent="0.25">
      <c r="A453" s="23" t="s">
        <v>1026</v>
      </c>
      <c r="B453" s="24" t="s">
        <v>1059</v>
      </c>
      <c r="C453" s="7"/>
      <c r="D453" s="7"/>
      <c r="E453" s="251"/>
      <c r="F453" s="210"/>
      <c r="G453" s="59">
        <f>G454</f>
        <v>44582</v>
      </c>
      <c r="H453" s="59">
        <f>H454</f>
        <v>44582</v>
      </c>
    </row>
    <row r="454" spans="1:8" ht="15.75" x14ac:dyDescent="0.25">
      <c r="A454" s="29" t="s">
        <v>505</v>
      </c>
      <c r="B454" s="40" t="s">
        <v>1059</v>
      </c>
      <c r="C454" s="2">
        <v>11</v>
      </c>
      <c r="D454" s="68"/>
      <c r="E454" s="68"/>
      <c r="F454" s="68"/>
      <c r="G454" s="10">
        <f t="shared" ref="G454:H454" si="63">G455</f>
        <v>44582</v>
      </c>
      <c r="H454" s="10">
        <f t="shared" si="63"/>
        <v>44582</v>
      </c>
    </row>
    <row r="455" spans="1:8" ht="16.5" x14ac:dyDescent="0.25">
      <c r="A455" s="29" t="s">
        <v>507</v>
      </c>
      <c r="B455" s="40" t="s">
        <v>1059</v>
      </c>
      <c r="C455" s="40" t="s">
        <v>506</v>
      </c>
      <c r="D455" s="40" t="s">
        <v>133</v>
      </c>
      <c r="E455" s="71"/>
      <c r="F455" s="5"/>
      <c r="G455" s="10">
        <f>G456+G460+G464</f>
        <v>44582</v>
      </c>
      <c r="H455" s="10">
        <f>H456+H460+H464</f>
        <v>44582</v>
      </c>
    </row>
    <row r="456" spans="1:8" ht="63" x14ac:dyDescent="0.25">
      <c r="A456" s="25" t="s">
        <v>835</v>
      </c>
      <c r="B456" s="20" t="s">
        <v>1069</v>
      </c>
      <c r="C456" s="40" t="s">
        <v>506</v>
      </c>
      <c r="D456" s="40" t="s">
        <v>133</v>
      </c>
      <c r="E456" s="71"/>
      <c r="F456" s="5"/>
      <c r="G456" s="10">
        <f>G457</f>
        <v>13108</v>
      </c>
      <c r="H456" s="10">
        <f>H457</f>
        <v>13108</v>
      </c>
    </row>
    <row r="457" spans="1:8" ht="47.25" x14ac:dyDescent="0.25">
      <c r="A457" s="29" t="s">
        <v>287</v>
      </c>
      <c r="B457" s="20" t="s">
        <v>1069</v>
      </c>
      <c r="C457" s="40" t="s">
        <v>506</v>
      </c>
      <c r="D457" s="40" t="s">
        <v>133</v>
      </c>
      <c r="E457" s="40" t="s">
        <v>288</v>
      </c>
      <c r="F457" s="5"/>
      <c r="G457" s="10">
        <f>G458</f>
        <v>13108</v>
      </c>
      <c r="H457" s="10">
        <f>H458</f>
        <v>13108</v>
      </c>
    </row>
    <row r="458" spans="1:8" ht="15.75" x14ac:dyDescent="0.25">
      <c r="A458" s="29" t="s">
        <v>289</v>
      </c>
      <c r="B458" s="20" t="s">
        <v>1069</v>
      </c>
      <c r="C458" s="40" t="s">
        <v>506</v>
      </c>
      <c r="D458" s="40" t="s">
        <v>133</v>
      </c>
      <c r="E458" s="40" t="s">
        <v>290</v>
      </c>
      <c r="F458" s="5"/>
      <c r="G458" s="10">
        <f>'пр.4.1.ведом.21-22'!G785</f>
        <v>13108</v>
      </c>
      <c r="H458" s="10">
        <f>'пр.4.1.ведом.21-22'!H785</f>
        <v>13108</v>
      </c>
    </row>
    <row r="459" spans="1:8" ht="47.25" x14ac:dyDescent="0.25">
      <c r="A459" s="70" t="s">
        <v>495</v>
      </c>
      <c r="B459" s="20" t="s">
        <v>1069</v>
      </c>
      <c r="C459" s="40" t="s">
        <v>506</v>
      </c>
      <c r="D459" s="40" t="s">
        <v>133</v>
      </c>
      <c r="E459" s="40" t="s">
        <v>290</v>
      </c>
      <c r="F459" s="5">
        <v>907</v>
      </c>
      <c r="G459" s="10">
        <f>G458</f>
        <v>13108</v>
      </c>
      <c r="H459" s="10">
        <f>H458</f>
        <v>13108</v>
      </c>
    </row>
    <row r="460" spans="1:8" ht="47.25" x14ac:dyDescent="0.25">
      <c r="A460" s="25" t="s">
        <v>834</v>
      </c>
      <c r="B460" s="20" t="s">
        <v>1070</v>
      </c>
      <c r="C460" s="40" t="s">
        <v>506</v>
      </c>
      <c r="D460" s="40" t="s">
        <v>133</v>
      </c>
      <c r="E460" s="40"/>
      <c r="F460" s="5"/>
      <c r="G460" s="10">
        <f>G461</f>
        <v>12897</v>
      </c>
      <c r="H460" s="10">
        <f>H461</f>
        <v>12897</v>
      </c>
    </row>
    <row r="461" spans="1:8" ht="47.25" x14ac:dyDescent="0.25">
      <c r="A461" s="25" t="s">
        <v>287</v>
      </c>
      <c r="B461" s="20" t="s">
        <v>1070</v>
      </c>
      <c r="C461" s="40" t="s">
        <v>506</v>
      </c>
      <c r="D461" s="40" t="s">
        <v>133</v>
      </c>
      <c r="E461" s="40" t="s">
        <v>288</v>
      </c>
      <c r="F461" s="5"/>
      <c r="G461" s="10">
        <f>G462</f>
        <v>12897</v>
      </c>
      <c r="H461" s="10">
        <f>H462</f>
        <v>12897</v>
      </c>
    </row>
    <row r="462" spans="1:8" ht="15.75" x14ac:dyDescent="0.25">
      <c r="A462" s="25" t="s">
        <v>289</v>
      </c>
      <c r="B462" s="20" t="s">
        <v>1070</v>
      </c>
      <c r="C462" s="40" t="s">
        <v>506</v>
      </c>
      <c r="D462" s="40" t="s">
        <v>133</v>
      </c>
      <c r="E462" s="40" t="s">
        <v>290</v>
      </c>
      <c r="F462" s="5"/>
      <c r="G462" s="10">
        <f>'пр.4.1.ведом.21-22'!G788</f>
        <v>12897</v>
      </c>
      <c r="H462" s="10">
        <f>'пр.4.1.ведом.21-22'!H788</f>
        <v>12897</v>
      </c>
    </row>
    <row r="463" spans="1:8" ht="47.25" x14ac:dyDescent="0.25">
      <c r="A463" s="70" t="s">
        <v>495</v>
      </c>
      <c r="B463" s="20" t="s">
        <v>1070</v>
      </c>
      <c r="C463" s="40" t="s">
        <v>506</v>
      </c>
      <c r="D463" s="40" t="s">
        <v>133</v>
      </c>
      <c r="E463" s="40" t="s">
        <v>290</v>
      </c>
      <c r="F463" s="5">
        <v>907</v>
      </c>
      <c r="G463" s="10">
        <f>G462</f>
        <v>12897</v>
      </c>
      <c r="H463" s="10">
        <f>H462</f>
        <v>12897</v>
      </c>
    </row>
    <row r="464" spans="1:8" ht="63" x14ac:dyDescent="0.25">
      <c r="A464" s="25" t="s">
        <v>833</v>
      </c>
      <c r="B464" s="20" t="s">
        <v>1071</v>
      </c>
      <c r="C464" s="40" t="s">
        <v>506</v>
      </c>
      <c r="D464" s="40" t="s">
        <v>133</v>
      </c>
      <c r="E464" s="40"/>
      <c r="F464" s="5"/>
      <c r="G464" s="10">
        <f>G465</f>
        <v>18577</v>
      </c>
      <c r="H464" s="10">
        <f>H465</f>
        <v>18577</v>
      </c>
    </row>
    <row r="465" spans="1:8" ht="47.25" x14ac:dyDescent="0.25">
      <c r="A465" s="25" t="s">
        <v>287</v>
      </c>
      <c r="B465" s="20" t="s">
        <v>1071</v>
      </c>
      <c r="C465" s="40" t="s">
        <v>506</v>
      </c>
      <c r="D465" s="40" t="s">
        <v>133</v>
      </c>
      <c r="E465" s="40" t="s">
        <v>288</v>
      </c>
      <c r="F465" s="5"/>
      <c r="G465" s="10">
        <f>G466</f>
        <v>18577</v>
      </c>
      <c r="H465" s="10">
        <f>H466</f>
        <v>18577</v>
      </c>
    </row>
    <row r="466" spans="1:8" ht="15.75" x14ac:dyDescent="0.25">
      <c r="A466" s="25" t="s">
        <v>289</v>
      </c>
      <c r="B466" s="20" t="s">
        <v>1071</v>
      </c>
      <c r="C466" s="40" t="s">
        <v>506</v>
      </c>
      <c r="D466" s="40" t="s">
        <v>133</v>
      </c>
      <c r="E466" s="40" t="s">
        <v>290</v>
      </c>
      <c r="F466" s="5"/>
      <c r="G466" s="10">
        <f>'пр.4.1.ведом.21-22'!G791</f>
        <v>18577</v>
      </c>
      <c r="H466" s="10">
        <f>'пр.4.1.ведом.21-22'!H791</f>
        <v>18577</v>
      </c>
    </row>
    <row r="467" spans="1:8" ht="47.25" x14ac:dyDescent="0.25">
      <c r="A467" s="70" t="s">
        <v>495</v>
      </c>
      <c r="B467" s="20" t="s">
        <v>1071</v>
      </c>
      <c r="C467" s="40" t="s">
        <v>506</v>
      </c>
      <c r="D467" s="40" t="s">
        <v>133</v>
      </c>
      <c r="E467" s="40" t="s">
        <v>290</v>
      </c>
      <c r="F467" s="5">
        <v>907</v>
      </c>
      <c r="G467" s="10">
        <f>G466</f>
        <v>18577</v>
      </c>
      <c r="H467" s="10">
        <f>H466</f>
        <v>18577</v>
      </c>
    </row>
    <row r="468" spans="1:8" ht="31.5" x14ac:dyDescent="0.25">
      <c r="A468" s="23" t="s">
        <v>1072</v>
      </c>
      <c r="B468" s="24" t="s">
        <v>1073</v>
      </c>
      <c r="C468" s="7"/>
      <c r="D468" s="7"/>
      <c r="E468" s="7"/>
      <c r="F468" s="210"/>
      <c r="G468" s="59">
        <f>G469</f>
        <v>36</v>
      </c>
      <c r="H468" s="59">
        <f>H469</f>
        <v>36</v>
      </c>
    </row>
    <row r="469" spans="1:8" ht="15.75" x14ac:dyDescent="0.25">
      <c r="A469" s="29" t="s">
        <v>505</v>
      </c>
      <c r="B469" s="40" t="s">
        <v>1073</v>
      </c>
      <c r="C469" s="2">
        <v>11</v>
      </c>
      <c r="D469" s="68"/>
      <c r="E469" s="68"/>
      <c r="F469" s="68"/>
      <c r="G469" s="10">
        <f t="shared" ref="G469:H469" si="64">G470</f>
        <v>36</v>
      </c>
      <c r="H469" s="10">
        <f t="shared" si="64"/>
        <v>36</v>
      </c>
    </row>
    <row r="470" spans="1:8" ht="16.5" x14ac:dyDescent="0.25">
      <c r="A470" s="29" t="s">
        <v>507</v>
      </c>
      <c r="B470" s="40" t="s">
        <v>1073</v>
      </c>
      <c r="C470" s="40" t="s">
        <v>506</v>
      </c>
      <c r="D470" s="40" t="s">
        <v>133</v>
      </c>
      <c r="E470" s="71"/>
      <c r="F470" s="5"/>
      <c r="G470" s="10">
        <f>G471+G475+G479</f>
        <v>36</v>
      </c>
      <c r="H470" s="10">
        <f>H471+H475+H479</f>
        <v>36</v>
      </c>
    </row>
    <row r="471" spans="1:8" ht="47.25" hidden="1" x14ac:dyDescent="0.25">
      <c r="A471" s="29" t="s">
        <v>293</v>
      </c>
      <c r="B471" s="20" t="s">
        <v>1077</v>
      </c>
      <c r="C471" s="40" t="s">
        <v>506</v>
      </c>
      <c r="D471" s="40" t="s">
        <v>133</v>
      </c>
      <c r="E471" s="40"/>
      <c r="F471" s="5"/>
      <c r="G471" s="10">
        <f t="shared" ref="G471:H472" si="65">G472</f>
        <v>0</v>
      </c>
      <c r="H471" s="10">
        <f t="shared" si="65"/>
        <v>0</v>
      </c>
    </row>
    <row r="472" spans="1:8" ht="47.25" hidden="1" x14ac:dyDescent="0.25">
      <c r="A472" s="29" t="s">
        <v>287</v>
      </c>
      <c r="B472" s="20" t="s">
        <v>1077</v>
      </c>
      <c r="C472" s="40" t="s">
        <v>506</v>
      </c>
      <c r="D472" s="40" t="s">
        <v>133</v>
      </c>
      <c r="E472" s="40" t="s">
        <v>288</v>
      </c>
      <c r="F472" s="5"/>
      <c r="G472" s="10">
        <f t="shared" si="65"/>
        <v>0</v>
      </c>
      <c r="H472" s="10">
        <f t="shared" si="65"/>
        <v>0</v>
      </c>
    </row>
    <row r="473" spans="1:8" ht="15.75" hidden="1" x14ac:dyDescent="0.25">
      <c r="A473" s="29" t="s">
        <v>289</v>
      </c>
      <c r="B473" s="20" t="s">
        <v>1077</v>
      </c>
      <c r="C473" s="40" t="s">
        <v>506</v>
      </c>
      <c r="D473" s="40" t="s">
        <v>133</v>
      </c>
      <c r="E473" s="40" t="s">
        <v>290</v>
      </c>
      <c r="F473" s="5"/>
      <c r="G473" s="10">
        <f>'пр.4.1.ведом.21-22'!G795</f>
        <v>0</v>
      </c>
      <c r="H473" s="10">
        <f>'пр.4.1.ведом.21-22'!H795</f>
        <v>0</v>
      </c>
    </row>
    <row r="474" spans="1:8" ht="47.25" hidden="1" x14ac:dyDescent="0.25">
      <c r="A474" s="70" t="s">
        <v>495</v>
      </c>
      <c r="B474" s="20" t="s">
        <v>1077</v>
      </c>
      <c r="C474" s="40" t="s">
        <v>506</v>
      </c>
      <c r="D474" s="40" t="s">
        <v>133</v>
      </c>
      <c r="E474" s="40" t="s">
        <v>290</v>
      </c>
      <c r="F474" s="5">
        <v>907</v>
      </c>
      <c r="G474" s="10">
        <f>G473</f>
        <v>0</v>
      </c>
      <c r="H474" s="10">
        <f>H473</f>
        <v>0</v>
      </c>
    </row>
    <row r="475" spans="1:8" ht="31.5" hidden="1" x14ac:dyDescent="0.25">
      <c r="A475" s="29" t="s">
        <v>295</v>
      </c>
      <c r="B475" s="20" t="s">
        <v>1078</v>
      </c>
      <c r="C475" s="40" t="s">
        <v>506</v>
      </c>
      <c r="D475" s="40" t="s">
        <v>133</v>
      </c>
      <c r="E475" s="40"/>
      <c r="F475" s="5"/>
      <c r="G475" s="10">
        <f t="shared" ref="G475:H476" si="66">G476</f>
        <v>0</v>
      </c>
      <c r="H475" s="10">
        <f t="shared" si="66"/>
        <v>0</v>
      </c>
    </row>
    <row r="476" spans="1:8" ht="47.25" hidden="1" x14ac:dyDescent="0.25">
      <c r="A476" s="29" t="s">
        <v>287</v>
      </c>
      <c r="B476" s="20" t="s">
        <v>1078</v>
      </c>
      <c r="C476" s="40" t="s">
        <v>506</v>
      </c>
      <c r="D476" s="40" t="s">
        <v>133</v>
      </c>
      <c r="E476" s="40" t="s">
        <v>288</v>
      </c>
      <c r="F476" s="5"/>
      <c r="G476" s="10">
        <f t="shared" si="66"/>
        <v>0</v>
      </c>
      <c r="H476" s="10">
        <f t="shared" si="66"/>
        <v>0</v>
      </c>
    </row>
    <row r="477" spans="1:8" ht="15.75" hidden="1" x14ac:dyDescent="0.25">
      <c r="A477" s="29" t="s">
        <v>289</v>
      </c>
      <c r="B477" s="20" t="s">
        <v>1078</v>
      </c>
      <c r="C477" s="40" t="s">
        <v>506</v>
      </c>
      <c r="D477" s="40" t="s">
        <v>133</v>
      </c>
      <c r="E477" s="40" t="s">
        <v>290</v>
      </c>
      <c r="F477" s="5"/>
      <c r="G477" s="10">
        <f>'пр.4.1.ведом.21-22'!G798</f>
        <v>0</v>
      </c>
      <c r="H477" s="10">
        <f>'пр.4.1.ведом.21-22'!H798</f>
        <v>0</v>
      </c>
    </row>
    <row r="478" spans="1:8" ht="47.25" hidden="1" x14ac:dyDescent="0.25">
      <c r="A478" s="70" t="s">
        <v>495</v>
      </c>
      <c r="B478" s="20" t="s">
        <v>1078</v>
      </c>
      <c r="C478" s="40" t="s">
        <v>506</v>
      </c>
      <c r="D478" s="40" t="s">
        <v>133</v>
      </c>
      <c r="E478" s="40" t="s">
        <v>290</v>
      </c>
      <c r="F478" s="5">
        <v>907</v>
      </c>
      <c r="G478" s="10">
        <f>G477</f>
        <v>0</v>
      </c>
      <c r="H478" s="10">
        <f>H477</f>
        <v>0</v>
      </c>
    </row>
    <row r="479" spans="1:8" ht="15.75" x14ac:dyDescent="0.25">
      <c r="A479" s="25" t="s">
        <v>874</v>
      </c>
      <c r="B479" s="20" t="s">
        <v>1079</v>
      </c>
      <c r="C479" s="40" t="s">
        <v>506</v>
      </c>
      <c r="D479" s="40" t="s">
        <v>133</v>
      </c>
      <c r="E479" s="40"/>
      <c r="F479" s="5"/>
      <c r="G479" s="10">
        <f>G480</f>
        <v>36</v>
      </c>
      <c r="H479" s="10">
        <f>H480</f>
        <v>36</v>
      </c>
    </row>
    <row r="480" spans="1:8" ht="47.25" x14ac:dyDescent="0.25">
      <c r="A480" s="25" t="s">
        <v>287</v>
      </c>
      <c r="B480" s="20" t="s">
        <v>1079</v>
      </c>
      <c r="C480" s="40" t="s">
        <v>506</v>
      </c>
      <c r="D480" s="40" t="s">
        <v>133</v>
      </c>
      <c r="E480" s="40" t="s">
        <v>288</v>
      </c>
      <c r="F480" s="5"/>
      <c r="G480" s="10">
        <f>G481</f>
        <v>36</v>
      </c>
      <c r="H480" s="10">
        <f>H481</f>
        <v>36</v>
      </c>
    </row>
    <row r="481" spans="1:8" ht="15.75" x14ac:dyDescent="0.25">
      <c r="A481" s="25" t="s">
        <v>289</v>
      </c>
      <c r="B481" s="20" t="s">
        <v>1079</v>
      </c>
      <c r="C481" s="40" t="s">
        <v>506</v>
      </c>
      <c r="D481" s="40" t="s">
        <v>133</v>
      </c>
      <c r="E481" s="40" t="s">
        <v>290</v>
      </c>
      <c r="F481" s="5"/>
      <c r="G481" s="10">
        <f>'пр.4.1.ведом.21-22'!G801</f>
        <v>36</v>
      </c>
      <c r="H481" s="10">
        <f>'пр.4.1.ведом.21-22'!H801</f>
        <v>36</v>
      </c>
    </row>
    <row r="482" spans="1:8" ht="47.25" x14ac:dyDescent="0.25">
      <c r="A482" s="70" t="s">
        <v>495</v>
      </c>
      <c r="B482" s="20" t="s">
        <v>1079</v>
      </c>
      <c r="C482" s="40" t="s">
        <v>506</v>
      </c>
      <c r="D482" s="40" t="s">
        <v>133</v>
      </c>
      <c r="E482" s="40" t="s">
        <v>290</v>
      </c>
      <c r="F482" s="5">
        <v>907</v>
      </c>
      <c r="G482" s="10">
        <f>G481</f>
        <v>36</v>
      </c>
      <c r="H482" s="10">
        <f>H481</f>
        <v>36</v>
      </c>
    </row>
    <row r="483" spans="1:8" ht="47.25" x14ac:dyDescent="0.25">
      <c r="A483" s="23" t="s">
        <v>1074</v>
      </c>
      <c r="B483" s="24" t="s">
        <v>1076</v>
      </c>
      <c r="C483" s="7"/>
      <c r="D483" s="7"/>
      <c r="E483" s="7"/>
      <c r="F483" s="210"/>
      <c r="G483" s="59">
        <f>G484</f>
        <v>756</v>
      </c>
      <c r="H483" s="59">
        <f>H484</f>
        <v>756</v>
      </c>
    </row>
    <row r="484" spans="1:8" ht="15.75" x14ac:dyDescent="0.25">
      <c r="A484" s="29" t="s">
        <v>505</v>
      </c>
      <c r="B484" s="40" t="s">
        <v>1076</v>
      </c>
      <c r="C484" s="2">
        <v>11</v>
      </c>
      <c r="D484" s="68"/>
      <c r="E484" s="68"/>
      <c r="F484" s="68"/>
      <c r="G484" s="10">
        <f t="shared" ref="G484:H484" si="67">G485</f>
        <v>756</v>
      </c>
      <c r="H484" s="10">
        <f t="shared" si="67"/>
        <v>756</v>
      </c>
    </row>
    <row r="485" spans="1:8" ht="16.5" x14ac:dyDescent="0.25">
      <c r="A485" s="29" t="s">
        <v>507</v>
      </c>
      <c r="B485" s="40" t="s">
        <v>1076</v>
      </c>
      <c r="C485" s="40" t="s">
        <v>506</v>
      </c>
      <c r="D485" s="40" t="s">
        <v>133</v>
      </c>
      <c r="E485" s="71"/>
      <c r="F485" s="5"/>
      <c r="G485" s="10">
        <f>G486+G490</f>
        <v>756</v>
      </c>
      <c r="H485" s="10">
        <f>H486+H490</f>
        <v>756</v>
      </c>
    </row>
    <row r="486" spans="1:8" ht="31.5" hidden="1" x14ac:dyDescent="0.25">
      <c r="A486" s="29" t="s">
        <v>299</v>
      </c>
      <c r="B486" s="20" t="s">
        <v>1080</v>
      </c>
      <c r="C486" s="40" t="s">
        <v>506</v>
      </c>
      <c r="D486" s="40" t="s">
        <v>133</v>
      </c>
      <c r="E486" s="40"/>
      <c r="F486" s="5"/>
      <c r="G486" s="10">
        <f t="shared" ref="G486:H487" si="68">G487</f>
        <v>0</v>
      </c>
      <c r="H486" s="10">
        <f t="shared" si="68"/>
        <v>0</v>
      </c>
    </row>
    <row r="487" spans="1:8" ht="47.25" hidden="1" x14ac:dyDescent="0.25">
      <c r="A487" s="29" t="s">
        <v>287</v>
      </c>
      <c r="B487" s="20" t="s">
        <v>1080</v>
      </c>
      <c r="C487" s="40" t="s">
        <v>506</v>
      </c>
      <c r="D487" s="40" t="s">
        <v>133</v>
      </c>
      <c r="E487" s="40" t="s">
        <v>288</v>
      </c>
      <c r="F487" s="5"/>
      <c r="G487" s="10">
        <f t="shared" si="68"/>
        <v>0</v>
      </c>
      <c r="H487" s="10">
        <f t="shared" si="68"/>
        <v>0</v>
      </c>
    </row>
    <row r="488" spans="1:8" ht="15.75" hidden="1" x14ac:dyDescent="0.25">
      <c r="A488" s="29" t="s">
        <v>289</v>
      </c>
      <c r="B488" s="20" t="s">
        <v>1080</v>
      </c>
      <c r="C488" s="40" t="s">
        <v>506</v>
      </c>
      <c r="D488" s="40" t="s">
        <v>133</v>
      </c>
      <c r="E488" s="40" t="s">
        <v>290</v>
      </c>
      <c r="F488" s="5"/>
      <c r="G488" s="10">
        <f>'пр.4.1.ведом.21-22'!G805</f>
        <v>0</v>
      </c>
      <c r="H488" s="10">
        <f>'пр.4.1.ведом.21-22'!H805</f>
        <v>0</v>
      </c>
    </row>
    <row r="489" spans="1:8" ht="47.25" hidden="1" x14ac:dyDescent="0.25">
      <c r="A489" s="70" t="s">
        <v>495</v>
      </c>
      <c r="B489" s="20" t="s">
        <v>1080</v>
      </c>
      <c r="C489" s="40" t="s">
        <v>506</v>
      </c>
      <c r="D489" s="40" t="s">
        <v>133</v>
      </c>
      <c r="E489" s="40" t="s">
        <v>290</v>
      </c>
      <c r="F489" s="5">
        <v>907</v>
      </c>
      <c r="G489" s="10">
        <f>G488</f>
        <v>0</v>
      </c>
      <c r="H489" s="10">
        <f>H488</f>
        <v>0</v>
      </c>
    </row>
    <row r="490" spans="1:8" ht="47.25" x14ac:dyDescent="0.25">
      <c r="A490" s="45" t="s">
        <v>785</v>
      </c>
      <c r="B490" s="20" t="s">
        <v>1081</v>
      </c>
      <c r="C490" s="40" t="s">
        <v>506</v>
      </c>
      <c r="D490" s="40" t="s">
        <v>133</v>
      </c>
      <c r="E490" s="40"/>
      <c r="F490" s="5"/>
      <c r="G490" s="10">
        <f t="shared" ref="G490:H491" si="69">G491</f>
        <v>756</v>
      </c>
      <c r="H490" s="10">
        <f t="shared" si="69"/>
        <v>756</v>
      </c>
    </row>
    <row r="491" spans="1:8" ht="47.25" x14ac:dyDescent="0.25">
      <c r="A491" s="31" t="s">
        <v>287</v>
      </c>
      <c r="B491" s="20" t="s">
        <v>1081</v>
      </c>
      <c r="C491" s="40" t="s">
        <v>506</v>
      </c>
      <c r="D491" s="40" t="s">
        <v>133</v>
      </c>
      <c r="E491" s="40" t="s">
        <v>288</v>
      </c>
      <c r="F491" s="5"/>
      <c r="G491" s="10">
        <f t="shared" si="69"/>
        <v>756</v>
      </c>
      <c r="H491" s="10">
        <f t="shared" si="69"/>
        <v>756</v>
      </c>
    </row>
    <row r="492" spans="1:8" ht="15.75" x14ac:dyDescent="0.25">
      <c r="A492" s="31" t="s">
        <v>289</v>
      </c>
      <c r="B492" s="20" t="s">
        <v>1081</v>
      </c>
      <c r="C492" s="40" t="s">
        <v>506</v>
      </c>
      <c r="D492" s="40" t="s">
        <v>133</v>
      </c>
      <c r="E492" s="40" t="s">
        <v>290</v>
      </c>
      <c r="F492" s="5"/>
      <c r="G492" s="10">
        <f>'пр.4.1.ведом.21-22'!G808</f>
        <v>756</v>
      </c>
      <c r="H492" s="10">
        <f>'пр.4.1.ведом.21-22'!H808</f>
        <v>756</v>
      </c>
    </row>
    <row r="493" spans="1:8" ht="47.25" x14ac:dyDescent="0.25">
      <c r="A493" s="70" t="s">
        <v>495</v>
      </c>
      <c r="B493" s="20" t="s">
        <v>1081</v>
      </c>
      <c r="C493" s="40" t="s">
        <v>506</v>
      </c>
      <c r="D493" s="40" t="s">
        <v>133</v>
      </c>
      <c r="E493" s="40" t="s">
        <v>290</v>
      </c>
      <c r="F493" s="5">
        <v>907</v>
      </c>
      <c r="G493" s="10">
        <f>G492</f>
        <v>756</v>
      </c>
      <c r="H493" s="10">
        <f>H492</f>
        <v>756</v>
      </c>
    </row>
    <row r="494" spans="1:8" ht="47.25" x14ac:dyDescent="0.25">
      <c r="A494" s="23" t="s">
        <v>969</v>
      </c>
      <c r="B494" s="24" t="s">
        <v>1082</v>
      </c>
      <c r="C494" s="7"/>
      <c r="D494" s="7"/>
      <c r="E494" s="7"/>
      <c r="F494" s="210"/>
      <c r="G494" s="59">
        <f>G495</f>
        <v>813.5</v>
      </c>
      <c r="H494" s="59">
        <f>H495</f>
        <v>813.5</v>
      </c>
    </row>
    <row r="495" spans="1:8" ht="15.75" x14ac:dyDescent="0.25">
      <c r="A495" s="29" t="s">
        <v>505</v>
      </c>
      <c r="B495" s="40" t="s">
        <v>1082</v>
      </c>
      <c r="C495" s="2">
        <v>11</v>
      </c>
      <c r="D495" s="68"/>
      <c r="E495" s="68"/>
      <c r="F495" s="68"/>
      <c r="G495" s="10">
        <f t="shared" ref="G495:H495" si="70">G496</f>
        <v>813.5</v>
      </c>
      <c r="H495" s="10">
        <f t="shared" si="70"/>
        <v>813.5</v>
      </c>
    </row>
    <row r="496" spans="1:8" ht="16.5" x14ac:dyDescent="0.25">
      <c r="A496" s="29" t="s">
        <v>507</v>
      </c>
      <c r="B496" s="40" t="s">
        <v>1082</v>
      </c>
      <c r="C496" s="40" t="s">
        <v>506</v>
      </c>
      <c r="D496" s="40" t="s">
        <v>133</v>
      </c>
      <c r="E496" s="71"/>
      <c r="F496" s="5"/>
      <c r="G496" s="10">
        <f t="shared" ref="G496:H498" si="71">G497</f>
        <v>813.5</v>
      </c>
      <c r="H496" s="10">
        <f t="shared" si="71"/>
        <v>813.5</v>
      </c>
    </row>
    <row r="497" spans="1:8" ht="110.25" x14ac:dyDescent="0.25">
      <c r="A497" s="31" t="s">
        <v>308</v>
      </c>
      <c r="B497" s="20" t="s">
        <v>1525</v>
      </c>
      <c r="C497" s="40" t="s">
        <v>506</v>
      </c>
      <c r="D497" s="40" t="s">
        <v>133</v>
      </c>
      <c r="E497" s="40"/>
      <c r="F497" s="5"/>
      <c r="G497" s="10">
        <f t="shared" si="71"/>
        <v>813.5</v>
      </c>
      <c r="H497" s="10">
        <f t="shared" si="71"/>
        <v>813.5</v>
      </c>
    </row>
    <row r="498" spans="1:8" ht="47.25" x14ac:dyDescent="0.25">
      <c r="A498" s="25" t="s">
        <v>287</v>
      </c>
      <c r="B498" s="368" t="s">
        <v>1525</v>
      </c>
      <c r="C498" s="40" t="s">
        <v>506</v>
      </c>
      <c r="D498" s="40" t="s">
        <v>133</v>
      </c>
      <c r="E498" s="40" t="s">
        <v>288</v>
      </c>
      <c r="F498" s="5"/>
      <c r="G498" s="10">
        <f t="shared" si="71"/>
        <v>813.5</v>
      </c>
      <c r="H498" s="10">
        <f t="shared" si="71"/>
        <v>813.5</v>
      </c>
    </row>
    <row r="499" spans="1:8" ht="15.75" x14ac:dyDescent="0.25">
      <c r="A499" s="25" t="s">
        <v>289</v>
      </c>
      <c r="B499" s="368" t="s">
        <v>1525</v>
      </c>
      <c r="C499" s="40" t="s">
        <v>506</v>
      </c>
      <c r="D499" s="40" t="s">
        <v>133</v>
      </c>
      <c r="E499" s="40" t="s">
        <v>290</v>
      </c>
      <c r="F499" s="5"/>
      <c r="G499" s="10">
        <f>'пр.4.1.ведом.21-22'!G812</f>
        <v>813.5</v>
      </c>
      <c r="H499" s="10">
        <f>'пр.4.1.ведом.21-22'!H812</f>
        <v>813.5</v>
      </c>
    </row>
    <row r="500" spans="1:8" ht="47.25" x14ac:dyDescent="0.25">
      <c r="A500" s="70" t="s">
        <v>495</v>
      </c>
      <c r="B500" s="368" t="s">
        <v>1525</v>
      </c>
      <c r="C500" s="40" t="s">
        <v>506</v>
      </c>
      <c r="D500" s="40" t="s">
        <v>133</v>
      </c>
      <c r="E500" s="40" t="s">
        <v>290</v>
      </c>
      <c r="F500" s="5">
        <v>907</v>
      </c>
      <c r="G500" s="10">
        <f>G499</f>
        <v>813.5</v>
      </c>
      <c r="H500" s="10">
        <f>H499</f>
        <v>813.5</v>
      </c>
    </row>
    <row r="501" spans="1:8" ht="47.25" x14ac:dyDescent="0.25">
      <c r="A501" s="58" t="s">
        <v>516</v>
      </c>
      <c r="B501" s="7" t="s">
        <v>517</v>
      </c>
      <c r="C501" s="40"/>
      <c r="D501" s="40"/>
      <c r="E501" s="7"/>
      <c r="F501" s="210"/>
      <c r="G501" s="4">
        <f t="shared" ref="G501:H504" si="72">G502</f>
        <v>2000</v>
      </c>
      <c r="H501" s="4">
        <f t="shared" si="72"/>
        <v>2000</v>
      </c>
    </row>
    <row r="502" spans="1:8" ht="51" customHeight="1" x14ac:dyDescent="0.25">
      <c r="A502" s="58" t="s">
        <v>1084</v>
      </c>
      <c r="B502" s="7" t="s">
        <v>1085</v>
      </c>
      <c r="C502" s="7"/>
      <c r="D502" s="7"/>
      <c r="E502" s="7"/>
      <c r="F502" s="210"/>
      <c r="G502" s="4">
        <f t="shared" si="72"/>
        <v>2000</v>
      </c>
      <c r="H502" s="4">
        <f t="shared" si="72"/>
        <v>2000</v>
      </c>
    </row>
    <row r="503" spans="1:8" ht="15.75" x14ac:dyDescent="0.25">
      <c r="A503" s="29" t="s">
        <v>505</v>
      </c>
      <c r="B503" s="40" t="s">
        <v>1085</v>
      </c>
      <c r="C503" s="40" t="s">
        <v>506</v>
      </c>
      <c r="D503" s="40"/>
      <c r="E503" s="40"/>
      <c r="F503" s="5"/>
      <c r="G503" s="6">
        <f t="shared" si="72"/>
        <v>2000</v>
      </c>
      <c r="H503" s="6">
        <f t="shared" si="72"/>
        <v>2000</v>
      </c>
    </row>
    <row r="504" spans="1:8" ht="31.5" x14ac:dyDescent="0.25">
      <c r="A504" s="25" t="s">
        <v>515</v>
      </c>
      <c r="B504" s="40" t="s">
        <v>1085</v>
      </c>
      <c r="C504" s="40" t="s">
        <v>506</v>
      </c>
      <c r="D504" s="40" t="s">
        <v>249</v>
      </c>
      <c r="E504" s="40"/>
      <c r="F504" s="5"/>
      <c r="G504" s="6">
        <f t="shared" si="72"/>
        <v>2000</v>
      </c>
      <c r="H504" s="6">
        <f t="shared" si="72"/>
        <v>2000</v>
      </c>
    </row>
    <row r="505" spans="1:8" ht="31.5" x14ac:dyDescent="0.25">
      <c r="A505" s="29" t="s">
        <v>1086</v>
      </c>
      <c r="B505" s="40" t="s">
        <v>1236</v>
      </c>
      <c r="C505" s="40" t="s">
        <v>506</v>
      </c>
      <c r="D505" s="40" t="s">
        <v>249</v>
      </c>
      <c r="E505" s="40"/>
      <c r="F505" s="5"/>
      <c r="G505" s="6">
        <f>G506+G509</f>
        <v>2000</v>
      </c>
      <c r="H505" s="6">
        <f>H506+H509</f>
        <v>2000</v>
      </c>
    </row>
    <row r="506" spans="1:8" ht="94.5" x14ac:dyDescent="0.25">
      <c r="A506" s="25" t="s">
        <v>142</v>
      </c>
      <c r="B506" s="40" t="s">
        <v>1236</v>
      </c>
      <c r="C506" s="40" t="s">
        <v>506</v>
      </c>
      <c r="D506" s="40" t="s">
        <v>249</v>
      </c>
      <c r="E506" s="40" t="s">
        <v>143</v>
      </c>
      <c r="F506" s="5"/>
      <c r="G506" s="6">
        <f t="shared" ref="G506:H506" si="73">G507</f>
        <v>1500</v>
      </c>
      <c r="H506" s="6">
        <f t="shared" si="73"/>
        <v>1500</v>
      </c>
    </row>
    <row r="507" spans="1:8" ht="31.5" x14ac:dyDescent="0.25">
      <c r="A507" s="25" t="s">
        <v>357</v>
      </c>
      <c r="B507" s="40" t="s">
        <v>1236</v>
      </c>
      <c r="C507" s="40" t="s">
        <v>506</v>
      </c>
      <c r="D507" s="40" t="s">
        <v>249</v>
      </c>
      <c r="E507" s="40" t="s">
        <v>224</v>
      </c>
      <c r="F507" s="5"/>
      <c r="G507" s="6">
        <f>'пр.4.1.ведом.21-22'!G844</f>
        <v>1500</v>
      </c>
      <c r="H507" s="6">
        <f>'пр.4.1.ведом.21-22'!H844</f>
        <v>1500</v>
      </c>
    </row>
    <row r="508" spans="1:8" ht="47.25" x14ac:dyDescent="0.25">
      <c r="A508" s="70" t="s">
        <v>495</v>
      </c>
      <c r="B508" s="40" t="s">
        <v>1236</v>
      </c>
      <c r="C508" s="40" t="s">
        <v>506</v>
      </c>
      <c r="D508" s="40" t="s">
        <v>249</v>
      </c>
      <c r="E508" s="40" t="s">
        <v>224</v>
      </c>
      <c r="F508" s="5">
        <v>907</v>
      </c>
      <c r="G508" s="10">
        <f>G507</f>
        <v>1500</v>
      </c>
      <c r="H508" s="10">
        <f>H507</f>
        <v>1500</v>
      </c>
    </row>
    <row r="509" spans="1:8" ht="31.5" x14ac:dyDescent="0.25">
      <c r="A509" s="29" t="s">
        <v>146</v>
      </c>
      <c r="B509" s="40" t="s">
        <v>1236</v>
      </c>
      <c r="C509" s="40" t="s">
        <v>506</v>
      </c>
      <c r="D509" s="40" t="s">
        <v>249</v>
      </c>
      <c r="E509" s="40" t="s">
        <v>147</v>
      </c>
      <c r="F509" s="5"/>
      <c r="G509" s="6">
        <f t="shared" ref="G509:H509" si="74">G510</f>
        <v>500</v>
      </c>
      <c r="H509" s="6">
        <f t="shared" si="74"/>
        <v>500</v>
      </c>
    </row>
    <row r="510" spans="1:8" ht="47.25" x14ac:dyDescent="0.25">
      <c r="A510" s="29" t="s">
        <v>148</v>
      </c>
      <c r="B510" s="40" t="s">
        <v>1236</v>
      </c>
      <c r="C510" s="40" t="s">
        <v>506</v>
      </c>
      <c r="D510" s="40" t="s">
        <v>249</v>
      </c>
      <c r="E510" s="40" t="s">
        <v>149</v>
      </c>
      <c r="F510" s="5"/>
      <c r="G510" s="6">
        <f>'пр.4.1.ведом.21-22'!G846</f>
        <v>500</v>
      </c>
      <c r="H510" s="6">
        <f>'пр.4.1.ведом.21-22'!H846</f>
        <v>500</v>
      </c>
    </row>
    <row r="511" spans="1:8" ht="47.25" x14ac:dyDescent="0.25">
      <c r="A511" s="70" t="s">
        <v>495</v>
      </c>
      <c r="B511" s="40" t="s">
        <v>1236</v>
      </c>
      <c r="C511" s="40" t="s">
        <v>506</v>
      </c>
      <c r="D511" s="40" t="s">
        <v>249</v>
      </c>
      <c r="E511" s="40" t="s">
        <v>149</v>
      </c>
      <c r="F511" s="5">
        <v>907</v>
      </c>
      <c r="G511" s="10">
        <f>G510</f>
        <v>500</v>
      </c>
      <c r="H511" s="10">
        <f>H510</f>
        <v>500</v>
      </c>
    </row>
    <row r="512" spans="1:8" ht="47.25" x14ac:dyDescent="0.25">
      <c r="A512" s="41" t="s">
        <v>281</v>
      </c>
      <c r="B512" s="7" t="s">
        <v>282</v>
      </c>
      <c r="C512" s="72"/>
      <c r="D512" s="72"/>
      <c r="E512" s="72"/>
      <c r="F512" s="3"/>
      <c r="G512" s="59">
        <f>G513+G558+G612</f>
        <v>68780.012000000002</v>
      </c>
      <c r="H512" s="59">
        <f>H513+H558+H612</f>
        <v>66505.7</v>
      </c>
    </row>
    <row r="513" spans="1:8" ht="63" x14ac:dyDescent="0.25">
      <c r="A513" s="41" t="s">
        <v>316</v>
      </c>
      <c r="B513" s="7" t="s">
        <v>317</v>
      </c>
      <c r="C513" s="7"/>
      <c r="D513" s="7"/>
      <c r="E513" s="72"/>
      <c r="F513" s="3"/>
      <c r="G513" s="59">
        <f>G514+G527+G537+G544+G551</f>
        <v>27742.858</v>
      </c>
      <c r="H513" s="59">
        <f>H514+H527+H537+H544+H551</f>
        <v>25446.3</v>
      </c>
    </row>
    <row r="514" spans="1:8" ht="47.25" x14ac:dyDescent="0.25">
      <c r="A514" s="23" t="s">
        <v>954</v>
      </c>
      <c r="B514" s="24" t="s">
        <v>955</v>
      </c>
      <c r="C514" s="7"/>
      <c r="D514" s="7"/>
      <c r="E514" s="7"/>
      <c r="F514" s="3"/>
      <c r="G514" s="59">
        <f t="shared" ref="G514:H516" si="75">G515</f>
        <v>23784</v>
      </c>
      <c r="H514" s="59">
        <f t="shared" si="75"/>
        <v>23784</v>
      </c>
    </row>
    <row r="515" spans="1:8" ht="15.75" x14ac:dyDescent="0.25">
      <c r="A515" s="73" t="s">
        <v>313</v>
      </c>
      <c r="B515" s="40" t="s">
        <v>955</v>
      </c>
      <c r="C515" s="40" t="s">
        <v>314</v>
      </c>
      <c r="D515" s="73"/>
      <c r="E515" s="73"/>
      <c r="F515" s="2"/>
      <c r="G515" s="10">
        <f t="shared" si="75"/>
        <v>23784</v>
      </c>
      <c r="H515" s="10">
        <f t="shared" si="75"/>
        <v>23784</v>
      </c>
    </row>
    <row r="516" spans="1:8" ht="15.75" x14ac:dyDescent="0.25">
      <c r="A516" s="73" t="s">
        <v>315</v>
      </c>
      <c r="B516" s="40" t="s">
        <v>955</v>
      </c>
      <c r="C516" s="40" t="s">
        <v>314</v>
      </c>
      <c r="D516" s="40" t="s">
        <v>133</v>
      </c>
      <c r="E516" s="73"/>
      <c r="F516" s="2"/>
      <c r="G516" s="10">
        <f t="shared" si="75"/>
        <v>23784</v>
      </c>
      <c r="H516" s="10">
        <f t="shared" si="75"/>
        <v>23784</v>
      </c>
    </row>
    <row r="517" spans="1:8" ht="31.5" x14ac:dyDescent="0.25">
      <c r="A517" s="25" t="s">
        <v>830</v>
      </c>
      <c r="B517" s="20" t="s">
        <v>953</v>
      </c>
      <c r="C517" s="40" t="s">
        <v>314</v>
      </c>
      <c r="D517" s="40" t="s">
        <v>133</v>
      </c>
      <c r="E517" s="40"/>
      <c r="F517" s="2"/>
      <c r="G517" s="10">
        <f>G518+G521+G524</f>
        <v>23784</v>
      </c>
      <c r="H517" s="10">
        <f>H518+H521+H524</f>
        <v>23784</v>
      </c>
    </row>
    <row r="518" spans="1:8" ht="94.5" x14ac:dyDescent="0.25">
      <c r="A518" s="25" t="s">
        <v>142</v>
      </c>
      <c r="B518" s="20" t="s">
        <v>953</v>
      </c>
      <c r="C518" s="40" t="s">
        <v>314</v>
      </c>
      <c r="D518" s="40" t="s">
        <v>133</v>
      </c>
      <c r="E518" s="40" t="s">
        <v>143</v>
      </c>
      <c r="F518" s="2"/>
      <c r="G518" s="10">
        <f>G519</f>
        <v>20032</v>
      </c>
      <c r="H518" s="10">
        <f>H519</f>
        <v>20032</v>
      </c>
    </row>
    <row r="519" spans="1:8" ht="31.5" x14ac:dyDescent="0.25">
      <c r="A519" s="25" t="s">
        <v>223</v>
      </c>
      <c r="B519" s="20" t="s">
        <v>953</v>
      </c>
      <c r="C519" s="40" t="s">
        <v>314</v>
      </c>
      <c r="D519" s="40" t="s">
        <v>133</v>
      </c>
      <c r="E519" s="40" t="s">
        <v>224</v>
      </c>
      <c r="F519" s="2"/>
      <c r="G519" s="10">
        <f>'пр.4.1.ведом.21-22'!G348</f>
        <v>20032</v>
      </c>
      <c r="H519" s="10">
        <f>'пр.4.1.ведом.21-22'!H348</f>
        <v>20032</v>
      </c>
    </row>
    <row r="520" spans="1:8" ht="47.25" x14ac:dyDescent="0.25">
      <c r="A520" s="25" t="s">
        <v>1269</v>
      </c>
      <c r="B520" s="20" t="s">
        <v>953</v>
      </c>
      <c r="C520" s="40" t="s">
        <v>314</v>
      </c>
      <c r="D520" s="40" t="s">
        <v>133</v>
      </c>
      <c r="E520" s="40" t="s">
        <v>224</v>
      </c>
      <c r="F520" s="2">
        <v>903</v>
      </c>
      <c r="G520" s="10">
        <f>G519</f>
        <v>20032</v>
      </c>
      <c r="H520" s="10">
        <f>H519</f>
        <v>20032</v>
      </c>
    </row>
    <row r="521" spans="1:8" ht="31.5" x14ac:dyDescent="0.25">
      <c r="A521" s="25" t="s">
        <v>146</v>
      </c>
      <c r="B521" s="20" t="s">
        <v>953</v>
      </c>
      <c r="C521" s="40" t="s">
        <v>314</v>
      </c>
      <c r="D521" s="40" t="s">
        <v>133</v>
      </c>
      <c r="E521" s="40" t="s">
        <v>147</v>
      </c>
      <c r="F521" s="2"/>
      <c r="G521" s="10">
        <f>G522</f>
        <v>3715</v>
      </c>
      <c r="H521" s="10">
        <f>H522</f>
        <v>3715</v>
      </c>
    </row>
    <row r="522" spans="1:8" ht="47.25" x14ac:dyDescent="0.25">
      <c r="A522" s="25" t="s">
        <v>148</v>
      </c>
      <c r="B522" s="20" t="s">
        <v>953</v>
      </c>
      <c r="C522" s="40" t="s">
        <v>314</v>
      </c>
      <c r="D522" s="40" t="s">
        <v>133</v>
      </c>
      <c r="E522" s="40" t="s">
        <v>149</v>
      </c>
      <c r="F522" s="2"/>
      <c r="G522" s="10">
        <f>'пр.4.1.ведом.21-22'!G350</f>
        <v>3715</v>
      </c>
      <c r="H522" s="10">
        <f>'пр.4.1.ведом.21-22'!H350</f>
        <v>3715</v>
      </c>
    </row>
    <row r="523" spans="1:8" ht="47.25" x14ac:dyDescent="0.25">
      <c r="A523" s="25" t="s">
        <v>1269</v>
      </c>
      <c r="B523" s="20" t="s">
        <v>953</v>
      </c>
      <c r="C523" s="40" t="s">
        <v>314</v>
      </c>
      <c r="D523" s="40" t="s">
        <v>133</v>
      </c>
      <c r="E523" s="40" t="s">
        <v>149</v>
      </c>
      <c r="F523" s="2">
        <v>903</v>
      </c>
      <c r="G523" s="10">
        <f>G522</f>
        <v>3715</v>
      </c>
      <c r="H523" s="10">
        <f>H522</f>
        <v>3715</v>
      </c>
    </row>
    <row r="524" spans="1:8" ht="15.75" x14ac:dyDescent="0.25">
      <c r="A524" s="25" t="s">
        <v>150</v>
      </c>
      <c r="B524" s="20" t="s">
        <v>953</v>
      </c>
      <c r="C524" s="40" t="s">
        <v>314</v>
      </c>
      <c r="D524" s="40" t="s">
        <v>133</v>
      </c>
      <c r="E524" s="40" t="s">
        <v>160</v>
      </c>
      <c r="F524" s="2"/>
      <c r="G524" s="10">
        <f>G525</f>
        <v>37</v>
      </c>
      <c r="H524" s="10">
        <f>H525</f>
        <v>37</v>
      </c>
    </row>
    <row r="525" spans="1:8" ht="15.75" x14ac:dyDescent="0.25">
      <c r="A525" s="25" t="s">
        <v>152</v>
      </c>
      <c r="B525" s="20" t="s">
        <v>953</v>
      </c>
      <c r="C525" s="40" t="s">
        <v>314</v>
      </c>
      <c r="D525" s="40" t="s">
        <v>133</v>
      </c>
      <c r="E525" s="40" t="s">
        <v>153</v>
      </c>
      <c r="F525" s="2"/>
      <c r="G525" s="10">
        <f>'пр.4.1.ведом.21-22'!G352</f>
        <v>37</v>
      </c>
      <c r="H525" s="10">
        <f>'пр.4.1.ведом.21-22'!H352</f>
        <v>37</v>
      </c>
    </row>
    <row r="526" spans="1:8" ht="47.25" x14ac:dyDescent="0.25">
      <c r="A526" s="25" t="s">
        <v>1269</v>
      </c>
      <c r="B526" s="20" t="s">
        <v>953</v>
      </c>
      <c r="C526" s="40" t="s">
        <v>314</v>
      </c>
      <c r="D526" s="40" t="s">
        <v>133</v>
      </c>
      <c r="E526" s="40" t="s">
        <v>153</v>
      </c>
      <c r="F526" s="2">
        <v>903</v>
      </c>
      <c r="G526" s="10">
        <f>G525</f>
        <v>37</v>
      </c>
      <c r="H526" s="10">
        <f>H525</f>
        <v>37</v>
      </c>
    </row>
    <row r="527" spans="1:8" ht="47.25" x14ac:dyDescent="0.25">
      <c r="A527" s="244" t="s">
        <v>968</v>
      </c>
      <c r="B527" s="24" t="s">
        <v>956</v>
      </c>
      <c r="C527" s="7"/>
      <c r="D527" s="7"/>
      <c r="E527" s="7"/>
      <c r="F527" s="3"/>
      <c r="G527" s="59">
        <f>G530+G534</f>
        <v>250</v>
      </c>
      <c r="H527" s="59">
        <f>H530+H534</f>
        <v>250</v>
      </c>
    </row>
    <row r="528" spans="1:8" ht="15.75" x14ac:dyDescent="0.25">
      <c r="A528" s="73" t="s">
        <v>313</v>
      </c>
      <c r="B528" s="40" t="s">
        <v>956</v>
      </c>
      <c r="C528" s="40" t="s">
        <v>314</v>
      </c>
      <c r="D528" s="73"/>
      <c r="E528" s="73"/>
      <c r="F528" s="2"/>
      <c r="G528" s="10">
        <f>G529</f>
        <v>250</v>
      </c>
      <c r="H528" s="10">
        <f>H529</f>
        <v>250</v>
      </c>
    </row>
    <row r="529" spans="1:8" ht="15.75" x14ac:dyDescent="0.25">
      <c r="A529" s="73" t="s">
        <v>315</v>
      </c>
      <c r="B529" s="40" t="s">
        <v>956</v>
      </c>
      <c r="C529" s="40" t="s">
        <v>314</v>
      </c>
      <c r="D529" s="40" t="s">
        <v>133</v>
      </c>
      <c r="E529" s="73"/>
      <c r="F529" s="2"/>
      <c r="G529" s="10">
        <f>G530+G534</f>
        <v>250</v>
      </c>
      <c r="H529" s="10">
        <f>H530+H534</f>
        <v>250</v>
      </c>
    </row>
    <row r="530" spans="1:8" ht="47.25" hidden="1" x14ac:dyDescent="0.25">
      <c r="A530" s="31" t="s">
        <v>858</v>
      </c>
      <c r="B530" s="20" t="s">
        <v>957</v>
      </c>
      <c r="C530" s="40" t="s">
        <v>314</v>
      </c>
      <c r="D530" s="40" t="s">
        <v>133</v>
      </c>
      <c r="E530" s="40"/>
      <c r="F530" s="2"/>
      <c r="G530" s="10">
        <f>G531</f>
        <v>0</v>
      </c>
      <c r="H530" s="10">
        <f>H531</f>
        <v>0</v>
      </c>
    </row>
    <row r="531" spans="1:8" ht="94.5" hidden="1" x14ac:dyDescent="0.25">
      <c r="A531" s="25" t="s">
        <v>142</v>
      </c>
      <c r="B531" s="20" t="s">
        <v>957</v>
      </c>
      <c r="C531" s="40" t="s">
        <v>314</v>
      </c>
      <c r="D531" s="40" t="s">
        <v>133</v>
      </c>
      <c r="E531" s="40" t="s">
        <v>143</v>
      </c>
      <c r="F531" s="2"/>
      <c r="G531" s="10">
        <f>G532</f>
        <v>0</v>
      </c>
      <c r="H531" s="10">
        <f>H532</f>
        <v>0</v>
      </c>
    </row>
    <row r="532" spans="1:8" ht="31.5" hidden="1" x14ac:dyDescent="0.25">
      <c r="A532" s="25" t="s">
        <v>223</v>
      </c>
      <c r="B532" s="20" t="s">
        <v>957</v>
      </c>
      <c r="C532" s="40" t="s">
        <v>314</v>
      </c>
      <c r="D532" s="40" t="s">
        <v>133</v>
      </c>
      <c r="E532" s="40" t="s">
        <v>224</v>
      </c>
      <c r="F532" s="2"/>
      <c r="G532" s="10">
        <f>'пр.4.1.ведом.21-22'!G356</f>
        <v>0</v>
      </c>
      <c r="H532" s="10">
        <f>'пр.4.1.ведом.21-22'!H356</f>
        <v>0</v>
      </c>
    </row>
    <row r="533" spans="1:8" ht="47.25" hidden="1" x14ac:dyDescent="0.25">
      <c r="A533" s="25" t="s">
        <v>1269</v>
      </c>
      <c r="B533" s="20" t="s">
        <v>957</v>
      </c>
      <c r="C533" s="40" t="s">
        <v>314</v>
      </c>
      <c r="D533" s="40" t="s">
        <v>133</v>
      </c>
      <c r="E533" s="40" t="s">
        <v>224</v>
      </c>
      <c r="F533" s="2">
        <v>903</v>
      </c>
      <c r="G533" s="10">
        <f>G532</f>
        <v>0</v>
      </c>
      <c r="H533" s="10">
        <f>H532</f>
        <v>0</v>
      </c>
    </row>
    <row r="534" spans="1:8" ht="31.5" x14ac:dyDescent="0.25">
      <c r="A534" s="25" t="s">
        <v>146</v>
      </c>
      <c r="B534" s="20" t="s">
        <v>957</v>
      </c>
      <c r="C534" s="40" t="s">
        <v>314</v>
      </c>
      <c r="D534" s="40" t="s">
        <v>133</v>
      </c>
      <c r="E534" s="40" t="s">
        <v>147</v>
      </c>
      <c r="F534" s="2"/>
      <c r="G534" s="10">
        <f>G535</f>
        <v>250</v>
      </c>
      <c r="H534" s="10">
        <f>H535</f>
        <v>250</v>
      </c>
    </row>
    <row r="535" spans="1:8" ht="47.25" x14ac:dyDescent="0.25">
      <c r="A535" s="25" t="s">
        <v>148</v>
      </c>
      <c r="B535" s="20" t="s">
        <v>957</v>
      </c>
      <c r="C535" s="40" t="s">
        <v>314</v>
      </c>
      <c r="D535" s="40" t="s">
        <v>133</v>
      </c>
      <c r="E535" s="40" t="s">
        <v>149</v>
      </c>
      <c r="F535" s="2"/>
      <c r="G535" s="10">
        <f>'пр.4.1.ведом.21-22'!G358</f>
        <v>250</v>
      </c>
      <c r="H535" s="10">
        <f>'пр.4.1.ведом.21-22'!H358</f>
        <v>250</v>
      </c>
    </row>
    <row r="536" spans="1:8" ht="47.25" x14ac:dyDescent="0.25">
      <c r="A536" s="25" t="s">
        <v>1269</v>
      </c>
      <c r="B536" s="20" t="s">
        <v>957</v>
      </c>
      <c r="C536" s="40" t="s">
        <v>314</v>
      </c>
      <c r="D536" s="40" t="s">
        <v>133</v>
      </c>
      <c r="E536" s="40" t="s">
        <v>149</v>
      </c>
      <c r="F536" s="2">
        <v>903</v>
      </c>
      <c r="G536" s="10">
        <f>G535</f>
        <v>250</v>
      </c>
      <c r="H536" s="10">
        <f>H535</f>
        <v>250</v>
      </c>
    </row>
    <row r="537" spans="1:8" ht="47.25" x14ac:dyDescent="0.25">
      <c r="A537" s="23" t="s">
        <v>1074</v>
      </c>
      <c r="B537" s="24" t="s">
        <v>1162</v>
      </c>
      <c r="C537" s="7"/>
      <c r="D537" s="7"/>
      <c r="E537" s="7"/>
      <c r="F537" s="3"/>
      <c r="G537" s="59">
        <f>G540</f>
        <v>588</v>
      </c>
      <c r="H537" s="59">
        <f>H540</f>
        <v>588</v>
      </c>
    </row>
    <row r="538" spans="1:8" ht="15.75" x14ac:dyDescent="0.25">
      <c r="A538" s="73" t="s">
        <v>313</v>
      </c>
      <c r="B538" s="40" t="s">
        <v>1162</v>
      </c>
      <c r="C538" s="40" t="s">
        <v>314</v>
      </c>
      <c r="D538" s="73"/>
      <c r="E538" s="73"/>
      <c r="F538" s="2"/>
      <c r="G538" s="10">
        <f>G539</f>
        <v>1412.3</v>
      </c>
      <c r="H538" s="10">
        <f>H539</f>
        <v>1412.3</v>
      </c>
    </row>
    <row r="539" spans="1:8" ht="15.75" x14ac:dyDescent="0.25">
      <c r="A539" s="73" t="s">
        <v>315</v>
      </c>
      <c r="B539" s="40" t="s">
        <v>1162</v>
      </c>
      <c r="C539" s="40" t="s">
        <v>314</v>
      </c>
      <c r="D539" s="40" t="s">
        <v>133</v>
      </c>
      <c r="E539" s="73"/>
      <c r="F539" s="2"/>
      <c r="G539" s="10">
        <f>G540+G544</f>
        <v>1412.3</v>
      </c>
      <c r="H539" s="10">
        <f>H540+H544</f>
        <v>1412.3</v>
      </c>
    </row>
    <row r="540" spans="1:8" ht="47.25" x14ac:dyDescent="0.25">
      <c r="A540" s="25" t="s">
        <v>883</v>
      </c>
      <c r="B540" s="20" t="s">
        <v>1163</v>
      </c>
      <c r="C540" s="40" t="s">
        <v>314</v>
      </c>
      <c r="D540" s="40" t="s">
        <v>133</v>
      </c>
      <c r="E540" s="40"/>
      <c r="F540" s="2"/>
      <c r="G540" s="10">
        <f>G541</f>
        <v>588</v>
      </c>
      <c r="H540" s="10">
        <f>H541</f>
        <v>588</v>
      </c>
    </row>
    <row r="541" spans="1:8" ht="94.5" x14ac:dyDescent="0.25">
      <c r="A541" s="25" t="s">
        <v>142</v>
      </c>
      <c r="B541" s="20" t="s">
        <v>1163</v>
      </c>
      <c r="C541" s="40" t="s">
        <v>314</v>
      </c>
      <c r="D541" s="40" t="s">
        <v>133</v>
      </c>
      <c r="E541" s="40" t="s">
        <v>143</v>
      </c>
      <c r="F541" s="2"/>
      <c r="G541" s="10">
        <f>G542</f>
        <v>588</v>
      </c>
      <c r="H541" s="10">
        <f>H542</f>
        <v>588</v>
      </c>
    </row>
    <row r="542" spans="1:8" ht="31.5" x14ac:dyDescent="0.25">
      <c r="A542" s="25" t="s">
        <v>144</v>
      </c>
      <c r="B542" s="20" t="s">
        <v>1163</v>
      </c>
      <c r="C542" s="40" t="s">
        <v>314</v>
      </c>
      <c r="D542" s="40" t="s">
        <v>133</v>
      </c>
      <c r="E542" s="40" t="s">
        <v>224</v>
      </c>
      <c r="F542" s="2"/>
      <c r="G542" s="10">
        <f>'пр.4.1.ведом.21-22'!G362</f>
        <v>588</v>
      </c>
      <c r="H542" s="10">
        <f>'пр.4.1.ведом.21-22'!H362</f>
        <v>588</v>
      </c>
    </row>
    <row r="543" spans="1:8" ht="47.25" x14ac:dyDescent="0.25">
      <c r="A543" s="25" t="s">
        <v>1269</v>
      </c>
      <c r="B543" s="20" t="s">
        <v>1163</v>
      </c>
      <c r="C543" s="40" t="s">
        <v>314</v>
      </c>
      <c r="D543" s="40" t="s">
        <v>133</v>
      </c>
      <c r="E543" s="40" t="s">
        <v>224</v>
      </c>
      <c r="F543" s="2">
        <v>903</v>
      </c>
      <c r="G543" s="10">
        <f>G542</f>
        <v>588</v>
      </c>
      <c r="H543" s="10">
        <f>H542</f>
        <v>588</v>
      </c>
    </row>
    <row r="544" spans="1:8" ht="47.25" x14ac:dyDescent="0.25">
      <c r="A544" s="245" t="s">
        <v>969</v>
      </c>
      <c r="B544" s="24" t="s">
        <v>1164</v>
      </c>
      <c r="C544" s="7"/>
      <c r="D544" s="7"/>
      <c r="E544" s="7"/>
      <c r="F544" s="3"/>
      <c r="G544" s="59">
        <f>G547</f>
        <v>824.3</v>
      </c>
      <c r="H544" s="59">
        <f>H547</f>
        <v>824.3</v>
      </c>
    </row>
    <row r="545" spans="1:8" ht="15.75" x14ac:dyDescent="0.25">
      <c r="A545" s="73" t="s">
        <v>313</v>
      </c>
      <c r="B545" s="40" t="s">
        <v>1164</v>
      </c>
      <c r="C545" s="40" t="s">
        <v>314</v>
      </c>
      <c r="D545" s="73"/>
      <c r="E545" s="73"/>
      <c r="F545" s="2"/>
      <c r="G545" s="10">
        <f t="shared" ref="G545:H548" si="76">G546</f>
        <v>824.3</v>
      </c>
      <c r="H545" s="10">
        <f t="shared" si="76"/>
        <v>824.3</v>
      </c>
    </row>
    <row r="546" spans="1:8" ht="15.75" x14ac:dyDescent="0.25">
      <c r="A546" s="73" t="s">
        <v>315</v>
      </c>
      <c r="B546" s="40" t="s">
        <v>1164</v>
      </c>
      <c r="C546" s="40" t="s">
        <v>314</v>
      </c>
      <c r="D546" s="40" t="s">
        <v>133</v>
      </c>
      <c r="E546" s="73"/>
      <c r="F546" s="2"/>
      <c r="G546" s="10">
        <f t="shared" si="76"/>
        <v>824.3</v>
      </c>
      <c r="H546" s="10">
        <f t="shared" si="76"/>
        <v>824.3</v>
      </c>
    </row>
    <row r="547" spans="1:8" ht="110.25" x14ac:dyDescent="0.25">
      <c r="A547" s="31" t="s">
        <v>308</v>
      </c>
      <c r="B547" s="20" t="s">
        <v>1527</v>
      </c>
      <c r="C547" s="40" t="s">
        <v>314</v>
      </c>
      <c r="D547" s="40" t="s">
        <v>133</v>
      </c>
      <c r="E547" s="40"/>
      <c r="F547" s="2"/>
      <c r="G547" s="10">
        <f t="shared" si="76"/>
        <v>824.3</v>
      </c>
      <c r="H547" s="10">
        <f t="shared" si="76"/>
        <v>824.3</v>
      </c>
    </row>
    <row r="548" spans="1:8" ht="94.5" x14ac:dyDescent="0.25">
      <c r="A548" s="25" t="s">
        <v>142</v>
      </c>
      <c r="B548" s="368" t="s">
        <v>1527</v>
      </c>
      <c r="C548" s="40" t="s">
        <v>314</v>
      </c>
      <c r="D548" s="40" t="s">
        <v>133</v>
      </c>
      <c r="E548" s="40" t="s">
        <v>143</v>
      </c>
      <c r="F548" s="2"/>
      <c r="G548" s="10">
        <f t="shared" si="76"/>
        <v>824.3</v>
      </c>
      <c r="H548" s="10">
        <f t="shared" si="76"/>
        <v>824.3</v>
      </c>
    </row>
    <row r="549" spans="1:8" ht="31.5" x14ac:dyDescent="0.25">
      <c r="A549" s="25" t="s">
        <v>223</v>
      </c>
      <c r="B549" s="368" t="s">
        <v>1527</v>
      </c>
      <c r="C549" s="40" t="s">
        <v>314</v>
      </c>
      <c r="D549" s="40" t="s">
        <v>133</v>
      </c>
      <c r="E549" s="40" t="s">
        <v>224</v>
      </c>
      <c r="F549" s="2"/>
      <c r="G549" s="10">
        <f>'пр.4.1.ведом.21-22'!G366</f>
        <v>824.3</v>
      </c>
      <c r="H549" s="10">
        <f>'пр.4.1.ведом.21-22'!H366</f>
        <v>824.3</v>
      </c>
    </row>
    <row r="550" spans="1:8" ht="47.25" x14ac:dyDescent="0.25">
      <c r="A550" s="25" t="s">
        <v>1269</v>
      </c>
      <c r="B550" s="368" t="s">
        <v>1527</v>
      </c>
      <c r="C550" s="40" t="s">
        <v>314</v>
      </c>
      <c r="D550" s="40" t="s">
        <v>133</v>
      </c>
      <c r="E550" s="40" t="s">
        <v>224</v>
      </c>
      <c r="F550" s="2">
        <v>903</v>
      </c>
      <c r="G550" s="10">
        <f>G549</f>
        <v>824.3</v>
      </c>
      <c r="H550" s="10">
        <f>H549</f>
        <v>824.3</v>
      </c>
    </row>
    <row r="551" spans="1:8" s="221" customFormat="1" ht="47.25" x14ac:dyDescent="0.25">
      <c r="A551" s="299" t="s">
        <v>1448</v>
      </c>
      <c r="B551" s="24" t="s">
        <v>1447</v>
      </c>
      <c r="C551" s="40"/>
      <c r="D551" s="73"/>
      <c r="E551" s="73"/>
      <c r="F551" s="2"/>
      <c r="G551" s="59">
        <f t="shared" ref="G551:H555" si="77">G552</f>
        <v>2296.558</v>
      </c>
      <c r="H551" s="59">
        <f t="shared" si="77"/>
        <v>0</v>
      </c>
    </row>
    <row r="552" spans="1:8" s="221" customFormat="1" ht="15.75" x14ac:dyDescent="0.25">
      <c r="A552" s="73" t="s">
        <v>313</v>
      </c>
      <c r="B552" s="20" t="s">
        <v>1447</v>
      </c>
      <c r="C552" s="40" t="s">
        <v>314</v>
      </c>
      <c r="D552" s="73"/>
      <c r="E552" s="73"/>
      <c r="F552" s="2"/>
      <c r="G552" s="10">
        <f t="shared" si="77"/>
        <v>2296.558</v>
      </c>
      <c r="H552" s="10">
        <f t="shared" si="77"/>
        <v>0</v>
      </c>
    </row>
    <row r="553" spans="1:8" s="221" customFormat="1" ht="15.75" x14ac:dyDescent="0.25">
      <c r="A553" s="73" t="s">
        <v>315</v>
      </c>
      <c r="B553" s="20" t="s">
        <v>1447</v>
      </c>
      <c r="C553" s="40" t="s">
        <v>314</v>
      </c>
      <c r="D553" s="40" t="s">
        <v>133</v>
      </c>
      <c r="E553" s="73"/>
      <c r="F553" s="2"/>
      <c r="G553" s="10">
        <f t="shared" si="77"/>
        <v>2296.558</v>
      </c>
      <c r="H553" s="10">
        <f t="shared" si="77"/>
        <v>0</v>
      </c>
    </row>
    <row r="554" spans="1:8" s="221" customFormat="1" ht="63" x14ac:dyDescent="0.25">
      <c r="A554" s="300" t="s">
        <v>1410</v>
      </c>
      <c r="B554" s="20" t="s">
        <v>1446</v>
      </c>
      <c r="C554" s="40" t="s">
        <v>314</v>
      </c>
      <c r="D554" s="40" t="s">
        <v>133</v>
      </c>
      <c r="E554" s="40"/>
      <c r="F554" s="2"/>
      <c r="G554" s="10">
        <f t="shared" si="77"/>
        <v>2296.558</v>
      </c>
      <c r="H554" s="10">
        <f t="shared" si="77"/>
        <v>0</v>
      </c>
    </row>
    <row r="555" spans="1:8" s="221" customFormat="1" ht="31.5" x14ac:dyDescent="0.25">
      <c r="A555" s="25" t="s">
        <v>146</v>
      </c>
      <c r="B555" s="20" t="s">
        <v>1446</v>
      </c>
      <c r="C555" s="40" t="s">
        <v>314</v>
      </c>
      <c r="D555" s="40" t="s">
        <v>133</v>
      </c>
      <c r="E555" s="40" t="s">
        <v>147</v>
      </c>
      <c r="F555" s="2"/>
      <c r="G555" s="10">
        <f t="shared" si="77"/>
        <v>2296.558</v>
      </c>
      <c r="H555" s="10">
        <f t="shared" si="77"/>
        <v>0</v>
      </c>
    </row>
    <row r="556" spans="1:8" s="221" customFormat="1" ht="47.25" x14ac:dyDescent="0.25">
      <c r="A556" s="25" t="s">
        <v>148</v>
      </c>
      <c r="B556" s="20" t="s">
        <v>1446</v>
      </c>
      <c r="C556" s="40" t="s">
        <v>314</v>
      </c>
      <c r="D556" s="40" t="s">
        <v>133</v>
      </c>
      <c r="E556" s="40" t="s">
        <v>149</v>
      </c>
      <c r="F556" s="2"/>
      <c r="G556" s="10">
        <f>'пр.4.1.ведом.21-22'!G370</f>
        <v>2296.558</v>
      </c>
      <c r="H556" s="10">
        <f>'пр.4.1.ведом.21-22'!H370</f>
        <v>0</v>
      </c>
    </row>
    <row r="557" spans="1:8" s="221" customFormat="1" ht="47.25" x14ac:dyDescent="0.25">
      <c r="A557" s="25" t="s">
        <v>1269</v>
      </c>
      <c r="B557" s="20" t="s">
        <v>1446</v>
      </c>
      <c r="C557" s="40" t="s">
        <v>314</v>
      </c>
      <c r="D557" s="40" t="s">
        <v>133</v>
      </c>
      <c r="E557" s="40" t="s">
        <v>149</v>
      </c>
      <c r="F557" s="2">
        <v>903</v>
      </c>
      <c r="G557" s="10">
        <f>G551</f>
        <v>2296.558</v>
      </c>
      <c r="H557" s="10">
        <f>H551</f>
        <v>0</v>
      </c>
    </row>
    <row r="558" spans="1:8" ht="47.25" x14ac:dyDescent="0.25">
      <c r="A558" s="41" t="s">
        <v>327</v>
      </c>
      <c r="B558" s="7" t="s">
        <v>328</v>
      </c>
      <c r="C558" s="7"/>
      <c r="D558" s="7"/>
      <c r="E558" s="7"/>
      <c r="F558" s="75"/>
      <c r="G558" s="59">
        <f>G559+G572+G579+G586+G597</f>
        <v>24393.454000000002</v>
      </c>
      <c r="H558" s="59">
        <f>H559+H572+H579+H586+H597</f>
        <v>24415.7</v>
      </c>
    </row>
    <row r="559" spans="1:8" ht="47.25" x14ac:dyDescent="0.25">
      <c r="A559" s="23" t="s">
        <v>954</v>
      </c>
      <c r="B559" s="24" t="s">
        <v>958</v>
      </c>
      <c r="C559" s="7"/>
      <c r="D559" s="7"/>
      <c r="E559" s="7"/>
      <c r="F559" s="3"/>
      <c r="G559" s="59">
        <f>G560</f>
        <v>22194</v>
      </c>
      <c r="H559" s="59">
        <f>H560</f>
        <v>22194</v>
      </c>
    </row>
    <row r="560" spans="1:8" ht="15.75" x14ac:dyDescent="0.25">
      <c r="A560" s="73" t="s">
        <v>313</v>
      </c>
      <c r="B560" s="40" t="s">
        <v>958</v>
      </c>
      <c r="C560" s="40" t="s">
        <v>314</v>
      </c>
      <c r="D560" s="40"/>
      <c r="E560" s="40"/>
      <c r="F560" s="74"/>
      <c r="G560" s="10">
        <f t="shared" ref="G560:H560" si="78">G561</f>
        <v>22194</v>
      </c>
      <c r="H560" s="10">
        <f t="shared" si="78"/>
        <v>22194</v>
      </c>
    </row>
    <row r="561" spans="1:8" ht="15.75" x14ac:dyDescent="0.25">
      <c r="A561" s="73" t="s">
        <v>315</v>
      </c>
      <c r="B561" s="40" t="s">
        <v>958</v>
      </c>
      <c r="C561" s="40" t="s">
        <v>314</v>
      </c>
      <c r="D561" s="40" t="s">
        <v>133</v>
      </c>
      <c r="E561" s="40"/>
      <c r="F561" s="74"/>
      <c r="G561" s="10">
        <f>G562</f>
        <v>22194</v>
      </c>
      <c r="H561" s="10">
        <f>H562</f>
        <v>22194</v>
      </c>
    </row>
    <row r="562" spans="1:8" ht="31.5" x14ac:dyDescent="0.25">
      <c r="A562" s="25" t="s">
        <v>830</v>
      </c>
      <c r="B562" s="20" t="s">
        <v>959</v>
      </c>
      <c r="C562" s="40" t="s">
        <v>314</v>
      </c>
      <c r="D562" s="40" t="s">
        <v>133</v>
      </c>
      <c r="E562" s="40"/>
      <c r="F562" s="2"/>
      <c r="G562" s="10">
        <f>G563+G566+G569</f>
        <v>22194</v>
      </c>
      <c r="H562" s="10">
        <f>H563+H566+H569</f>
        <v>22194</v>
      </c>
    </row>
    <row r="563" spans="1:8" ht="94.5" x14ac:dyDescent="0.25">
      <c r="A563" s="25" t="s">
        <v>142</v>
      </c>
      <c r="B563" s="20" t="s">
        <v>959</v>
      </c>
      <c r="C563" s="40" t="s">
        <v>314</v>
      </c>
      <c r="D563" s="40" t="s">
        <v>133</v>
      </c>
      <c r="E563" s="40" t="s">
        <v>143</v>
      </c>
      <c r="F563" s="2"/>
      <c r="G563" s="10">
        <f>G564</f>
        <v>19218</v>
      </c>
      <c r="H563" s="10">
        <f>H564</f>
        <v>19218</v>
      </c>
    </row>
    <row r="564" spans="1:8" ht="31.5" x14ac:dyDescent="0.25">
      <c r="A564" s="25" t="s">
        <v>223</v>
      </c>
      <c r="B564" s="20" t="s">
        <v>959</v>
      </c>
      <c r="C564" s="40" t="s">
        <v>314</v>
      </c>
      <c r="D564" s="40" t="s">
        <v>133</v>
      </c>
      <c r="E564" s="40" t="s">
        <v>224</v>
      </c>
      <c r="F564" s="2"/>
      <c r="G564" s="10">
        <f>'пр.4.1.ведом.21-22'!G375</f>
        <v>19218</v>
      </c>
      <c r="H564" s="10">
        <f>'пр.4.1.ведом.21-22'!H375</f>
        <v>19218</v>
      </c>
    </row>
    <row r="565" spans="1:8" ht="47.25" x14ac:dyDescent="0.25">
      <c r="A565" s="25" t="s">
        <v>1269</v>
      </c>
      <c r="B565" s="20" t="s">
        <v>959</v>
      </c>
      <c r="C565" s="40" t="s">
        <v>314</v>
      </c>
      <c r="D565" s="40" t="s">
        <v>133</v>
      </c>
      <c r="E565" s="40" t="s">
        <v>224</v>
      </c>
      <c r="F565" s="2">
        <v>903</v>
      </c>
      <c r="G565" s="10">
        <f>G564</f>
        <v>19218</v>
      </c>
      <c r="H565" s="10">
        <f>H564</f>
        <v>19218</v>
      </c>
    </row>
    <row r="566" spans="1:8" ht="31.5" x14ac:dyDescent="0.25">
      <c r="A566" s="25" t="s">
        <v>146</v>
      </c>
      <c r="B566" s="20" t="s">
        <v>959</v>
      </c>
      <c r="C566" s="40" t="s">
        <v>314</v>
      </c>
      <c r="D566" s="40" t="s">
        <v>133</v>
      </c>
      <c r="E566" s="40" t="s">
        <v>147</v>
      </c>
      <c r="F566" s="2"/>
      <c r="G566" s="10">
        <f>G567</f>
        <v>2950</v>
      </c>
      <c r="H566" s="10">
        <f>H567</f>
        <v>2950</v>
      </c>
    </row>
    <row r="567" spans="1:8" ht="47.25" x14ac:dyDescent="0.25">
      <c r="A567" s="25" t="s">
        <v>148</v>
      </c>
      <c r="B567" s="20" t="s">
        <v>959</v>
      </c>
      <c r="C567" s="40" t="s">
        <v>314</v>
      </c>
      <c r="D567" s="40" t="s">
        <v>133</v>
      </c>
      <c r="E567" s="40" t="s">
        <v>149</v>
      </c>
      <c r="F567" s="2"/>
      <c r="G567" s="10">
        <f>'пр.4.1.ведом.21-22'!G377</f>
        <v>2950</v>
      </c>
      <c r="H567" s="10">
        <f>'пр.4.1.ведом.21-22'!H377</f>
        <v>2950</v>
      </c>
    </row>
    <row r="568" spans="1:8" ht="47.25" x14ac:dyDescent="0.25">
      <c r="A568" s="25" t="s">
        <v>1269</v>
      </c>
      <c r="B568" s="20" t="s">
        <v>959</v>
      </c>
      <c r="C568" s="40" t="s">
        <v>314</v>
      </c>
      <c r="D568" s="40" t="s">
        <v>133</v>
      </c>
      <c r="E568" s="40" t="s">
        <v>149</v>
      </c>
      <c r="F568" s="2">
        <v>903</v>
      </c>
      <c r="G568" s="10">
        <f>G567</f>
        <v>2950</v>
      </c>
      <c r="H568" s="10">
        <f>H567</f>
        <v>2950</v>
      </c>
    </row>
    <row r="569" spans="1:8" ht="15.75" x14ac:dyDescent="0.25">
      <c r="A569" s="25" t="s">
        <v>150</v>
      </c>
      <c r="B569" s="20" t="s">
        <v>959</v>
      </c>
      <c r="C569" s="40" t="s">
        <v>314</v>
      </c>
      <c r="D569" s="40" t="s">
        <v>133</v>
      </c>
      <c r="E569" s="40" t="s">
        <v>160</v>
      </c>
      <c r="F569" s="2"/>
      <c r="G569" s="10">
        <f>G570</f>
        <v>26</v>
      </c>
      <c r="H569" s="10">
        <f>H570</f>
        <v>26</v>
      </c>
    </row>
    <row r="570" spans="1:8" ht="15.75" x14ac:dyDescent="0.25">
      <c r="A570" s="25" t="s">
        <v>152</v>
      </c>
      <c r="B570" s="20" t="s">
        <v>959</v>
      </c>
      <c r="C570" s="40" t="s">
        <v>314</v>
      </c>
      <c r="D570" s="40" t="s">
        <v>133</v>
      </c>
      <c r="E570" s="40" t="s">
        <v>153</v>
      </c>
      <c r="F570" s="2"/>
      <c r="G570" s="10">
        <f>'пр.4.1.ведом.21-22'!G379</f>
        <v>26</v>
      </c>
      <c r="H570" s="10">
        <f>'пр.4.1.ведом.21-22'!H379</f>
        <v>26</v>
      </c>
    </row>
    <row r="571" spans="1:8" ht="47.25" x14ac:dyDescent="0.25">
      <c r="A571" s="25" t="s">
        <v>1269</v>
      </c>
      <c r="B571" s="20" t="s">
        <v>959</v>
      </c>
      <c r="C571" s="40" t="s">
        <v>314</v>
      </c>
      <c r="D571" s="40" t="s">
        <v>133</v>
      </c>
      <c r="E571" s="40" t="s">
        <v>153</v>
      </c>
      <c r="F571" s="2">
        <v>903</v>
      </c>
      <c r="G571" s="10">
        <f>G570</f>
        <v>26</v>
      </c>
      <c r="H571" s="10">
        <f>H570</f>
        <v>26</v>
      </c>
    </row>
    <row r="572" spans="1:8" ht="35.450000000000003" customHeight="1" x14ac:dyDescent="0.25">
      <c r="A572" s="23" t="s">
        <v>971</v>
      </c>
      <c r="B572" s="24" t="s">
        <v>960</v>
      </c>
      <c r="C572" s="7"/>
      <c r="D572" s="7"/>
      <c r="E572" s="7"/>
      <c r="F572" s="3"/>
      <c r="G572" s="59">
        <f>G575</f>
        <v>27.754000000000001</v>
      </c>
      <c r="H572" s="59">
        <f>H575</f>
        <v>50</v>
      </c>
    </row>
    <row r="573" spans="1:8" ht="15.75" x14ac:dyDescent="0.25">
      <c r="A573" s="73" t="s">
        <v>313</v>
      </c>
      <c r="B573" s="40" t="s">
        <v>960</v>
      </c>
      <c r="C573" s="40" t="s">
        <v>314</v>
      </c>
      <c r="D573" s="40"/>
      <c r="E573" s="40"/>
      <c r="F573" s="74"/>
      <c r="G573" s="10">
        <f t="shared" ref="G573:H573" si="79">G574</f>
        <v>27.754000000000001</v>
      </c>
      <c r="H573" s="10">
        <f t="shared" si="79"/>
        <v>50</v>
      </c>
    </row>
    <row r="574" spans="1:8" ht="15.75" x14ac:dyDescent="0.25">
      <c r="A574" s="73" t="s">
        <v>315</v>
      </c>
      <c r="B574" s="40" t="s">
        <v>960</v>
      </c>
      <c r="C574" s="40" t="s">
        <v>314</v>
      </c>
      <c r="D574" s="40" t="s">
        <v>133</v>
      </c>
      <c r="E574" s="40"/>
      <c r="F574" s="74"/>
      <c r="G574" s="10">
        <f t="shared" ref="G574:H576" si="80">G575</f>
        <v>27.754000000000001</v>
      </c>
      <c r="H574" s="10">
        <f t="shared" si="80"/>
        <v>50</v>
      </c>
    </row>
    <row r="575" spans="1:8" ht="31.5" x14ac:dyDescent="0.25">
      <c r="A575" s="25" t="s">
        <v>864</v>
      </c>
      <c r="B575" s="20" t="s">
        <v>961</v>
      </c>
      <c r="C575" s="40" t="s">
        <v>314</v>
      </c>
      <c r="D575" s="40" t="s">
        <v>133</v>
      </c>
      <c r="E575" s="40"/>
      <c r="F575" s="2"/>
      <c r="G575" s="10">
        <f t="shared" si="80"/>
        <v>27.754000000000001</v>
      </c>
      <c r="H575" s="10">
        <f t="shared" si="80"/>
        <v>50</v>
      </c>
    </row>
    <row r="576" spans="1:8" ht="31.5" x14ac:dyDescent="0.25">
      <c r="A576" s="25" t="s">
        <v>146</v>
      </c>
      <c r="B576" s="20" t="s">
        <v>961</v>
      </c>
      <c r="C576" s="40" t="s">
        <v>314</v>
      </c>
      <c r="D576" s="40" t="s">
        <v>133</v>
      </c>
      <c r="E576" s="40" t="s">
        <v>147</v>
      </c>
      <c r="F576" s="2"/>
      <c r="G576" s="10">
        <f t="shared" si="80"/>
        <v>27.754000000000001</v>
      </c>
      <c r="H576" s="10">
        <f t="shared" si="80"/>
        <v>50</v>
      </c>
    </row>
    <row r="577" spans="1:8" ht="47.25" x14ac:dyDescent="0.25">
      <c r="A577" s="25" t="s">
        <v>148</v>
      </c>
      <c r="B577" s="20" t="s">
        <v>961</v>
      </c>
      <c r="C577" s="40" t="s">
        <v>314</v>
      </c>
      <c r="D577" s="40" t="s">
        <v>133</v>
      </c>
      <c r="E577" s="40" t="s">
        <v>149</v>
      </c>
      <c r="F577" s="2"/>
      <c r="G577" s="10">
        <f>'пр.4.1.ведом.21-22'!G383</f>
        <v>27.754000000000001</v>
      </c>
      <c r="H577" s="10">
        <f>'пр.4.1.ведом.21-22'!H383</f>
        <v>50</v>
      </c>
    </row>
    <row r="578" spans="1:8" ht="47.25" x14ac:dyDescent="0.25">
      <c r="A578" s="25" t="s">
        <v>1269</v>
      </c>
      <c r="B578" s="20" t="s">
        <v>961</v>
      </c>
      <c r="C578" s="40" t="s">
        <v>314</v>
      </c>
      <c r="D578" s="40" t="s">
        <v>133</v>
      </c>
      <c r="E578" s="40" t="s">
        <v>149</v>
      </c>
      <c r="F578" s="2">
        <v>903</v>
      </c>
      <c r="G578" s="10">
        <f>G577</f>
        <v>27.754000000000001</v>
      </c>
      <c r="H578" s="10">
        <f>H577</f>
        <v>50</v>
      </c>
    </row>
    <row r="579" spans="1:8" ht="47.25" x14ac:dyDescent="0.25">
      <c r="A579" s="23" t="s">
        <v>1074</v>
      </c>
      <c r="B579" s="24" t="s">
        <v>962</v>
      </c>
      <c r="C579" s="7"/>
      <c r="D579" s="7"/>
      <c r="E579" s="7"/>
      <c r="F579" s="3"/>
      <c r="G579" s="59">
        <f>G582</f>
        <v>507</v>
      </c>
      <c r="H579" s="59">
        <f>H582</f>
        <v>507</v>
      </c>
    </row>
    <row r="580" spans="1:8" ht="15.75" x14ac:dyDescent="0.25">
      <c r="A580" s="73" t="s">
        <v>313</v>
      </c>
      <c r="B580" s="40" t="s">
        <v>962</v>
      </c>
      <c r="C580" s="40" t="s">
        <v>314</v>
      </c>
      <c r="D580" s="40"/>
      <c r="E580" s="40"/>
      <c r="F580" s="74"/>
      <c r="G580" s="10">
        <f t="shared" ref="G580:H580" si="81">G581</f>
        <v>507</v>
      </c>
      <c r="H580" s="10">
        <f t="shared" si="81"/>
        <v>507</v>
      </c>
    </row>
    <row r="581" spans="1:8" ht="15.75" x14ac:dyDescent="0.25">
      <c r="A581" s="73" t="s">
        <v>315</v>
      </c>
      <c r="B581" s="40" t="s">
        <v>962</v>
      </c>
      <c r="C581" s="40" t="s">
        <v>314</v>
      </c>
      <c r="D581" s="40" t="s">
        <v>133</v>
      </c>
      <c r="E581" s="40"/>
      <c r="F581" s="74"/>
      <c r="G581" s="10">
        <f t="shared" ref="G581:H583" si="82">G582</f>
        <v>507</v>
      </c>
      <c r="H581" s="10">
        <f t="shared" si="82"/>
        <v>507</v>
      </c>
    </row>
    <row r="582" spans="1:8" ht="47.25" x14ac:dyDescent="0.25">
      <c r="A582" s="25" t="s">
        <v>883</v>
      </c>
      <c r="B582" s="20" t="s">
        <v>1252</v>
      </c>
      <c r="C582" s="40" t="s">
        <v>314</v>
      </c>
      <c r="D582" s="40" t="s">
        <v>133</v>
      </c>
      <c r="E582" s="40"/>
      <c r="F582" s="2"/>
      <c r="G582" s="10">
        <f t="shared" si="82"/>
        <v>507</v>
      </c>
      <c r="H582" s="10">
        <f t="shared" si="82"/>
        <v>507</v>
      </c>
    </row>
    <row r="583" spans="1:8" ht="94.5" x14ac:dyDescent="0.25">
      <c r="A583" s="25" t="s">
        <v>142</v>
      </c>
      <c r="B583" s="20" t="s">
        <v>1252</v>
      </c>
      <c r="C583" s="40" t="s">
        <v>314</v>
      </c>
      <c r="D583" s="40" t="s">
        <v>133</v>
      </c>
      <c r="E583" s="40" t="s">
        <v>143</v>
      </c>
      <c r="F583" s="2"/>
      <c r="G583" s="10">
        <f t="shared" si="82"/>
        <v>507</v>
      </c>
      <c r="H583" s="10">
        <f t="shared" si="82"/>
        <v>507</v>
      </c>
    </row>
    <row r="584" spans="1:8" ht="31.5" x14ac:dyDescent="0.25">
      <c r="A584" s="25" t="s">
        <v>144</v>
      </c>
      <c r="B584" s="20" t="s">
        <v>1252</v>
      </c>
      <c r="C584" s="40" t="s">
        <v>314</v>
      </c>
      <c r="D584" s="40" t="s">
        <v>133</v>
      </c>
      <c r="E584" s="40" t="s">
        <v>224</v>
      </c>
      <c r="F584" s="2"/>
      <c r="G584" s="10">
        <f>'пр.4.1.ведом.21-22'!G387</f>
        <v>507</v>
      </c>
      <c r="H584" s="10">
        <f>'пр.4.1.ведом.21-22'!H387</f>
        <v>507</v>
      </c>
    </row>
    <row r="585" spans="1:8" ht="47.25" x14ac:dyDescent="0.25">
      <c r="A585" s="25" t="s">
        <v>1269</v>
      </c>
      <c r="B585" s="20" t="s">
        <v>1252</v>
      </c>
      <c r="C585" s="40" t="s">
        <v>314</v>
      </c>
      <c r="D585" s="40" t="s">
        <v>133</v>
      </c>
      <c r="E585" s="40" t="s">
        <v>224</v>
      </c>
      <c r="F585" s="2">
        <v>903</v>
      </c>
      <c r="G585" s="10">
        <f>G584</f>
        <v>507</v>
      </c>
      <c r="H585" s="10">
        <f>H584</f>
        <v>507</v>
      </c>
    </row>
    <row r="586" spans="1:8" ht="31.5" x14ac:dyDescent="0.25">
      <c r="A586" s="23" t="s">
        <v>1161</v>
      </c>
      <c r="B586" s="24" t="s">
        <v>963</v>
      </c>
      <c r="C586" s="7"/>
      <c r="D586" s="7"/>
      <c r="E586" s="7"/>
      <c r="F586" s="3"/>
      <c r="G586" s="59">
        <f>G589+G593</f>
        <v>68.7</v>
      </c>
      <c r="H586" s="59">
        <f>H589+H593</f>
        <v>68.7</v>
      </c>
    </row>
    <row r="587" spans="1:8" ht="15.75" x14ac:dyDescent="0.25">
      <c r="A587" s="68" t="s">
        <v>313</v>
      </c>
      <c r="B587" s="40" t="s">
        <v>963</v>
      </c>
      <c r="C587" s="40" t="s">
        <v>314</v>
      </c>
      <c r="D587" s="40"/>
      <c r="E587" s="40"/>
      <c r="F587" s="74"/>
      <c r="G587" s="10">
        <f t="shared" ref="G587:H587" si="83">G588</f>
        <v>68.7</v>
      </c>
      <c r="H587" s="10">
        <f t="shared" si="83"/>
        <v>68.7</v>
      </c>
    </row>
    <row r="588" spans="1:8" ht="15.75" x14ac:dyDescent="0.25">
      <c r="A588" s="68" t="s">
        <v>315</v>
      </c>
      <c r="B588" s="40" t="s">
        <v>963</v>
      </c>
      <c r="C588" s="40" t="s">
        <v>314</v>
      </c>
      <c r="D588" s="40" t="s">
        <v>133</v>
      </c>
      <c r="E588" s="40"/>
      <c r="F588" s="74"/>
      <c r="G588" s="10">
        <f>G589+G593</f>
        <v>68.7</v>
      </c>
      <c r="H588" s="10">
        <f>H589+H593</f>
        <v>68.7</v>
      </c>
    </row>
    <row r="589" spans="1:8" ht="31.5" x14ac:dyDescent="0.25">
      <c r="A589" s="25" t="s">
        <v>344</v>
      </c>
      <c r="B589" s="20" t="s">
        <v>1253</v>
      </c>
      <c r="C589" s="40" t="s">
        <v>314</v>
      </c>
      <c r="D589" s="40" t="s">
        <v>133</v>
      </c>
      <c r="E589" s="40"/>
      <c r="F589" s="2"/>
      <c r="G589" s="10">
        <f>G590</f>
        <v>3.5</v>
      </c>
      <c r="H589" s="10">
        <f>H590</f>
        <v>3.5</v>
      </c>
    </row>
    <row r="590" spans="1:8" ht="31.5" x14ac:dyDescent="0.25">
      <c r="A590" s="25" t="s">
        <v>146</v>
      </c>
      <c r="B590" s="20" t="s">
        <v>1253</v>
      </c>
      <c r="C590" s="40" t="s">
        <v>314</v>
      </c>
      <c r="D590" s="40" t="s">
        <v>133</v>
      </c>
      <c r="E590" s="40" t="s">
        <v>147</v>
      </c>
      <c r="F590" s="2"/>
      <c r="G590" s="10">
        <f>G591</f>
        <v>3.5</v>
      </c>
      <c r="H590" s="10">
        <f>H591</f>
        <v>3.5</v>
      </c>
    </row>
    <row r="591" spans="1:8" ht="47.25" x14ac:dyDescent="0.25">
      <c r="A591" s="25" t="s">
        <v>148</v>
      </c>
      <c r="B591" s="20" t="s">
        <v>1253</v>
      </c>
      <c r="C591" s="40" t="s">
        <v>314</v>
      </c>
      <c r="D591" s="40" t="s">
        <v>133</v>
      </c>
      <c r="E591" s="40" t="s">
        <v>149</v>
      </c>
      <c r="F591" s="2"/>
      <c r="G591" s="10">
        <f>'пр.4.1.ведом.21-22'!G391</f>
        <v>3.5</v>
      </c>
      <c r="H591" s="10">
        <f>'пр.4.1.ведом.21-22'!H391</f>
        <v>3.5</v>
      </c>
    </row>
    <row r="592" spans="1:8" ht="47.25" x14ac:dyDescent="0.25">
      <c r="A592" s="25" t="s">
        <v>1269</v>
      </c>
      <c r="B592" s="20" t="s">
        <v>1253</v>
      </c>
      <c r="C592" s="40" t="s">
        <v>314</v>
      </c>
      <c r="D592" s="40" t="s">
        <v>133</v>
      </c>
      <c r="E592" s="40" t="s">
        <v>149</v>
      </c>
      <c r="F592" s="2">
        <v>903</v>
      </c>
      <c r="G592" s="10">
        <f>G591</f>
        <v>3.5</v>
      </c>
      <c r="H592" s="10">
        <f>H591</f>
        <v>3.5</v>
      </c>
    </row>
    <row r="593" spans="1:8" ht="31.5" x14ac:dyDescent="0.25">
      <c r="A593" s="25" t="s">
        <v>344</v>
      </c>
      <c r="B593" s="20" t="s">
        <v>1254</v>
      </c>
      <c r="C593" s="40" t="s">
        <v>314</v>
      </c>
      <c r="D593" s="40" t="s">
        <v>133</v>
      </c>
      <c r="E593" s="40"/>
      <c r="F593" s="2"/>
      <c r="G593" s="10">
        <f>G594</f>
        <v>65.2</v>
      </c>
      <c r="H593" s="10">
        <f>H594</f>
        <v>65.2</v>
      </c>
    </row>
    <row r="594" spans="1:8" ht="31.5" x14ac:dyDescent="0.25">
      <c r="A594" s="25" t="s">
        <v>146</v>
      </c>
      <c r="B594" s="20" t="s">
        <v>1254</v>
      </c>
      <c r="C594" s="40" t="s">
        <v>314</v>
      </c>
      <c r="D594" s="40" t="s">
        <v>133</v>
      </c>
      <c r="E594" s="40" t="s">
        <v>147</v>
      </c>
      <c r="F594" s="2"/>
      <c r="G594" s="10">
        <f>G595</f>
        <v>65.2</v>
      </c>
      <c r="H594" s="10">
        <f>H595</f>
        <v>65.2</v>
      </c>
    </row>
    <row r="595" spans="1:8" ht="47.25" x14ac:dyDescent="0.25">
      <c r="A595" s="25" t="s">
        <v>148</v>
      </c>
      <c r="B595" s="20" t="s">
        <v>1254</v>
      </c>
      <c r="C595" s="40" t="s">
        <v>314</v>
      </c>
      <c r="D595" s="40" t="s">
        <v>133</v>
      </c>
      <c r="E595" s="40" t="s">
        <v>149</v>
      </c>
      <c r="F595" s="2"/>
      <c r="G595" s="10">
        <f>'пр.4.1.ведом.21-22'!G394</f>
        <v>65.2</v>
      </c>
      <c r="H595" s="10">
        <f>'пр.4.1.ведом.21-22'!H394</f>
        <v>65.2</v>
      </c>
    </row>
    <row r="596" spans="1:8" ht="47.25" x14ac:dyDescent="0.25">
      <c r="A596" s="25" t="s">
        <v>1269</v>
      </c>
      <c r="B596" s="20" t="s">
        <v>1254</v>
      </c>
      <c r="C596" s="40" t="s">
        <v>314</v>
      </c>
      <c r="D596" s="40" t="s">
        <v>133</v>
      </c>
      <c r="E596" s="40" t="s">
        <v>149</v>
      </c>
      <c r="F596" s="2">
        <v>903</v>
      </c>
      <c r="G596" s="10">
        <f>G595</f>
        <v>65.2</v>
      </c>
      <c r="H596" s="10">
        <f>H595</f>
        <v>65.2</v>
      </c>
    </row>
    <row r="597" spans="1:8" ht="47.25" x14ac:dyDescent="0.25">
      <c r="A597" s="245" t="s">
        <v>969</v>
      </c>
      <c r="B597" s="24" t="s">
        <v>1255</v>
      </c>
      <c r="C597" s="7"/>
      <c r="D597" s="7"/>
      <c r="E597" s="7"/>
      <c r="F597" s="3"/>
      <c r="G597" s="59">
        <f>G598</f>
        <v>1596</v>
      </c>
      <c r="H597" s="59">
        <f>H598</f>
        <v>1596</v>
      </c>
    </row>
    <row r="598" spans="1:8" ht="15.75" x14ac:dyDescent="0.25">
      <c r="A598" s="68" t="s">
        <v>313</v>
      </c>
      <c r="B598" s="40" t="s">
        <v>1255</v>
      </c>
      <c r="C598" s="40" t="s">
        <v>314</v>
      </c>
      <c r="D598" s="40"/>
      <c r="E598" s="40"/>
      <c r="F598" s="74"/>
      <c r="G598" s="10">
        <f t="shared" ref="G598:H598" si="84">G599</f>
        <v>1596</v>
      </c>
      <c r="H598" s="10">
        <f t="shared" si="84"/>
        <v>1596</v>
      </c>
    </row>
    <row r="599" spans="1:8" ht="15.75" x14ac:dyDescent="0.25">
      <c r="A599" s="68" t="s">
        <v>315</v>
      </c>
      <c r="B599" s="40" t="s">
        <v>1255</v>
      </c>
      <c r="C599" s="40" t="s">
        <v>314</v>
      </c>
      <c r="D599" s="40" t="s">
        <v>133</v>
      </c>
      <c r="E599" s="40"/>
      <c r="F599" s="74"/>
      <c r="G599" s="10">
        <f>G604+G608+G600</f>
        <v>1596</v>
      </c>
      <c r="H599" s="365">
        <f>H604+H608+H600</f>
        <v>1596</v>
      </c>
    </row>
    <row r="600" spans="1:8" s="361" customFormat="1" ht="110.25" x14ac:dyDescent="0.25">
      <c r="A600" s="31" t="s">
        <v>308</v>
      </c>
      <c r="B600" s="368" t="s">
        <v>1528</v>
      </c>
      <c r="C600" s="376" t="s">
        <v>314</v>
      </c>
      <c r="D600" s="376" t="s">
        <v>133</v>
      </c>
      <c r="E600" s="376"/>
      <c r="F600" s="2"/>
      <c r="G600" s="365">
        <f>G601</f>
        <v>1276.3</v>
      </c>
      <c r="H600" s="365">
        <f>H601</f>
        <v>1276.3</v>
      </c>
    </row>
    <row r="601" spans="1:8" s="361" customFormat="1" ht="94.5" x14ac:dyDescent="0.25">
      <c r="A601" s="372" t="s">
        <v>142</v>
      </c>
      <c r="B601" s="368" t="s">
        <v>1528</v>
      </c>
      <c r="C601" s="376" t="s">
        <v>314</v>
      </c>
      <c r="D601" s="376" t="s">
        <v>133</v>
      </c>
      <c r="E601" s="376" t="s">
        <v>143</v>
      </c>
      <c r="F601" s="2"/>
      <c r="G601" s="365">
        <f>G602</f>
        <v>1276.3</v>
      </c>
      <c r="H601" s="365">
        <f>H602</f>
        <v>1276.3</v>
      </c>
    </row>
    <row r="602" spans="1:8" s="361" customFormat="1" ht="31.5" x14ac:dyDescent="0.25">
      <c r="A602" s="372" t="s">
        <v>223</v>
      </c>
      <c r="B602" s="368" t="s">
        <v>1528</v>
      </c>
      <c r="C602" s="376" t="s">
        <v>314</v>
      </c>
      <c r="D602" s="376" t="s">
        <v>133</v>
      </c>
      <c r="E602" s="376" t="s">
        <v>224</v>
      </c>
      <c r="F602" s="2"/>
      <c r="G602" s="365">
        <f>'пр.4.1.ведом.21-22'!G398</f>
        <v>1276.3</v>
      </c>
      <c r="H602" s="365">
        <f>'пр.4.1.ведом.21-22'!H398</f>
        <v>1276.3</v>
      </c>
    </row>
    <row r="603" spans="1:8" s="361" customFormat="1" ht="47.25" x14ac:dyDescent="0.25">
      <c r="A603" s="372" t="s">
        <v>1269</v>
      </c>
      <c r="B603" s="368" t="s">
        <v>1528</v>
      </c>
      <c r="C603" s="376" t="s">
        <v>314</v>
      </c>
      <c r="D603" s="376" t="s">
        <v>133</v>
      </c>
      <c r="E603" s="376" t="s">
        <v>224</v>
      </c>
      <c r="F603" s="2">
        <v>903</v>
      </c>
      <c r="G603" s="365">
        <f>G600</f>
        <v>1276.3</v>
      </c>
      <c r="H603" s="365">
        <f>H600</f>
        <v>1276.3</v>
      </c>
    </row>
    <row r="604" spans="1:8" ht="94.5" x14ac:dyDescent="0.25">
      <c r="A604" s="25" t="s">
        <v>346</v>
      </c>
      <c r="B604" s="20" t="s">
        <v>1256</v>
      </c>
      <c r="C604" s="40" t="s">
        <v>314</v>
      </c>
      <c r="D604" s="40" t="s">
        <v>133</v>
      </c>
      <c r="E604" s="40"/>
      <c r="F604" s="2"/>
      <c r="G604" s="10">
        <f>G605</f>
        <v>319.7</v>
      </c>
      <c r="H604" s="10">
        <f>H605</f>
        <v>319.7</v>
      </c>
    </row>
    <row r="605" spans="1:8" ht="94.5" x14ac:dyDescent="0.25">
      <c r="A605" s="25" t="s">
        <v>142</v>
      </c>
      <c r="B605" s="20" t="s">
        <v>1256</v>
      </c>
      <c r="C605" s="40" t="s">
        <v>314</v>
      </c>
      <c r="D605" s="40" t="s">
        <v>133</v>
      </c>
      <c r="E605" s="40" t="s">
        <v>143</v>
      </c>
      <c r="F605" s="2"/>
      <c r="G605" s="10">
        <f>G606</f>
        <v>319.7</v>
      </c>
      <c r="H605" s="10">
        <f>H606</f>
        <v>319.7</v>
      </c>
    </row>
    <row r="606" spans="1:8" ht="31.5" x14ac:dyDescent="0.25">
      <c r="A606" s="25" t="s">
        <v>223</v>
      </c>
      <c r="B606" s="20" t="s">
        <v>1256</v>
      </c>
      <c r="C606" s="40" t="s">
        <v>314</v>
      </c>
      <c r="D606" s="40" t="s">
        <v>133</v>
      </c>
      <c r="E606" s="40" t="s">
        <v>224</v>
      </c>
      <c r="F606" s="2"/>
      <c r="G606" s="10">
        <f>'пр.4.1.ведом.21-22'!G401</f>
        <v>319.7</v>
      </c>
      <c r="H606" s="10">
        <f>'пр.4.1.ведом.21-22'!H401</f>
        <v>319.7</v>
      </c>
    </row>
    <row r="607" spans="1:8" ht="47.25" x14ac:dyDescent="0.25">
      <c r="A607" s="25" t="s">
        <v>1269</v>
      </c>
      <c r="B607" s="20" t="s">
        <v>1256</v>
      </c>
      <c r="C607" s="40" t="s">
        <v>314</v>
      </c>
      <c r="D607" s="40" t="s">
        <v>133</v>
      </c>
      <c r="E607" s="40" t="s">
        <v>224</v>
      </c>
      <c r="F607" s="2">
        <v>903</v>
      </c>
      <c r="G607" s="10">
        <f>G606</f>
        <v>319.7</v>
      </c>
      <c r="H607" s="10">
        <f>H606</f>
        <v>319.7</v>
      </c>
    </row>
    <row r="608" spans="1:8" ht="110.25" hidden="1" x14ac:dyDescent="0.25">
      <c r="A608" s="31" t="s">
        <v>308</v>
      </c>
      <c r="B608" s="20" t="s">
        <v>1257</v>
      </c>
      <c r="C608" s="40" t="s">
        <v>314</v>
      </c>
      <c r="D608" s="40" t="s">
        <v>133</v>
      </c>
      <c r="E608" s="40"/>
      <c r="F608" s="2"/>
      <c r="G608" s="10">
        <f>G609</f>
        <v>0</v>
      </c>
      <c r="H608" s="10">
        <f>H609</f>
        <v>0</v>
      </c>
    </row>
    <row r="609" spans="1:8" ht="94.5" hidden="1" x14ac:dyDescent="0.25">
      <c r="A609" s="25" t="s">
        <v>142</v>
      </c>
      <c r="B609" s="20" t="s">
        <v>1257</v>
      </c>
      <c r="C609" s="40" t="s">
        <v>314</v>
      </c>
      <c r="D609" s="40" t="s">
        <v>133</v>
      </c>
      <c r="E609" s="40" t="s">
        <v>143</v>
      </c>
      <c r="F609" s="2"/>
      <c r="G609" s="10">
        <f>G610</f>
        <v>0</v>
      </c>
      <c r="H609" s="10">
        <f>H610</f>
        <v>0</v>
      </c>
    </row>
    <row r="610" spans="1:8" ht="31.5" hidden="1" x14ac:dyDescent="0.25">
      <c r="A610" s="25" t="s">
        <v>223</v>
      </c>
      <c r="B610" s="20" t="s">
        <v>1257</v>
      </c>
      <c r="C610" s="40" t="s">
        <v>314</v>
      </c>
      <c r="D610" s="40" t="s">
        <v>133</v>
      </c>
      <c r="E610" s="40" t="s">
        <v>224</v>
      </c>
      <c r="F610" s="2"/>
      <c r="G610" s="10">
        <f>'пр.4.1.ведом.21-22'!G404</f>
        <v>0</v>
      </c>
      <c r="H610" s="10">
        <f>'пр.4.1.ведом.21-22'!H404</f>
        <v>0</v>
      </c>
    </row>
    <row r="611" spans="1:8" ht="47.25" hidden="1" x14ac:dyDescent="0.25">
      <c r="A611" s="25" t="s">
        <v>1269</v>
      </c>
      <c r="B611" s="20" t="s">
        <v>1257</v>
      </c>
      <c r="C611" s="40" t="s">
        <v>314</v>
      </c>
      <c r="D611" s="40" t="s">
        <v>133</v>
      </c>
      <c r="E611" s="40" t="s">
        <v>224</v>
      </c>
      <c r="F611" s="2">
        <v>903</v>
      </c>
      <c r="G611" s="10">
        <f>G610</f>
        <v>0</v>
      </c>
      <c r="H611" s="10">
        <f>H610</f>
        <v>0</v>
      </c>
    </row>
    <row r="612" spans="1:8" ht="63" x14ac:dyDescent="0.25">
      <c r="A612" s="23" t="s">
        <v>283</v>
      </c>
      <c r="B612" s="24" t="s">
        <v>284</v>
      </c>
      <c r="C612" s="7"/>
      <c r="D612" s="7"/>
      <c r="E612" s="7"/>
      <c r="F612" s="3"/>
      <c r="G612" s="59">
        <f>G613+G626+G633+G643+G650</f>
        <v>16643.7</v>
      </c>
      <c r="H612" s="59">
        <f>H613+H626+H633+H643+H650</f>
        <v>16643.7</v>
      </c>
    </row>
    <row r="613" spans="1:8" ht="47.25" x14ac:dyDescent="0.25">
      <c r="A613" s="23" t="s">
        <v>939</v>
      </c>
      <c r="B613" s="24" t="s">
        <v>940</v>
      </c>
      <c r="C613" s="7"/>
      <c r="D613" s="7"/>
      <c r="E613" s="7"/>
      <c r="F613" s="3"/>
      <c r="G613" s="59">
        <f t="shared" ref="G613:H615" si="85">G614</f>
        <v>15011</v>
      </c>
      <c r="H613" s="59">
        <f t="shared" si="85"/>
        <v>15011</v>
      </c>
    </row>
    <row r="614" spans="1:8" ht="15.75" x14ac:dyDescent="0.25">
      <c r="A614" s="25" t="s">
        <v>278</v>
      </c>
      <c r="B614" s="20" t="s">
        <v>940</v>
      </c>
      <c r="C614" s="40" t="s">
        <v>279</v>
      </c>
      <c r="D614" s="40"/>
      <c r="E614" s="40"/>
      <c r="F614" s="2"/>
      <c r="G614" s="10">
        <f t="shared" si="85"/>
        <v>15011</v>
      </c>
      <c r="H614" s="10">
        <f t="shared" si="85"/>
        <v>15011</v>
      </c>
    </row>
    <row r="615" spans="1:8" ht="15.75" x14ac:dyDescent="0.25">
      <c r="A615" s="25" t="s">
        <v>280</v>
      </c>
      <c r="B615" s="20" t="s">
        <v>940</v>
      </c>
      <c r="C615" s="40" t="s">
        <v>279</v>
      </c>
      <c r="D615" s="40" t="s">
        <v>230</v>
      </c>
      <c r="E615" s="40"/>
      <c r="F615" s="2"/>
      <c r="G615" s="10">
        <f t="shared" si="85"/>
        <v>15011</v>
      </c>
      <c r="H615" s="10">
        <f t="shared" si="85"/>
        <v>15011</v>
      </c>
    </row>
    <row r="616" spans="1:8" ht="31.5" x14ac:dyDescent="0.25">
      <c r="A616" s="25" t="s">
        <v>830</v>
      </c>
      <c r="B616" s="20" t="s">
        <v>938</v>
      </c>
      <c r="C616" s="40" t="s">
        <v>279</v>
      </c>
      <c r="D616" s="40" t="s">
        <v>230</v>
      </c>
      <c r="E616" s="40"/>
      <c r="F616" s="2"/>
      <c r="G616" s="10">
        <f>G617+G620+G623</f>
        <v>15011</v>
      </c>
      <c r="H616" s="10">
        <f>H617+H620+H623</f>
        <v>15011</v>
      </c>
    </row>
    <row r="617" spans="1:8" ht="94.5" x14ac:dyDescent="0.25">
      <c r="A617" s="25" t="s">
        <v>142</v>
      </c>
      <c r="B617" s="20" t="s">
        <v>938</v>
      </c>
      <c r="C617" s="40" t="s">
        <v>279</v>
      </c>
      <c r="D617" s="40" t="s">
        <v>230</v>
      </c>
      <c r="E617" s="20" t="s">
        <v>143</v>
      </c>
      <c r="F617" s="2"/>
      <c r="G617" s="10">
        <f>G618</f>
        <v>13393</v>
      </c>
      <c r="H617" s="10">
        <f>H618</f>
        <v>13393</v>
      </c>
    </row>
    <row r="618" spans="1:8" ht="31.5" x14ac:dyDescent="0.25">
      <c r="A618" s="46" t="s">
        <v>357</v>
      </c>
      <c r="B618" s="20" t="s">
        <v>938</v>
      </c>
      <c r="C618" s="40" t="s">
        <v>279</v>
      </c>
      <c r="D618" s="40" t="s">
        <v>230</v>
      </c>
      <c r="E618" s="20" t="s">
        <v>224</v>
      </c>
      <c r="F618" s="2"/>
      <c r="G618" s="10">
        <f>'пр.4.1.ведом.21-22'!G284</f>
        <v>13393</v>
      </c>
      <c r="H618" s="10">
        <f>'пр.4.1.ведом.21-22'!H284</f>
        <v>13393</v>
      </c>
    </row>
    <row r="619" spans="1:8" ht="47.25" x14ac:dyDescent="0.25">
      <c r="A619" s="25" t="s">
        <v>1269</v>
      </c>
      <c r="B619" s="20" t="s">
        <v>938</v>
      </c>
      <c r="C619" s="40" t="s">
        <v>279</v>
      </c>
      <c r="D619" s="40" t="s">
        <v>230</v>
      </c>
      <c r="E619" s="20" t="s">
        <v>224</v>
      </c>
      <c r="F619" s="2">
        <v>903</v>
      </c>
      <c r="G619" s="10">
        <f>G618</f>
        <v>13393</v>
      </c>
      <c r="H619" s="10">
        <f>H618</f>
        <v>13393</v>
      </c>
    </row>
    <row r="620" spans="1:8" ht="31.5" x14ac:dyDescent="0.25">
      <c r="A620" s="25" t="s">
        <v>146</v>
      </c>
      <c r="B620" s="20" t="s">
        <v>938</v>
      </c>
      <c r="C620" s="40" t="s">
        <v>279</v>
      </c>
      <c r="D620" s="40" t="s">
        <v>230</v>
      </c>
      <c r="E620" s="20" t="s">
        <v>147</v>
      </c>
      <c r="F620" s="2"/>
      <c r="G620" s="10">
        <f>G621</f>
        <v>1540</v>
      </c>
      <c r="H620" s="10">
        <f>H621</f>
        <v>1540</v>
      </c>
    </row>
    <row r="621" spans="1:8" ht="47.25" x14ac:dyDescent="0.25">
      <c r="A621" s="25" t="s">
        <v>148</v>
      </c>
      <c r="B621" s="20" t="s">
        <v>938</v>
      </c>
      <c r="C621" s="40" t="s">
        <v>279</v>
      </c>
      <c r="D621" s="40" t="s">
        <v>230</v>
      </c>
      <c r="E621" s="20" t="s">
        <v>149</v>
      </c>
      <c r="F621" s="2"/>
      <c r="G621" s="10">
        <f>'пр.4.1.ведом.21-22'!G286</f>
        <v>1540</v>
      </c>
      <c r="H621" s="10">
        <f>'пр.4.1.ведом.21-22'!H286</f>
        <v>1540</v>
      </c>
    </row>
    <row r="622" spans="1:8" ht="47.25" x14ac:dyDescent="0.25">
      <c r="A622" s="25" t="s">
        <v>1269</v>
      </c>
      <c r="B622" s="20" t="s">
        <v>938</v>
      </c>
      <c r="C622" s="40" t="s">
        <v>279</v>
      </c>
      <c r="D622" s="40" t="s">
        <v>230</v>
      </c>
      <c r="E622" s="20" t="s">
        <v>149</v>
      </c>
      <c r="F622" s="2">
        <v>903</v>
      </c>
      <c r="G622" s="10">
        <f>G621</f>
        <v>1540</v>
      </c>
      <c r="H622" s="10">
        <f>H621</f>
        <v>1540</v>
      </c>
    </row>
    <row r="623" spans="1:8" ht="15.75" x14ac:dyDescent="0.25">
      <c r="A623" s="25" t="s">
        <v>150</v>
      </c>
      <c r="B623" s="20" t="s">
        <v>938</v>
      </c>
      <c r="C623" s="40" t="s">
        <v>279</v>
      </c>
      <c r="D623" s="40" t="s">
        <v>230</v>
      </c>
      <c r="E623" s="20" t="s">
        <v>160</v>
      </c>
      <c r="F623" s="2"/>
      <c r="G623" s="10">
        <f>G624</f>
        <v>78</v>
      </c>
      <c r="H623" s="10">
        <f>H624</f>
        <v>78</v>
      </c>
    </row>
    <row r="624" spans="1:8" ht="15.75" x14ac:dyDescent="0.25">
      <c r="A624" s="25" t="s">
        <v>725</v>
      </c>
      <c r="B624" s="20" t="s">
        <v>938</v>
      </c>
      <c r="C624" s="40" t="s">
        <v>279</v>
      </c>
      <c r="D624" s="40" t="s">
        <v>230</v>
      </c>
      <c r="E624" s="20" t="s">
        <v>153</v>
      </c>
      <c r="F624" s="2"/>
      <c r="G624" s="10">
        <f>'пр.4.1.ведом.21-22'!G288</f>
        <v>78</v>
      </c>
      <c r="H624" s="10">
        <f>'пр.4.1.ведом.21-22'!H288</f>
        <v>78</v>
      </c>
    </row>
    <row r="625" spans="1:8" ht="47.25" x14ac:dyDescent="0.25">
      <c r="A625" s="25" t="s">
        <v>1269</v>
      </c>
      <c r="B625" s="20" t="s">
        <v>938</v>
      </c>
      <c r="C625" s="40" t="s">
        <v>279</v>
      </c>
      <c r="D625" s="40" t="s">
        <v>230</v>
      </c>
      <c r="E625" s="20" t="s">
        <v>153</v>
      </c>
      <c r="F625" s="2">
        <v>903</v>
      </c>
      <c r="G625" s="10">
        <f>G624</f>
        <v>78</v>
      </c>
      <c r="H625" s="10">
        <f>H624</f>
        <v>78</v>
      </c>
    </row>
    <row r="626" spans="1:8" ht="47.25" x14ac:dyDescent="0.25">
      <c r="A626" s="243" t="s">
        <v>1187</v>
      </c>
      <c r="B626" s="24" t="s">
        <v>942</v>
      </c>
      <c r="C626" s="7"/>
      <c r="D626" s="7"/>
      <c r="E626" s="24"/>
      <c r="F626" s="3"/>
      <c r="G626" s="59">
        <f>G629</f>
        <v>45</v>
      </c>
      <c r="H626" s="59">
        <f>H629</f>
        <v>45</v>
      </c>
    </row>
    <row r="627" spans="1:8" ht="15.75" x14ac:dyDescent="0.25">
      <c r="A627" s="25" t="s">
        <v>278</v>
      </c>
      <c r="B627" s="20" t="s">
        <v>942</v>
      </c>
      <c r="C627" s="40" t="s">
        <v>279</v>
      </c>
      <c r="D627" s="40"/>
      <c r="E627" s="40"/>
      <c r="F627" s="2"/>
      <c r="G627" s="10">
        <f t="shared" ref="G627:H630" si="86">G628</f>
        <v>45</v>
      </c>
      <c r="H627" s="10">
        <f t="shared" si="86"/>
        <v>45</v>
      </c>
    </row>
    <row r="628" spans="1:8" ht="15.75" x14ac:dyDescent="0.25">
      <c r="A628" s="25" t="s">
        <v>280</v>
      </c>
      <c r="B628" s="20" t="s">
        <v>942</v>
      </c>
      <c r="C628" s="40" t="s">
        <v>279</v>
      </c>
      <c r="D628" s="40" t="s">
        <v>230</v>
      </c>
      <c r="E628" s="40"/>
      <c r="F628" s="2"/>
      <c r="G628" s="10">
        <f t="shared" si="86"/>
        <v>45</v>
      </c>
      <c r="H628" s="10">
        <f t="shared" si="86"/>
        <v>45</v>
      </c>
    </row>
    <row r="629" spans="1:8" ht="31.5" x14ac:dyDescent="0.25">
      <c r="A629" s="212" t="s">
        <v>829</v>
      </c>
      <c r="B629" s="20" t="s">
        <v>941</v>
      </c>
      <c r="C629" s="40" t="s">
        <v>279</v>
      </c>
      <c r="D629" s="40" t="s">
        <v>230</v>
      </c>
      <c r="E629" s="20"/>
      <c r="F629" s="2"/>
      <c r="G629" s="10">
        <f t="shared" si="86"/>
        <v>45</v>
      </c>
      <c r="H629" s="10">
        <f t="shared" si="86"/>
        <v>45</v>
      </c>
    </row>
    <row r="630" spans="1:8" ht="31.5" x14ac:dyDescent="0.25">
      <c r="A630" s="25" t="s">
        <v>263</v>
      </c>
      <c r="B630" s="20" t="s">
        <v>941</v>
      </c>
      <c r="C630" s="40" t="s">
        <v>279</v>
      </c>
      <c r="D630" s="40" t="s">
        <v>230</v>
      </c>
      <c r="E630" s="20" t="s">
        <v>264</v>
      </c>
      <c r="F630" s="2"/>
      <c r="G630" s="10">
        <f t="shared" si="86"/>
        <v>45</v>
      </c>
      <c r="H630" s="10">
        <f t="shared" si="86"/>
        <v>45</v>
      </c>
    </row>
    <row r="631" spans="1:8" ht="15.75" x14ac:dyDescent="0.25">
      <c r="A631" s="25" t="s">
        <v>863</v>
      </c>
      <c r="B631" s="20" t="s">
        <v>941</v>
      </c>
      <c r="C631" s="40" t="s">
        <v>279</v>
      </c>
      <c r="D631" s="40" t="s">
        <v>230</v>
      </c>
      <c r="E631" s="20" t="s">
        <v>862</v>
      </c>
      <c r="F631" s="2"/>
      <c r="G631" s="10">
        <f>'пр.4.1.ведом.21-22'!G292</f>
        <v>45</v>
      </c>
      <c r="H631" s="10">
        <f>'пр.4.1.ведом.21-22'!H292</f>
        <v>45</v>
      </c>
    </row>
    <row r="632" spans="1:8" ht="47.25" x14ac:dyDescent="0.25">
      <c r="A632" s="25" t="s">
        <v>1269</v>
      </c>
      <c r="B632" s="20" t="s">
        <v>941</v>
      </c>
      <c r="C632" s="40" t="s">
        <v>279</v>
      </c>
      <c r="D632" s="40" t="s">
        <v>230</v>
      </c>
      <c r="E632" s="20" t="s">
        <v>862</v>
      </c>
      <c r="F632" s="2">
        <v>903</v>
      </c>
      <c r="G632" s="10">
        <f>G631</f>
        <v>45</v>
      </c>
      <c r="H632" s="10">
        <f>H631</f>
        <v>45</v>
      </c>
    </row>
    <row r="633" spans="1:8" ht="47.25" x14ac:dyDescent="0.25">
      <c r="A633" s="248" t="s">
        <v>1166</v>
      </c>
      <c r="B633" s="24" t="s">
        <v>943</v>
      </c>
      <c r="C633" s="7"/>
      <c r="D633" s="7"/>
      <c r="E633" s="24"/>
      <c r="F633" s="3"/>
      <c r="G633" s="59">
        <f>G636</f>
        <v>250</v>
      </c>
      <c r="H633" s="59">
        <f>H636</f>
        <v>250</v>
      </c>
    </row>
    <row r="634" spans="1:8" ht="15.75" x14ac:dyDescent="0.25">
      <c r="A634" s="25" t="s">
        <v>278</v>
      </c>
      <c r="B634" s="20" t="s">
        <v>943</v>
      </c>
      <c r="C634" s="40" t="s">
        <v>279</v>
      </c>
      <c r="D634" s="40"/>
      <c r="E634" s="40"/>
      <c r="F634" s="2"/>
      <c r="G634" s="10">
        <f>G635</f>
        <v>250</v>
      </c>
      <c r="H634" s="10">
        <f>H635</f>
        <v>250</v>
      </c>
    </row>
    <row r="635" spans="1:8" ht="15.75" x14ac:dyDescent="0.25">
      <c r="A635" s="25" t="s">
        <v>280</v>
      </c>
      <c r="B635" s="20" t="s">
        <v>943</v>
      </c>
      <c r="C635" s="40" t="s">
        <v>279</v>
      </c>
      <c r="D635" s="40" t="s">
        <v>230</v>
      </c>
      <c r="E635" s="40"/>
      <c r="F635" s="2"/>
      <c r="G635" s="10">
        <f>G636</f>
        <v>250</v>
      </c>
      <c r="H635" s="10">
        <f>H636</f>
        <v>250</v>
      </c>
    </row>
    <row r="636" spans="1:8" ht="36.75" customHeight="1" x14ac:dyDescent="0.25">
      <c r="A636" s="31" t="s">
        <v>858</v>
      </c>
      <c r="B636" s="20" t="s">
        <v>944</v>
      </c>
      <c r="C636" s="40" t="s">
        <v>279</v>
      </c>
      <c r="D636" s="40" t="s">
        <v>230</v>
      </c>
      <c r="E636" s="20"/>
      <c r="F636" s="2"/>
      <c r="G636" s="10">
        <f>G637+G640</f>
        <v>250</v>
      </c>
      <c r="H636" s="10">
        <f>H637+H640</f>
        <v>250</v>
      </c>
    </row>
    <row r="637" spans="1:8" ht="94.5" x14ac:dyDescent="0.25">
      <c r="A637" s="25" t="s">
        <v>142</v>
      </c>
      <c r="B637" s="20" t="s">
        <v>944</v>
      </c>
      <c r="C637" s="40" t="s">
        <v>279</v>
      </c>
      <c r="D637" s="40" t="s">
        <v>230</v>
      </c>
      <c r="E637" s="20" t="s">
        <v>143</v>
      </c>
      <c r="F637" s="2"/>
      <c r="G637" s="10">
        <f>G638</f>
        <v>250</v>
      </c>
      <c r="H637" s="10">
        <f>H638</f>
        <v>250</v>
      </c>
    </row>
    <row r="638" spans="1:8" ht="31.5" x14ac:dyDescent="0.25">
      <c r="A638" s="46" t="s">
        <v>357</v>
      </c>
      <c r="B638" s="20" t="s">
        <v>944</v>
      </c>
      <c r="C638" s="40" t="s">
        <v>279</v>
      </c>
      <c r="D638" s="40" t="s">
        <v>230</v>
      </c>
      <c r="E638" s="20" t="s">
        <v>224</v>
      </c>
      <c r="F638" s="2"/>
      <c r="G638" s="10">
        <f>'пр.4.1.ведом.21-22'!G296</f>
        <v>250</v>
      </c>
      <c r="H638" s="10">
        <f>'пр.4.1.ведом.21-22'!H296</f>
        <v>250</v>
      </c>
    </row>
    <row r="639" spans="1:8" ht="47.25" x14ac:dyDescent="0.25">
      <c r="A639" s="25" t="s">
        <v>1269</v>
      </c>
      <c r="B639" s="20" t="s">
        <v>944</v>
      </c>
      <c r="C639" s="40" t="s">
        <v>279</v>
      </c>
      <c r="D639" s="40" t="s">
        <v>230</v>
      </c>
      <c r="E639" s="20" t="s">
        <v>224</v>
      </c>
      <c r="F639" s="2">
        <v>903</v>
      </c>
      <c r="G639" s="10">
        <f>G638</f>
        <v>250</v>
      </c>
      <c r="H639" s="10">
        <f>H638</f>
        <v>250</v>
      </c>
    </row>
    <row r="640" spans="1:8" ht="31.5" hidden="1" x14ac:dyDescent="0.25">
      <c r="A640" s="25" t="s">
        <v>146</v>
      </c>
      <c r="B640" s="20" t="s">
        <v>944</v>
      </c>
      <c r="C640" s="40" t="s">
        <v>279</v>
      </c>
      <c r="D640" s="40" t="s">
        <v>230</v>
      </c>
      <c r="E640" s="20" t="s">
        <v>147</v>
      </c>
      <c r="F640" s="2"/>
      <c r="G640" s="10">
        <f>G641</f>
        <v>0</v>
      </c>
      <c r="H640" s="10">
        <f>H641</f>
        <v>0</v>
      </c>
    </row>
    <row r="641" spans="1:8" ht="47.25" hidden="1" x14ac:dyDescent="0.25">
      <c r="A641" s="25" t="s">
        <v>148</v>
      </c>
      <c r="B641" s="20" t="s">
        <v>944</v>
      </c>
      <c r="C641" s="40" t="s">
        <v>279</v>
      </c>
      <c r="D641" s="40" t="s">
        <v>230</v>
      </c>
      <c r="E641" s="20" t="s">
        <v>149</v>
      </c>
      <c r="F641" s="2"/>
      <c r="G641" s="10">
        <f>'пр.4.1.ведом.21-22'!G298</f>
        <v>0</v>
      </c>
      <c r="H641" s="10">
        <f>'пр.4.1.ведом.21-22'!H298</f>
        <v>0</v>
      </c>
    </row>
    <row r="642" spans="1:8" ht="47.25" hidden="1" x14ac:dyDescent="0.25">
      <c r="A642" s="25" t="s">
        <v>1269</v>
      </c>
      <c r="B642" s="20" t="s">
        <v>944</v>
      </c>
      <c r="C642" s="40" t="s">
        <v>279</v>
      </c>
      <c r="D642" s="40" t="s">
        <v>230</v>
      </c>
      <c r="E642" s="20" t="s">
        <v>149</v>
      </c>
      <c r="F642" s="2">
        <v>903</v>
      </c>
      <c r="G642" s="10">
        <f>G641</f>
        <v>0</v>
      </c>
      <c r="H642" s="10">
        <f>H641</f>
        <v>0</v>
      </c>
    </row>
    <row r="643" spans="1:8" ht="47.25" x14ac:dyDescent="0.25">
      <c r="A643" s="23" t="s">
        <v>1074</v>
      </c>
      <c r="B643" s="24" t="s">
        <v>949</v>
      </c>
      <c r="C643" s="7"/>
      <c r="D643" s="7"/>
      <c r="E643" s="24"/>
      <c r="F643" s="3"/>
      <c r="G643" s="59">
        <f>G646</f>
        <v>336</v>
      </c>
      <c r="H643" s="59">
        <f>H646</f>
        <v>336</v>
      </c>
    </row>
    <row r="644" spans="1:8" ht="15.75" x14ac:dyDescent="0.25">
      <c r="A644" s="25" t="s">
        <v>278</v>
      </c>
      <c r="B644" s="20" t="s">
        <v>949</v>
      </c>
      <c r="C644" s="40" t="s">
        <v>279</v>
      </c>
      <c r="D644" s="40"/>
      <c r="E644" s="40"/>
      <c r="F644" s="2"/>
      <c r="G644" s="10">
        <f t="shared" ref="G644:H647" si="87">G645</f>
        <v>336</v>
      </c>
      <c r="H644" s="10">
        <f t="shared" si="87"/>
        <v>336</v>
      </c>
    </row>
    <row r="645" spans="1:8" ht="15.75" x14ac:dyDescent="0.25">
      <c r="A645" s="25" t="s">
        <v>280</v>
      </c>
      <c r="B645" s="20" t="s">
        <v>949</v>
      </c>
      <c r="C645" s="40" t="s">
        <v>279</v>
      </c>
      <c r="D645" s="40" t="s">
        <v>230</v>
      </c>
      <c r="E645" s="40"/>
      <c r="F645" s="2"/>
      <c r="G645" s="10">
        <f t="shared" si="87"/>
        <v>336</v>
      </c>
      <c r="H645" s="10">
        <f t="shared" si="87"/>
        <v>336</v>
      </c>
    </row>
    <row r="646" spans="1:8" ht="47.25" x14ac:dyDescent="0.25">
      <c r="A646" s="25" t="s">
        <v>883</v>
      </c>
      <c r="B646" s="20" t="s">
        <v>1263</v>
      </c>
      <c r="C646" s="40" t="s">
        <v>279</v>
      </c>
      <c r="D646" s="40" t="s">
        <v>230</v>
      </c>
      <c r="E646" s="20"/>
      <c r="F646" s="2"/>
      <c r="G646" s="10">
        <f t="shared" si="87"/>
        <v>336</v>
      </c>
      <c r="H646" s="10">
        <f t="shared" si="87"/>
        <v>336</v>
      </c>
    </row>
    <row r="647" spans="1:8" ht="94.5" x14ac:dyDescent="0.25">
      <c r="A647" s="25" t="s">
        <v>142</v>
      </c>
      <c r="B647" s="20" t="s">
        <v>1263</v>
      </c>
      <c r="C647" s="40" t="s">
        <v>279</v>
      </c>
      <c r="D647" s="40" t="s">
        <v>230</v>
      </c>
      <c r="E647" s="20" t="s">
        <v>143</v>
      </c>
      <c r="F647" s="2"/>
      <c r="G647" s="10">
        <f t="shared" si="87"/>
        <v>336</v>
      </c>
      <c r="H647" s="10">
        <f t="shared" si="87"/>
        <v>336</v>
      </c>
    </row>
    <row r="648" spans="1:8" ht="31.5" x14ac:dyDescent="0.25">
      <c r="A648" s="25" t="s">
        <v>144</v>
      </c>
      <c r="B648" s="20" t="s">
        <v>1263</v>
      </c>
      <c r="C648" s="40" t="s">
        <v>279</v>
      </c>
      <c r="D648" s="40" t="s">
        <v>230</v>
      </c>
      <c r="E648" s="20" t="s">
        <v>224</v>
      </c>
      <c r="F648" s="2"/>
      <c r="G648" s="10">
        <f>'пр.4.1.ведом.21-22'!G302</f>
        <v>336</v>
      </c>
      <c r="H648" s="10">
        <f>'пр.4.1.ведом.21-22'!H302</f>
        <v>336</v>
      </c>
    </row>
    <row r="649" spans="1:8" ht="47.25" x14ac:dyDescent="0.25">
      <c r="A649" s="25" t="s">
        <v>1269</v>
      </c>
      <c r="B649" s="20" t="s">
        <v>1263</v>
      </c>
      <c r="C649" s="40" t="s">
        <v>279</v>
      </c>
      <c r="D649" s="40" t="s">
        <v>230</v>
      </c>
      <c r="E649" s="20" t="s">
        <v>224</v>
      </c>
      <c r="F649" s="2">
        <v>903</v>
      </c>
      <c r="G649" s="10">
        <f>G648</f>
        <v>336</v>
      </c>
      <c r="H649" s="10">
        <f>H648</f>
        <v>336</v>
      </c>
    </row>
    <row r="650" spans="1:8" ht="47.25" x14ac:dyDescent="0.25">
      <c r="A650" s="23" t="s">
        <v>969</v>
      </c>
      <c r="B650" s="24" t="s">
        <v>1264</v>
      </c>
      <c r="C650" s="7"/>
      <c r="D650" s="7"/>
      <c r="E650" s="24"/>
      <c r="F650" s="3"/>
      <c r="G650" s="59">
        <f>G657+G661+G665+G653</f>
        <v>1001.7</v>
      </c>
      <c r="H650" s="377">
        <f>H657+H661+H665+H653</f>
        <v>1001.7</v>
      </c>
    </row>
    <row r="651" spans="1:8" ht="15.75" x14ac:dyDescent="0.25">
      <c r="A651" s="25" t="s">
        <v>278</v>
      </c>
      <c r="B651" s="20" t="s">
        <v>1264</v>
      </c>
      <c r="C651" s="40" t="s">
        <v>279</v>
      </c>
      <c r="D651" s="40"/>
      <c r="E651" s="40"/>
      <c r="F651" s="2"/>
      <c r="G651" s="10">
        <f>G652</f>
        <v>1001.7</v>
      </c>
      <c r="H651" s="10">
        <f>H652</f>
        <v>1001.7</v>
      </c>
    </row>
    <row r="652" spans="1:8" ht="15.75" x14ac:dyDescent="0.25">
      <c r="A652" s="25" t="s">
        <v>280</v>
      </c>
      <c r="B652" s="20" t="s">
        <v>1264</v>
      </c>
      <c r="C652" s="40" t="s">
        <v>279</v>
      </c>
      <c r="D652" s="40" t="s">
        <v>230</v>
      </c>
      <c r="E652" s="40"/>
      <c r="F652" s="2"/>
      <c r="G652" s="10">
        <f>G657+G661+G665+G653</f>
        <v>1001.7</v>
      </c>
      <c r="H652" s="10">
        <f>H657+H661+H665+H653</f>
        <v>1001.7</v>
      </c>
    </row>
    <row r="653" spans="1:8" s="361" customFormat="1" ht="110.25" x14ac:dyDescent="0.25">
      <c r="A653" s="31" t="s">
        <v>308</v>
      </c>
      <c r="B653" s="368" t="s">
        <v>1524</v>
      </c>
      <c r="C653" s="376" t="s">
        <v>279</v>
      </c>
      <c r="D653" s="376" t="s">
        <v>230</v>
      </c>
      <c r="E653" s="368"/>
      <c r="F653" s="2"/>
      <c r="G653" s="365">
        <f>G654</f>
        <v>602.5</v>
      </c>
      <c r="H653" s="365">
        <f>H654</f>
        <v>602.5</v>
      </c>
    </row>
    <row r="654" spans="1:8" s="361" customFormat="1" ht="94.5" x14ac:dyDescent="0.25">
      <c r="A654" s="372" t="s">
        <v>142</v>
      </c>
      <c r="B654" s="368" t="s">
        <v>1524</v>
      </c>
      <c r="C654" s="376" t="s">
        <v>279</v>
      </c>
      <c r="D654" s="376" t="s">
        <v>230</v>
      </c>
      <c r="E654" s="368" t="s">
        <v>143</v>
      </c>
      <c r="F654" s="2"/>
      <c r="G654" s="365">
        <f>G655</f>
        <v>602.5</v>
      </c>
      <c r="H654" s="365">
        <f>H655</f>
        <v>602.5</v>
      </c>
    </row>
    <row r="655" spans="1:8" s="361" customFormat="1" ht="31.5" x14ac:dyDescent="0.25">
      <c r="A655" s="46" t="s">
        <v>357</v>
      </c>
      <c r="B655" s="368" t="s">
        <v>1524</v>
      </c>
      <c r="C655" s="376" t="s">
        <v>279</v>
      </c>
      <c r="D655" s="376" t="s">
        <v>230</v>
      </c>
      <c r="E655" s="368" t="s">
        <v>224</v>
      </c>
      <c r="F655" s="2"/>
      <c r="G655" s="365">
        <f>'пр.4.1.ведом.21-22'!G306</f>
        <v>602.5</v>
      </c>
      <c r="H655" s="365">
        <f>'пр.4.1.ведом.21-22'!H306</f>
        <v>602.5</v>
      </c>
    </row>
    <row r="656" spans="1:8" s="361" customFormat="1" ht="47.25" x14ac:dyDescent="0.25">
      <c r="A656" s="372" t="s">
        <v>1269</v>
      </c>
      <c r="B656" s="368" t="s">
        <v>1524</v>
      </c>
      <c r="C656" s="376" t="s">
        <v>279</v>
      </c>
      <c r="D656" s="376" t="s">
        <v>230</v>
      </c>
      <c r="E656" s="368" t="s">
        <v>224</v>
      </c>
      <c r="F656" s="2">
        <v>903</v>
      </c>
      <c r="G656" s="365">
        <f>G653</f>
        <v>602.5</v>
      </c>
      <c r="H656" s="365">
        <f>H653</f>
        <v>602.5</v>
      </c>
    </row>
    <row r="657" spans="1:8" ht="78.75" x14ac:dyDescent="0.25">
      <c r="A657" s="31" t="s">
        <v>304</v>
      </c>
      <c r="B657" s="20" t="s">
        <v>1265</v>
      </c>
      <c r="C657" s="40" t="s">
        <v>279</v>
      </c>
      <c r="D657" s="40" t="s">
        <v>230</v>
      </c>
      <c r="E657" s="20"/>
      <c r="F657" s="2"/>
      <c r="G657" s="10">
        <f>G658</f>
        <v>100.8</v>
      </c>
      <c r="H657" s="10">
        <f>H658</f>
        <v>100.8</v>
      </c>
    </row>
    <row r="658" spans="1:8" ht="94.5" x14ac:dyDescent="0.25">
      <c r="A658" s="25" t="s">
        <v>142</v>
      </c>
      <c r="B658" s="20" t="s">
        <v>1265</v>
      </c>
      <c r="C658" s="40" t="s">
        <v>279</v>
      </c>
      <c r="D658" s="40" t="s">
        <v>230</v>
      </c>
      <c r="E658" s="20" t="s">
        <v>143</v>
      </c>
      <c r="F658" s="2"/>
      <c r="G658" s="10">
        <f>G659</f>
        <v>100.8</v>
      </c>
      <c r="H658" s="10">
        <f>H659</f>
        <v>100.8</v>
      </c>
    </row>
    <row r="659" spans="1:8" ht="31.5" x14ac:dyDescent="0.25">
      <c r="A659" s="46" t="s">
        <v>357</v>
      </c>
      <c r="B659" s="20" t="s">
        <v>1265</v>
      </c>
      <c r="C659" s="40" t="s">
        <v>279</v>
      </c>
      <c r="D659" s="40" t="s">
        <v>230</v>
      </c>
      <c r="E659" s="20" t="s">
        <v>224</v>
      </c>
      <c r="F659" s="2"/>
      <c r="G659" s="10">
        <f>'пр.4.1.ведом.21-22'!G309</f>
        <v>100.8</v>
      </c>
      <c r="H659" s="10">
        <f>'пр.4.1.ведом.21-22'!H309</f>
        <v>100.8</v>
      </c>
    </row>
    <row r="660" spans="1:8" ht="47.25" x14ac:dyDescent="0.25">
      <c r="A660" s="25" t="s">
        <v>1269</v>
      </c>
      <c r="B660" s="20" t="s">
        <v>1265</v>
      </c>
      <c r="C660" s="40" t="s">
        <v>279</v>
      </c>
      <c r="D660" s="40" t="s">
        <v>230</v>
      </c>
      <c r="E660" s="20" t="s">
        <v>224</v>
      </c>
      <c r="F660" s="2">
        <v>903</v>
      </c>
      <c r="G660" s="10">
        <f>G659</f>
        <v>100.8</v>
      </c>
      <c r="H660" s="10">
        <f>H659</f>
        <v>100.8</v>
      </c>
    </row>
    <row r="661" spans="1:8" ht="94.5" x14ac:dyDescent="0.25">
      <c r="A661" s="31" t="s">
        <v>306</v>
      </c>
      <c r="B661" s="20" t="s">
        <v>1266</v>
      </c>
      <c r="C661" s="40" t="s">
        <v>279</v>
      </c>
      <c r="D661" s="40" t="s">
        <v>230</v>
      </c>
      <c r="E661" s="20"/>
      <c r="F661" s="2"/>
      <c r="G661" s="10">
        <f>G662</f>
        <v>298.39999999999998</v>
      </c>
      <c r="H661" s="10">
        <f>H662</f>
        <v>298.39999999999998</v>
      </c>
    </row>
    <row r="662" spans="1:8" ht="94.5" x14ac:dyDescent="0.25">
      <c r="A662" s="25" t="s">
        <v>142</v>
      </c>
      <c r="B662" s="20" t="s">
        <v>1266</v>
      </c>
      <c r="C662" s="40" t="s">
        <v>279</v>
      </c>
      <c r="D662" s="40" t="s">
        <v>230</v>
      </c>
      <c r="E662" s="20" t="s">
        <v>143</v>
      </c>
      <c r="F662" s="2"/>
      <c r="G662" s="10">
        <f>G663</f>
        <v>298.39999999999998</v>
      </c>
      <c r="H662" s="10">
        <f>H663</f>
        <v>298.39999999999998</v>
      </c>
    </row>
    <row r="663" spans="1:8" ht="31.5" x14ac:dyDescent="0.25">
      <c r="A663" s="46" t="s">
        <v>357</v>
      </c>
      <c r="B663" s="20" t="s">
        <v>1266</v>
      </c>
      <c r="C663" s="40" t="s">
        <v>279</v>
      </c>
      <c r="D663" s="40" t="s">
        <v>230</v>
      </c>
      <c r="E663" s="20" t="s">
        <v>224</v>
      </c>
      <c r="F663" s="2"/>
      <c r="G663" s="10">
        <f>'пр.4.1.ведом.21-22'!G312</f>
        <v>298.39999999999998</v>
      </c>
      <c r="H663" s="10">
        <f>'пр.4.1.ведом.21-22'!H312</f>
        <v>298.39999999999998</v>
      </c>
    </row>
    <row r="664" spans="1:8" ht="47.25" x14ac:dyDescent="0.25">
      <c r="A664" s="25" t="s">
        <v>1269</v>
      </c>
      <c r="B664" s="20" t="s">
        <v>1266</v>
      </c>
      <c r="C664" s="40" t="s">
        <v>279</v>
      </c>
      <c r="D664" s="40" t="s">
        <v>230</v>
      </c>
      <c r="E664" s="20" t="s">
        <v>224</v>
      </c>
      <c r="F664" s="2">
        <v>903</v>
      </c>
      <c r="G664" s="10">
        <f>G663</f>
        <v>298.39999999999998</v>
      </c>
      <c r="H664" s="10">
        <f>H663</f>
        <v>298.39999999999998</v>
      </c>
    </row>
    <row r="665" spans="1:8" ht="110.25" hidden="1" x14ac:dyDescent="0.25">
      <c r="A665" s="31" t="s">
        <v>308</v>
      </c>
      <c r="B665" s="20" t="s">
        <v>1267</v>
      </c>
      <c r="C665" s="40" t="s">
        <v>279</v>
      </c>
      <c r="D665" s="40" t="s">
        <v>230</v>
      </c>
      <c r="E665" s="20"/>
      <c r="F665" s="2"/>
      <c r="G665" s="10">
        <f>G666</f>
        <v>0</v>
      </c>
      <c r="H665" s="10">
        <f>H666</f>
        <v>0</v>
      </c>
    </row>
    <row r="666" spans="1:8" ht="94.5" hidden="1" x14ac:dyDescent="0.25">
      <c r="A666" s="25" t="s">
        <v>142</v>
      </c>
      <c r="B666" s="20" t="s">
        <v>1267</v>
      </c>
      <c r="C666" s="40" t="s">
        <v>279</v>
      </c>
      <c r="D666" s="40" t="s">
        <v>230</v>
      </c>
      <c r="E666" s="20" t="s">
        <v>143</v>
      </c>
      <c r="F666" s="2"/>
      <c r="G666" s="10">
        <f>G667</f>
        <v>0</v>
      </c>
      <c r="H666" s="10">
        <f>H667</f>
        <v>0</v>
      </c>
    </row>
    <row r="667" spans="1:8" ht="31.5" hidden="1" x14ac:dyDescent="0.25">
      <c r="A667" s="46" t="s">
        <v>357</v>
      </c>
      <c r="B667" s="20" t="s">
        <v>1267</v>
      </c>
      <c r="C667" s="40" t="s">
        <v>279</v>
      </c>
      <c r="D667" s="40" t="s">
        <v>230</v>
      </c>
      <c r="E667" s="20" t="s">
        <v>224</v>
      </c>
      <c r="F667" s="2"/>
      <c r="G667" s="10">
        <f>'пр.4.1.ведом.21-22'!G315</f>
        <v>0</v>
      </c>
      <c r="H667" s="10">
        <f>'пр.4.1.ведом.21-22'!H315</f>
        <v>0</v>
      </c>
    </row>
    <row r="668" spans="1:8" ht="47.25" hidden="1" x14ac:dyDescent="0.25">
      <c r="A668" s="25" t="s">
        <v>1269</v>
      </c>
      <c r="B668" s="20" t="s">
        <v>1267</v>
      </c>
      <c r="C668" s="40" t="s">
        <v>279</v>
      </c>
      <c r="D668" s="40" t="s">
        <v>230</v>
      </c>
      <c r="E668" s="20" t="s">
        <v>224</v>
      </c>
      <c r="F668" s="2">
        <v>903</v>
      </c>
      <c r="G668" s="10">
        <f>G667</f>
        <v>0</v>
      </c>
      <c r="H668" s="10">
        <f>H667</f>
        <v>0</v>
      </c>
    </row>
    <row r="669" spans="1:8" ht="78.75" hidden="1" x14ac:dyDescent="0.25">
      <c r="A669" s="41" t="s">
        <v>819</v>
      </c>
      <c r="B669" s="7" t="s">
        <v>339</v>
      </c>
      <c r="C669" s="72"/>
      <c r="D669" s="72"/>
      <c r="E669" s="72"/>
      <c r="F669" s="72"/>
      <c r="G669" s="59">
        <f>G670</f>
        <v>0</v>
      </c>
      <c r="H669" s="59">
        <f>H670</f>
        <v>0</v>
      </c>
    </row>
    <row r="670" spans="1:8" ht="63" hidden="1" x14ac:dyDescent="0.25">
      <c r="A670" s="34" t="s">
        <v>1189</v>
      </c>
      <c r="B670" s="7" t="s">
        <v>1023</v>
      </c>
      <c r="C670" s="7"/>
      <c r="D670" s="7"/>
      <c r="E670" s="72"/>
      <c r="F670" s="72"/>
      <c r="G670" s="59">
        <f>G671+G677+G688+G694</f>
        <v>0</v>
      </c>
      <c r="H670" s="59">
        <f>H671+H677+H688+H694</f>
        <v>0</v>
      </c>
    </row>
    <row r="671" spans="1:8" ht="15.75" hidden="1" x14ac:dyDescent="0.25">
      <c r="A671" s="31" t="s">
        <v>405</v>
      </c>
      <c r="B671" s="40" t="s">
        <v>1023</v>
      </c>
      <c r="C671" s="40" t="s">
        <v>249</v>
      </c>
      <c r="D671" s="40"/>
      <c r="E671" s="72"/>
      <c r="F671" s="72"/>
      <c r="G671" s="10">
        <f t="shared" ref="G671:H674" si="88">G672</f>
        <v>0</v>
      </c>
      <c r="H671" s="10">
        <f t="shared" si="88"/>
        <v>0</v>
      </c>
    </row>
    <row r="672" spans="1:8" ht="31.5" hidden="1" x14ac:dyDescent="0.25">
      <c r="A672" s="31" t="s">
        <v>584</v>
      </c>
      <c r="B672" s="40" t="s">
        <v>1023</v>
      </c>
      <c r="C672" s="40" t="s">
        <v>249</v>
      </c>
      <c r="D672" s="40" t="s">
        <v>249</v>
      </c>
      <c r="E672" s="72"/>
      <c r="F672" s="72"/>
      <c r="G672" s="10">
        <f t="shared" si="88"/>
        <v>0</v>
      </c>
      <c r="H672" s="10">
        <f t="shared" si="88"/>
        <v>0</v>
      </c>
    </row>
    <row r="673" spans="1:8" ht="47.25" hidden="1" x14ac:dyDescent="0.25">
      <c r="A673" s="31" t="s">
        <v>1273</v>
      </c>
      <c r="B673" s="20" t="s">
        <v>1190</v>
      </c>
      <c r="C673" s="40" t="s">
        <v>249</v>
      </c>
      <c r="D673" s="40" t="s">
        <v>249</v>
      </c>
      <c r="E673" s="72"/>
      <c r="F673" s="72"/>
      <c r="G673" s="10">
        <f t="shared" si="88"/>
        <v>0</v>
      </c>
      <c r="H673" s="10">
        <f t="shared" si="88"/>
        <v>0</v>
      </c>
    </row>
    <row r="674" spans="1:8" ht="31.5" hidden="1" x14ac:dyDescent="0.25">
      <c r="A674" s="25" t="s">
        <v>146</v>
      </c>
      <c r="B674" s="20" t="s">
        <v>1190</v>
      </c>
      <c r="C674" s="40" t="s">
        <v>249</v>
      </c>
      <c r="D674" s="40" t="s">
        <v>249</v>
      </c>
      <c r="E674" s="2">
        <v>200</v>
      </c>
      <c r="F674" s="72"/>
      <c r="G674" s="10">
        <f t="shared" si="88"/>
        <v>0</v>
      </c>
      <c r="H674" s="10">
        <f t="shared" si="88"/>
        <v>0</v>
      </c>
    </row>
    <row r="675" spans="1:8" ht="47.25" hidden="1" x14ac:dyDescent="0.25">
      <c r="A675" s="25" t="s">
        <v>148</v>
      </c>
      <c r="B675" s="20" t="s">
        <v>1190</v>
      </c>
      <c r="C675" s="40" t="s">
        <v>249</v>
      </c>
      <c r="D675" s="40" t="s">
        <v>249</v>
      </c>
      <c r="E675" s="2">
        <v>240</v>
      </c>
      <c r="F675" s="72"/>
      <c r="G675" s="10">
        <f>'пр.4.1.ведом.21-22'!G1050</f>
        <v>0</v>
      </c>
      <c r="H675" s="10">
        <f>'пр.4.1.ведом.21-22'!H1050</f>
        <v>0</v>
      </c>
    </row>
    <row r="676" spans="1:8" ht="63" hidden="1" x14ac:dyDescent="0.25">
      <c r="A676" s="31" t="s">
        <v>1308</v>
      </c>
      <c r="B676" s="20" t="s">
        <v>1190</v>
      </c>
      <c r="C676" s="40" t="s">
        <v>249</v>
      </c>
      <c r="D676" s="40" t="s">
        <v>249</v>
      </c>
      <c r="E676" s="2">
        <v>240</v>
      </c>
      <c r="F676" s="2">
        <v>908</v>
      </c>
      <c r="G676" s="10">
        <f>G675</f>
        <v>0</v>
      </c>
      <c r="H676" s="10">
        <f>H675</f>
        <v>0</v>
      </c>
    </row>
    <row r="677" spans="1:8" ht="15.75" hidden="1" x14ac:dyDescent="0.25">
      <c r="A677" s="25" t="s">
        <v>278</v>
      </c>
      <c r="B677" s="40" t="s">
        <v>1023</v>
      </c>
      <c r="C677" s="40" t="s">
        <v>279</v>
      </c>
      <c r="D677" s="73"/>
      <c r="E677" s="73"/>
      <c r="F677" s="73"/>
      <c r="G677" s="10">
        <f>G678+G683</f>
        <v>0</v>
      </c>
      <c r="H677" s="10">
        <f>H678+H683</f>
        <v>0</v>
      </c>
    </row>
    <row r="678" spans="1:8" ht="15.75" hidden="1" x14ac:dyDescent="0.25">
      <c r="A678" s="25" t="s">
        <v>419</v>
      </c>
      <c r="B678" s="40" t="s">
        <v>1023</v>
      </c>
      <c r="C678" s="40" t="s">
        <v>279</v>
      </c>
      <c r="D678" s="40" t="s">
        <v>133</v>
      </c>
      <c r="E678" s="73"/>
      <c r="F678" s="73"/>
      <c r="G678" s="10">
        <f t="shared" ref="G678:H680" si="89">G679</f>
        <v>0</v>
      </c>
      <c r="H678" s="10">
        <f t="shared" si="89"/>
        <v>0</v>
      </c>
    </row>
    <row r="679" spans="1:8" ht="47.25" hidden="1" x14ac:dyDescent="0.25">
      <c r="A679" s="31" t="s">
        <v>1274</v>
      </c>
      <c r="B679" s="20" t="s">
        <v>1024</v>
      </c>
      <c r="C679" s="40" t="s">
        <v>279</v>
      </c>
      <c r="D679" s="40" t="s">
        <v>133</v>
      </c>
      <c r="E679" s="72"/>
      <c r="F679" s="72"/>
      <c r="G679" s="10">
        <f t="shared" si="89"/>
        <v>0</v>
      </c>
      <c r="H679" s="10">
        <f t="shared" si="89"/>
        <v>0</v>
      </c>
    </row>
    <row r="680" spans="1:8" ht="47.25" hidden="1" x14ac:dyDescent="0.25">
      <c r="A680" s="31" t="s">
        <v>287</v>
      </c>
      <c r="B680" s="20" t="s">
        <v>1024</v>
      </c>
      <c r="C680" s="40" t="s">
        <v>279</v>
      </c>
      <c r="D680" s="40" t="s">
        <v>133</v>
      </c>
      <c r="E680" s="40" t="s">
        <v>288</v>
      </c>
      <c r="F680" s="72"/>
      <c r="G680" s="10">
        <f t="shared" si="89"/>
        <v>0</v>
      </c>
      <c r="H680" s="10">
        <f t="shared" si="89"/>
        <v>0</v>
      </c>
    </row>
    <row r="681" spans="1:8" ht="15.75" hidden="1" x14ac:dyDescent="0.25">
      <c r="A681" s="31" t="s">
        <v>289</v>
      </c>
      <c r="B681" s="20" t="s">
        <v>1024</v>
      </c>
      <c r="C681" s="40" t="s">
        <v>279</v>
      </c>
      <c r="D681" s="40" t="s">
        <v>133</v>
      </c>
      <c r="E681" s="40" t="s">
        <v>290</v>
      </c>
      <c r="F681" s="72"/>
      <c r="G681" s="10">
        <f>'пр.4.1.ведом.21-22'!G605</f>
        <v>0</v>
      </c>
      <c r="H681" s="10">
        <f>'пр.4.1.ведом.21-22'!H605</f>
        <v>0</v>
      </c>
    </row>
    <row r="682" spans="1:8" ht="31.5" hidden="1" x14ac:dyDescent="0.25">
      <c r="A682" s="31" t="s">
        <v>418</v>
      </c>
      <c r="B682" s="20" t="s">
        <v>1024</v>
      </c>
      <c r="C682" s="40" t="s">
        <v>279</v>
      </c>
      <c r="D682" s="40" t="s">
        <v>133</v>
      </c>
      <c r="E682" s="40" t="s">
        <v>290</v>
      </c>
      <c r="F682" s="2">
        <v>906</v>
      </c>
      <c r="G682" s="10">
        <f>G681</f>
        <v>0</v>
      </c>
      <c r="H682" s="10">
        <f>H681</f>
        <v>0</v>
      </c>
    </row>
    <row r="683" spans="1:8" ht="15.75" hidden="1" x14ac:dyDescent="0.25">
      <c r="A683" s="29" t="s">
        <v>440</v>
      </c>
      <c r="B683" s="40" t="s">
        <v>1023</v>
      </c>
      <c r="C683" s="40" t="s">
        <v>279</v>
      </c>
      <c r="D683" s="40" t="s">
        <v>228</v>
      </c>
      <c r="E683" s="40"/>
      <c r="F683" s="73"/>
      <c r="G683" s="10">
        <f t="shared" ref="G683:H685" si="90">G684</f>
        <v>0</v>
      </c>
      <c r="H683" s="10">
        <f t="shared" si="90"/>
        <v>0</v>
      </c>
    </row>
    <row r="684" spans="1:8" ht="47.25" hidden="1" x14ac:dyDescent="0.25">
      <c r="A684" s="31" t="s">
        <v>1274</v>
      </c>
      <c r="B684" s="20" t="s">
        <v>1024</v>
      </c>
      <c r="C684" s="40" t="s">
        <v>279</v>
      </c>
      <c r="D684" s="40" t="s">
        <v>228</v>
      </c>
      <c r="E684" s="40"/>
      <c r="F684" s="72"/>
      <c r="G684" s="10">
        <f t="shared" si="90"/>
        <v>0</v>
      </c>
      <c r="H684" s="10">
        <f t="shared" si="90"/>
        <v>0</v>
      </c>
    </row>
    <row r="685" spans="1:8" ht="47.25" hidden="1" x14ac:dyDescent="0.25">
      <c r="A685" s="31" t="s">
        <v>287</v>
      </c>
      <c r="B685" s="20" t="s">
        <v>1024</v>
      </c>
      <c r="C685" s="40" t="s">
        <v>279</v>
      </c>
      <c r="D685" s="40" t="s">
        <v>228</v>
      </c>
      <c r="E685" s="40" t="s">
        <v>288</v>
      </c>
      <c r="F685" s="72"/>
      <c r="G685" s="10">
        <f t="shared" si="90"/>
        <v>0</v>
      </c>
      <c r="H685" s="10">
        <f t="shared" si="90"/>
        <v>0</v>
      </c>
    </row>
    <row r="686" spans="1:8" ht="15.75" hidden="1" x14ac:dyDescent="0.25">
      <c r="A686" s="31" t="s">
        <v>289</v>
      </c>
      <c r="B686" s="20" t="s">
        <v>1024</v>
      </c>
      <c r="C686" s="40" t="s">
        <v>279</v>
      </c>
      <c r="D686" s="40" t="s">
        <v>228</v>
      </c>
      <c r="E686" s="40" t="s">
        <v>290</v>
      </c>
      <c r="F686" s="72"/>
      <c r="G686" s="10">
        <f>'пр.4.1.ведом.21-22'!G693</f>
        <v>0</v>
      </c>
      <c r="H686" s="10">
        <f>'пр.4.1.ведом.21-22'!H693</f>
        <v>0</v>
      </c>
    </row>
    <row r="687" spans="1:8" ht="31.5" hidden="1" x14ac:dyDescent="0.25">
      <c r="A687" s="31" t="s">
        <v>418</v>
      </c>
      <c r="B687" s="20" t="s">
        <v>1024</v>
      </c>
      <c r="C687" s="40" t="s">
        <v>279</v>
      </c>
      <c r="D687" s="40" t="s">
        <v>228</v>
      </c>
      <c r="E687" s="40" t="s">
        <v>290</v>
      </c>
      <c r="F687" s="2">
        <v>906</v>
      </c>
      <c r="G687" s="10">
        <f>G686</f>
        <v>0</v>
      </c>
      <c r="H687" s="10">
        <f>H686</f>
        <v>0</v>
      </c>
    </row>
    <row r="688" spans="1:8" ht="15.75" hidden="1" x14ac:dyDescent="0.25">
      <c r="A688" s="31" t="s">
        <v>313</v>
      </c>
      <c r="B688" s="20" t="s">
        <v>1023</v>
      </c>
      <c r="C688" s="40" t="s">
        <v>314</v>
      </c>
      <c r="D688" s="40"/>
      <c r="E688" s="40"/>
      <c r="F688" s="2"/>
      <c r="G688" s="10">
        <f t="shared" ref="G688:H691" si="91">G689</f>
        <v>0</v>
      </c>
      <c r="H688" s="10">
        <f t="shared" si="91"/>
        <v>0</v>
      </c>
    </row>
    <row r="689" spans="1:8" ht="15.75" hidden="1" x14ac:dyDescent="0.25">
      <c r="A689" s="31" t="s">
        <v>315</v>
      </c>
      <c r="B689" s="20" t="s">
        <v>1023</v>
      </c>
      <c r="C689" s="40" t="s">
        <v>314</v>
      </c>
      <c r="D689" s="40" t="s">
        <v>133</v>
      </c>
      <c r="E689" s="40"/>
      <c r="F689" s="2"/>
      <c r="G689" s="10">
        <f t="shared" si="91"/>
        <v>0</v>
      </c>
      <c r="H689" s="10">
        <f t="shared" si="91"/>
        <v>0</v>
      </c>
    </row>
    <row r="690" spans="1:8" ht="47.25" hidden="1" x14ac:dyDescent="0.25">
      <c r="A690" s="31" t="s">
        <v>1273</v>
      </c>
      <c r="B690" s="20" t="s">
        <v>1190</v>
      </c>
      <c r="C690" s="40" t="s">
        <v>314</v>
      </c>
      <c r="D690" s="40" t="s">
        <v>133</v>
      </c>
      <c r="E690" s="40"/>
      <c r="F690" s="2"/>
      <c r="G690" s="10">
        <f t="shared" si="91"/>
        <v>0</v>
      </c>
      <c r="H690" s="10">
        <f t="shared" si="91"/>
        <v>0</v>
      </c>
    </row>
    <row r="691" spans="1:8" ht="31.5" hidden="1" x14ac:dyDescent="0.25">
      <c r="A691" s="25" t="s">
        <v>146</v>
      </c>
      <c r="B691" s="20" t="s">
        <v>1190</v>
      </c>
      <c r="C691" s="40" t="s">
        <v>314</v>
      </c>
      <c r="D691" s="40" t="s">
        <v>133</v>
      </c>
      <c r="E691" s="40" t="s">
        <v>147</v>
      </c>
      <c r="F691" s="2"/>
      <c r="G691" s="10">
        <f t="shared" si="91"/>
        <v>0</v>
      </c>
      <c r="H691" s="10">
        <f t="shared" si="91"/>
        <v>0</v>
      </c>
    </row>
    <row r="692" spans="1:8" ht="47.25" hidden="1" x14ac:dyDescent="0.25">
      <c r="A692" s="25" t="s">
        <v>148</v>
      </c>
      <c r="B692" s="20" t="s">
        <v>1190</v>
      </c>
      <c r="C692" s="40" t="s">
        <v>314</v>
      </c>
      <c r="D692" s="40" t="s">
        <v>133</v>
      </c>
      <c r="E692" s="40" t="s">
        <v>149</v>
      </c>
      <c r="F692" s="2"/>
      <c r="G692" s="10">
        <f>'пр.4.1.ведом.21-22'!G409</f>
        <v>0</v>
      </c>
      <c r="H692" s="10">
        <f>'пр.4.1.ведом.21-22'!H409</f>
        <v>0</v>
      </c>
    </row>
    <row r="693" spans="1:8" ht="47.25" hidden="1" x14ac:dyDescent="0.25">
      <c r="A693" s="25" t="s">
        <v>276</v>
      </c>
      <c r="B693" s="20" t="s">
        <v>1190</v>
      </c>
      <c r="C693" s="40" t="s">
        <v>314</v>
      </c>
      <c r="D693" s="40" t="s">
        <v>133</v>
      </c>
      <c r="E693" s="40" t="s">
        <v>149</v>
      </c>
      <c r="F693" s="2">
        <v>903</v>
      </c>
      <c r="G693" s="10">
        <f>G692</f>
        <v>0</v>
      </c>
      <c r="H693" s="10">
        <f>H692</f>
        <v>0</v>
      </c>
    </row>
    <row r="694" spans="1:8" ht="15.75" hidden="1" x14ac:dyDescent="0.25">
      <c r="A694" s="73" t="s">
        <v>505</v>
      </c>
      <c r="B694" s="40" t="s">
        <v>1023</v>
      </c>
      <c r="C694" s="40" t="s">
        <v>506</v>
      </c>
      <c r="D694" s="73"/>
      <c r="E694" s="73"/>
      <c r="F694" s="73"/>
      <c r="G694" s="10">
        <f t="shared" ref="G694:H695" si="92">G695</f>
        <v>0</v>
      </c>
      <c r="H694" s="10">
        <f t="shared" si="92"/>
        <v>0</v>
      </c>
    </row>
    <row r="695" spans="1:8" ht="15.75" hidden="1" x14ac:dyDescent="0.25">
      <c r="A695" s="73" t="s">
        <v>507</v>
      </c>
      <c r="B695" s="40" t="s">
        <v>1023</v>
      </c>
      <c r="C695" s="40" t="s">
        <v>506</v>
      </c>
      <c r="D695" s="40" t="s">
        <v>133</v>
      </c>
      <c r="E695" s="73"/>
      <c r="F695" s="73"/>
      <c r="G695" s="10">
        <f t="shared" si="92"/>
        <v>0</v>
      </c>
      <c r="H695" s="10">
        <f t="shared" si="92"/>
        <v>0</v>
      </c>
    </row>
    <row r="696" spans="1:8" ht="47.25" hidden="1" x14ac:dyDescent="0.25">
      <c r="A696" s="31" t="s">
        <v>1274</v>
      </c>
      <c r="B696" s="40" t="s">
        <v>1024</v>
      </c>
      <c r="C696" s="40" t="s">
        <v>506</v>
      </c>
      <c r="D696" s="40" t="s">
        <v>133</v>
      </c>
      <c r="E696" s="73"/>
      <c r="F696" s="73"/>
      <c r="G696" s="10">
        <f>G697</f>
        <v>0</v>
      </c>
      <c r="H696" s="10">
        <f>H697</f>
        <v>0</v>
      </c>
    </row>
    <row r="697" spans="1:8" ht="47.25" hidden="1" x14ac:dyDescent="0.25">
      <c r="A697" s="25" t="s">
        <v>287</v>
      </c>
      <c r="B697" s="40" t="s">
        <v>1024</v>
      </c>
      <c r="C697" s="40" t="s">
        <v>506</v>
      </c>
      <c r="D697" s="40" t="s">
        <v>133</v>
      </c>
      <c r="E697" s="40" t="s">
        <v>288</v>
      </c>
      <c r="F697" s="73"/>
      <c r="G697" s="10">
        <f>G698</f>
        <v>0</v>
      </c>
      <c r="H697" s="10">
        <f>H698</f>
        <v>0</v>
      </c>
    </row>
    <row r="698" spans="1:8" ht="15.75" hidden="1" x14ac:dyDescent="0.25">
      <c r="A698" s="25" t="s">
        <v>289</v>
      </c>
      <c r="B698" s="40" t="s">
        <v>1024</v>
      </c>
      <c r="C698" s="40" t="s">
        <v>506</v>
      </c>
      <c r="D698" s="40" t="s">
        <v>133</v>
      </c>
      <c r="E698" s="40" t="s">
        <v>290</v>
      </c>
      <c r="F698" s="73"/>
      <c r="G698" s="10">
        <v>0</v>
      </c>
      <c r="H698" s="10">
        <v>0</v>
      </c>
    </row>
    <row r="699" spans="1:8" ht="47.25" hidden="1" x14ac:dyDescent="0.25">
      <c r="A699" s="45" t="s">
        <v>495</v>
      </c>
      <c r="B699" s="40" t="s">
        <v>1024</v>
      </c>
      <c r="C699" s="40" t="s">
        <v>506</v>
      </c>
      <c r="D699" s="40" t="s">
        <v>133</v>
      </c>
      <c r="E699" s="40" t="s">
        <v>290</v>
      </c>
      <c r="F699" s="2">
        <v>907</v>
      </c>
      <c r="G699" s="10">
        <f>G698</f>
        <v>0</v>
      </c>
      <c r="H699" s="10">
        <f>H698</f>
        <v>0</v>
      </c>
    </row>
    <row r="700" spans="1:8" ht="63" x14ac:dyDescent="0.25">
      <c r="A700" s="41" t="s">
        <v>557</v>
      </c>
      <c r="B700" s="7" t="s">
        <v>558</v>
      </c>
      <c r="C700" s="2"/>
      <c r="D700" s="2"/>
      <c r="E700" s="2"/>
      <c r="F700" s="2"/>
      <c r="G700" s="59">
        <f t="shared" ref="G700:H700" si="93">G701+G723</f>
        <v>3244.5</v>
      </c>
      <c r="H700" s="59">
        <f t="shared" si="93"/>
        <v>10636.5</v>
      </c>
    </row>
    <row r="701" spans="1:8" ht="63" x14ac:dyDescent="0.25">
      <c r="A701" s="41" t="s">
        <v>559</v>
      </c>
      <c r="B701" s="7" t="s">
        <v>560</v>
      </c>
      <c r="C701" s="7"/>
      <c r="D701" s="7"/>
      <c r="E701" s="3"/>
      <c r="F701" s="3"/>
      <c r="G701" s="59">
        <f t="shared" ref="G701:H701" si="94">G703</f>
        <v>940</v>
      </c>
      <c r="H701" s="59">
        <f t="shared" si="94"/>
        <v>940</v>
      </c>
    </row>
    <row r="702" spans="1:8" ht="47.25" x14ac:dyDescent="0.25">
      <c r="A702" s="23" t="s">
        <v>1120</v>
      </c>
      <c r="B702" s="7" t="s">
        <v>1118</v>
      </c>
      <c r="C702" s="7"/>
      <c r="D702" s="7"/>
      <c r="E702" s="3"/>
      <c r="F702" s="3"/>
      <c r="G702" s="59">
        <f>G703</f>
        <v>940</v>
      </c>
      <c r="H702" s="59">
        <f>H703</f>
        <v>940</v>
      </c>
    </row>
    <row r="703" spans="1:8" ht="15.75" x14ac:dyDescent="0.25">
      <c r="A703" s="73" t="s">
        <v>405</v>
      </c>
      <c r="B703" s="40" t="s">
        <v>1118</v>
      </c>
      <c r="C703" s="40" t="s">
        <v>249</v>
      </c>
      <c r="D703" s="40"/>
      <c r="E703" s="2"/>
      <c r="F703" s="2"/>
      <c r="G703" s="10">
        <f t="shared" ref="G703:H703" si="95">G704</f>
        <v>940</v>
      </c>
      <c r="H703" s="10">
        <f t="shared" si="95"/>
        <v>940</v>
      </c>
    </row>
    <row r="704" spans="1:8" ht="15.75" x14ac:dyDescent="0.25">
      <c r="A704" s="73" t="s">
        <v>556</v>
      </c>
      <c r="B704" s="40" t="s">
        <v>1118</v>
      </c>
      <c r="C704" s="40" t="s">
        <v>249</v>
      </c>
      <c r="D704" s="40" t="s">
        <v>230</v>
      </c>
      <c r="E704" s="2"/>
      <c r="F704" s="2"/>
      <c r="G704" s="10">
        <f t="shared" ref="G704:H704" si="96">G705+G709+G719</f>
        <v>940</v>
      </c>
      <c r="H704" s="10">
        <f t="shared" si="96"/>
        <v>940</v>
      </c>
    </row>
    <row r="705" spans="1:8" ht="31.5" x14ac:dyDescent="0.25">
      <c r="A705" s="25" t="s">
        <v>561</v>
      </c>
      <c r="B705" s="20" t="s">
        <v>1119</v>
      </c>
      <c r="C705" s="40" t="s">
        <v>249</v>
      </c>
      <c r="D705" s="40" t="s">
        <v>230</v>
      </c>
      <c r="E705" s="2"/>
      <c r="F705" s="2"/>
      <c r="G705" s="10">
        <f t="shared" ref="G705:H706" si="97">G706</f>
        <v>90</v>
      </c>
      <c r="H705" s="10">
        <f t="shared" si="97"/>
        <v>90</v>
      </c>
    </row>
    <row r="706" spans="1:8" ht="31.5" x14ac:dyDescent="0.25">
      <c r="A706" s="25" t="s">
        <v>146</v>
      </c>
      <c r="B706" s="20" t="s">
        <v>1119</v>
      </c>
      <c r="C706" s="40" t="s">
        <v>249</v>
      </c>
      <c r="D706" s="40" t="s">
        <v>230</v>
      </c>
      <c r="E706" s="2">
        <v>200</v>
      </c>
      <c r="F706" s="2"/>
      <c r="G706" s="10">
        <f t="shared" si="97"/>
        <v>90</v>
      </c>
      <c r="H706" s="10">
        <f t="shared" si="97"/>
        <v>90</v>
      </c>
    </row>
    <row r="707" spans="1:8" ht="47.25" x14ac:dyDescent="0.25">
      <c r="A707" s="25" t="s">
        <v>148</v>
      </c>
      <c r="B707" s="20" t="s">
        <v>1119</v>
      </c>
      <c r="C707" s="40" t="s">
        <v>249</v>
      </c>
      <c r="D707" s="40" t="s">
        <v>230</v>
      </c>
      <c r="E707" s="2">
        <v>240</v>
      </c>
      <c r="F707" s="2"/>
      <c r="G707" s="10">
        <f>'пр.4.1.ведом.21-22'!G978</f>
        <v>90</v>
      </c>
      <c r="H707" s="10">
        <f>'пр.4.1.ведом.21-22'!H978</f>
        <v>90</v>
      </c>
    </row>
    <row r="708" spans="1:8" ht="47.25" x14ac:dyDescent="0.25">
      <c r="A708" s="45" t="s">
        <v>638</v>
      </c>
      <c r="B708" s="20" t="s">
        <v>1119</v>
      </c>
      <c r="C708" s="40" t="s">
        <v>249</v>
      </c>
      <c r="D708" s="40" t="s">
        <v>230</v>
      </c>
      <c r="E708" s="2">
        <v>240</v>
      </c>
      <c r="F708" s="2">
        <v>908</v>
      </c>
      <c r="G708" s="10">
        <f>G707</f>
        <v>90</v>
      </c>
      <c r="H708" s="10">
        <f>H707</f>
        <v>90</v>
      </c>
    </row>
    <row r="709" spans="1:8" ht="15.75" x14ac:dyDescent="0.25">
      <c r="A709" s="25" t="s">
        <v>563</v>
      </c>
      <c r="B709" s="20" t="s">
        <v>1121</v>
      </c>
      <c r="C709" s="40" t="s">
        <v>249</v>
      </c>
      <c r="D709" s="40" t="s">
        <v>230</v>
      </c>
      <c r="E709" s="2"/>
      <c r="F709" s="2"/>
      <c r="G709" s="10">
        <f>G710+G713+G716</f>
        <v>650</v>
      </c>
      <c r="H709" s="10">
        <f>H710+H713+H716</f>
        <v>650</v>
      </c>
    </row>
    <row r="710" spans="1:8" ht="31.5" x14ac:dyDescent="0.25">
      <c r="A710" s="25" t="s">
        <v>146</v>
      </c>
      <c r="B710" s="20" t="s">
        <v>1121</v>
      </c>
      <c r="C710" s="40" t="s">
        <v>249</v>
      </c>
      <c r="D710" s="40" t="s">
        <v>230</v>
      </c>
      <c r="E710" s="2">
        <v>200</v>
      </c>
      <c r="F710" s="2"/>
      <c r="G710" s="10">
        <f t="shared" ref="G710:H710" si="98">G711</f>
        <v>650</v>
      </c>
      <c r="H710" s="10">
        <f t="shared" si="98"/>
        <v>650</v>
      </c>
    </row>
    <row r="711" spans="1:8" ht="47.25" x14ac:dyDescent="0.25">
      <c r="A711" s="25" t="s">
        <v>148</v>
      </c>
      <c r="B711" s="20" t="s">
        <v>1121</v>
      </c>
      <c r="C711" s="40" t="s">
        <v>249</v>
      </c>
      <c r="D711" s="40" t="s">
        <v>230</v>
      </c>
      <c r="E711" s="2">
        <v>240</v>
      </c>
      <c r="F711" s="2"/>
      <c r="G711" s="10">
        <f>'пр.4.1.ведом.21-22'!G981</f>
        <v>650</v>
      </c>
      <c r="H711" s="10">
        <f>'пр.4.1.ведом.21-22'!H981</f>
        <v>650</v>
      </c>
    </row>
    <row r="712" spans="1:8" ht="47.25" x14ac:dyDescent="0.25">
      <c r="A712" s="45" t="s">
        <v>638</v>
      </c>
      <c r="B712" s="20" t="s">
        <v>1121</v>
      </c>
      <c r="C712" s="40" t="s">
        <v>249</v>
      </c>
      <c r="D712" s="40" t="s">
        <v>230</v>
      </c>
      <c r="E712" s="2">
        <v>240</v>
      </c>
      <c r="F712" s="2">
        <v>908</v>
      </c>
      <c r="G712" s="10">
        <f>G711</f>
        <v>650</v>
      </c>
      <c r="H712" s="10">
        <f>H711</f>
        <v>650</v>
      </c>
    </row>
    <row r="713" spans="1:8" ht="15.75" hidden="1" x14ac:dyDescent="0.25">
      <c r="A713" s="25" t="s">
        <v>150</v>
      </c>
      <c r="B713" s="20" t="s">
        <v>1121</v>
      </c>
      <c r="C713" s="40" t="s">
        <v>249</v>
      </c>
      <c r="D713" s="40" t="s">
        <v>230</v>
      </c>
      <c r="E713" s="2">
        <v>800</v>
      </c>
      <c r="F713" s="2"/>
      <c r="G713" s="10">
        <f>G714</f>
        <v>0</v>
      </c>
      <c r="H713" s="10">
        <f>H714</f>
        <v>0</v>
      </c>
    </row>
    <row r="714" spans="1:8" ht="47.25" hidden="1" x14ac:dyDescent="0.25">
      <c r="A714" s="25" t="s">
        <v>880</v>
      </c>
      <c r="B714" s="20" t="s">
        <v>1121</v>
      </c>
      <c r="C714" s="40" t="s">
        <v>249</v>
      </c>
      <c r="D714" s="40" t="s">
        <v>230</v>
      </c>
      <c r="E714" s="2">
        <v>830</v>
      </c>
      <c r="F714" s="2"/>
      <c r="G714" s="10">
        <f>'пр.4.1.ведом.21-22'!G983</f>
        <v>0</v>
      </c>
      <c r="H714" s="10">
        <f>'пр.4.1.ведом.21-22'!H983</f>
        <v>0</v>
      </c>
    </row>
    <row r="715" spans="1:8" ht="47.25" hidden="1" x14ac:dyDescent="0.25">
      <c r="A715" s="45" t="s">
        <v>638</v>
      </c>
      <c r="B715" s="20" t="s">
        <v>1121</v>
      </c>
      <c r="C715" s="40" t="s">
        <v>249</v>
      </c>
      <c r="D715" s="40" t="s">
        <v>230</v>
      </c>
      <c r="E715" s="2">
        <v>830</v>
      </c>
      <c r="F715" s="2">
        <v>908</v>
      </c>
      <c r="G715" s="10">
        <f>G714</f>
        <v>0</v>
      </c>
      <c r="H715" s="10">
        <f>H714</f>
        <v>0</v>
      </c>
    </row>
    <row r="716" spans="1:8" ht="15.75" hidden="1" x14ac:dyDescent="0.25">
      <c r="A716" s="25" t="s">
        <v>150</v>
      </c>
      <c r="B716" s="20" t="s">
        <v>1121</v>
      </c>
      <c r="C716" s="40" t="s">
        <v>249</v>
      </c>
      <c r="D716" s="40" t="s">
        <v>230</v>
      </c>
      <c r="E716" s="2">
        <v>800</v>
      </c>
      <c r="F716" s="2"/>
      <c r="G716" s="10">
        <f>G717</f>
        <v>0</v>
      </c>
      <c r="H716" s="10">
        <f>H717</f>
        <v>0</v>
      </c>
    </row>
    <row r="717" spans="1:8" ht="15.75" hidden="1" x14ac:dyDescent="0.25">
      <c r="A717" s="25" t="s">
        <v>1270</v>
      </c>
      <c r="B717" s="20" t="s">
        <v>1121</v>
      </c>
      <c r="C717" s="40" t="s">
        <v>249</v>
      </c>
      <c r="D717" s="40" t="s">
        <v>230</v>
      </c>
      <c r="E717" s="2">
        <v>850</v>
      </c>
      <c r="F717" s="2"/>
      <c r="G717" s="10">
        <f>'пр.4.1.ведом.21-22'!G984</f>
        <v>0</v>
      </c>
      <c r="H717" s="10">
        <f>'пр.4.1.ведом.21-22'!H984</f>
        <v>0</v>
      </c>
    </row>
    <row r="718" spans="1:8" ht="47.25" hidden="1" x14ac:dyDescent="0.25">
      <c r="A718" s="45" t="s">
        <v>638</v>
      </c>
      <c r="B718" s="20" t="s">
        <v>1121</v>
      </c>
      <c r="C718" s="40" t="s">
        <v>249</v>
      </c>
      <c r="D718" s="40" t="s">
        <v>230</v>
      </c>
      <c r="E718" s="2">
        <v>850</v>
      </c>
      <c r="F718" s="2">
        <v>908</v>
      </c>
      <c r="G718" s="10">
        <f>G717</f>
        <v>0</v>
      </c>
      <c r="H718" s="10">
        <f>H717</f>
        <v>0</v>
      </c>
    </row>
    <row r="719" spans="1:8" ht="15.75" x14ac:dyDescent="0.25">
      <c r="A719" s="25" t="s">
        <v>565</v>
      </c>
      <c r="B719" s="20" t="s">
        <v>1122</v>
      </c>
      <c r="C719" s="40" t="s">
        <v>249</v>
      </c>
      <c r="D719" s="40" t="s">
        <v>230</v>
      </c>
      <c r="E719" s="2"/>
      <c r="F719" s="2"/>
      <c r="G719" s="10">
        <f t="shared" ref="G719:H719" si="99">G720</f>
        <v>200</v>
      </c>
      <c r="H719" s="10">
        <f t="shared" si="99"/>
        <v>200</v>
      </c>
    </row>
    <row r="720" spans="1:8" ht="31.5" x14ac:dyDescent="0.25">
      <c r="A720" s="25" t="s">
        <v>146</v>
      </c>
      <c r="B720" s="20" t="s">
        <v>1122</v>
      </c>
      <c r="C720" s="40" t="s">
        <v>249</v>
      </c>
      <c r="D720" s="40" t="s">
        <v>230</v>
      </c>
      <c r="E720" s="2">
        <v>200</v>
      </c>
      <c r="F720" s="2"/>
      <c r="G720" s="10">
        <f>G721</f>
        <v>200</v>
      </c>
      <c r="H720" s="10">
        <f>H721</f>
        <v>200</v>
      </c>
    </row>
    <row r="721" spans="1:8" ht="47.25" x14ac:dyDescent="0.25">
      <c r="A721" s="25" t="s">
        <v>148</v>
      </c>
      <c r="B721" s="20" t="s">
        <v>1122</v>
      </c>
      <c r="C721" s="40" t="s">
        <v>249</v>
      </c>
      <c r="D721" s="40" t="s">
        <v>230</v>
      </c>
      <c r="E721" s="2">
        <v>240</v>
      </c>
      <c r="F721" s="2"/>
      <c r="G721" s="10">
        <f>'пр.4.1.ведом.21-22'!G987</f>
        <v>200</v>
      </c>
      <c r="H721" s="10">
        <f>'пр.4.1.ведом.21-22'!H987</f>
        <v>200</v>
      </c>
    </row>
    <row r="722" spans="1:8" ht="47.25" x14ac:dyDescent="0.25">
      <c r="A722" s="45" t="s">
        <v>638</v>
      </c>
      <c r="B722" s="20" t="s">
        <v>1122</v>
      </c>
      <c r="C722" s="40" t="s">
        <v>249</v>
      </c>
      <c r="D722" s="40" t="s">
        <v>230</v>
      </c>
      <c r="E722" s="2">
        <v>240</v>
      </c>
      <c r="F722" s="2">
        <v>908</v>
      </c>
      <c r="G722" s="10">
        <f>G721</f>
        <v>200</v>
      </c>
      <c r="H722" s="10">
        <f>H721</f>
        <v>200</v>
      </c>
    </row>
    <row r="723" spans="1:8" ht="47.25" x14ac:dyDescent="0.25">
      <c r="A723" s="23" t="s">
        <v>567</v>
      </c>
      <c r="B723" s="7" t="s">
        <v>568</v>
      </c>
      <c r="C723" s="7"/>
      <c r="D723" s="7"/>
      <c r="E723" s="3"/>
      <c r="F723" s="3"/>
      <c r="G723" s="59">
        <f>G725+G746</f>
        <v>2304.5</v>
      </c>
      <c r="H723" s="59">
        <f>H725+H746</f>
        <v>9696.5</v>
      </c>
    </row>
    <row r="724" spans="1:8" ht="31.5" x14ac:dyDescent="0.25">
      <c r="A724" s="23" t="s">
        <v>1138</v>
      </c>
      <c r="B724" s="7" t="s">
        <v>1123</v>
      </c>
      <c r="C724" s="7"/>
      <c r="D724" s="7"/>
      <c r="E724" s="3"/>
      <c r="F724" s="3"/>
      <c r="G724" s="59">
        <f>G725</f>
        <v>390</v>
      </c>
      <c r="H724" s="59">
        <f>H725</f>
        <v>390</v>
      </c>
    </row>
    <row r="725" spans="1:8" ht="15.75" x14ac:dyDescent="0.25">
      <c r="A725" s="73" t="s">
        <v>405</v>
      </c>
      <c r="B725" s="40" t="s">
        <v>1123</v>
      </c>
      <c r="C725" s="40" t="s">
        <v>249</v>
      </c>
      <c r="D725" s="40"/>
      <c r="E725" s="2"/>
      <c r="F725" s="2"/>
      <c r="G725" s="10">
        <f t="shared" ref="G725:H725" si="100">G726</f>
        <v>390</v>
      </c>
      <c r="H725" s="10">
        <f t="shared" si="100"/>
        <v>390</v>
      </c>
    </row>
    <row r="726" spans="1:8" ht="15.75" x14ac:dyDescent="0.25">
      <c r="A726" s="73" t="s">
        <v>556</v>
      </c>
      <c r="B726" s="40" t="s">
        <v>1123</v>
      </c>
      <c r="C726" s="40" t="s">
        <v>249</v>
      </c>
      <c r="D726" s="40" t="s">
        <v>230</v>
      </c>
      <c r="E726" s="2"/>
      <c r="F726" s="2"/>
      <c r="G726" s="10">
        <f>G742+G727+G731+G738</f>
        <v>390</v>
      </c>
      <c r="H726" s="10">
        <f>H742+H727+H731+H738</f>
        <v>390</v>
      </c>
    </row>
    <row r="727" spans="1:8" ht="15.75" x14ac:dyDescent="0.25">
      <c r="A727" s="25" t="s">
        <v>570</v>
      </c>
      <c r="B727" s="20" t="s">
        <v>1125</v>
      </c>
      <c r="C727" s="40" t="s">
        <v>249</v>
      </c>
      <c r="D727" s="40" t="s">
        <v>230</v>
      </c>
      <c r="E727" s="2"/>
      <c r="F727" s="2"/>
      <c r="G727" s="10">
        <f t="shared" ref="G727:H728" si="101">G728</f>
        <v>4</v>
      </c>
      <c r="H727" s="10">
        <f t="shared" si="101"/>
        <v>4</v>
      </c>
    </row>
    <row r="728" spans="1:8" ht="31.5" x14ac:dyDescent="0.25">
      <c r="A728" s="25" t="s">
        <v>146</v>
      </c>
      <c r="B728" s="20" t="s">
        <v>1125</v>
      </c>
      <c r="C728" s="40" t="s">
        <v>249</v>
      </c>
      <c r="D728" s="40" t="s">
        <v>230</v>
      </c>
      <c r="E728" s="2">
        <v>200</v>
      </c>
      <c r="F728" s="2"/>
      <c r="G728" s="10">
        <f t="shared" si="101"/>
        <v>4</v>
      </c>
      <c r="H728" s="10">
        <f t="shared" si="101"/>
        <v>4</v>
      </c>
    </row>
    <row r="729" spans="1:8" ht="47.25" x14ac:dyDescent="0.25">
      <c r="A729" s="25" t="s">
        <v>148</v>
      </c>
      <c r="B729" s="20" t="s">
        <v>1125</v>
      </c>
      <c r="C729" s="40" t="s">
        <v>249</v>
      </c>
      <c r="D729" s="40" t="s">
        <v>230</v>
      </c>
      <c r="E729" s="2">
        <v>240</v>
      </c>
      <c r="F729" s="2"/>
      <c r="G729" s="10">
        <f>'пр.4.1.ведом.21-22'!G992</f>
        <v>4</v>
      </c>
      <c r="H729" s="10">
        <f>'пр.4.1.ведом.21-22'!H992</f>
        <v>4</v>
      </c>
    </row>
    <row r="730" spans="1:8" ht="47.25" x14ac:dyDescent="0.25">
      <c r="A730" s="45" t="s">
        <v>638</v>
      </c>
      <c r="B730" s="20" t="s">
        <v>1125</v>
      </c>
      <c r="C730" s="40" t="s">
        <v>249</v>
      </c>
      <c r="D730" s="40" t="s">
        <v>230</v>
      </c>
      <c r="E730" s="2">
        <v>240</v>
      </c>
      <c r="F730" s="2">
        <v>908</v>
      </c>
      <c r="G730" s="10">
        <f>G729</f>
        <v>4</v>
      </c>
      <c r="H730" s="10">
        <f>H729</f>
        <v>4</v>
      </c>
    </row>
    <row r="731" spans="1:8" ht="47.25" x14ac:dyDescent="0.25">
      <c r="A731" s="45" t="s">
        <v>572</v>
      </c>
      <c r="B731" s="20" t="s">
        <v>1126</v>
      </c>
      <c r="C731" s="40" t="s">
        <v>249</v>
      </c>
      <c r="D731" s="40" t="s">
        <v>230</v>
      </c>
      <c r="E731" s="2"/>
      <c r="F731" s="2"/>
      <c r="G731" s="10">
        <f>G732+G735</f>
        <v>375</v>
      </c>
      <c r="H731" s="10">
        <f>H732+H735</f>
        <v>375</v>
      </c>
    </row>
    <row r="732" spans="1:8" ht="31.5" x14ac:dyDescent="0.25">
      <c r="A732" s="25" t="s">
        <v>146</v>
      </c>
      <c r="B732" s="20" t="s">
        <v>1126</v>
      </c>
      <c r="C732" s="40" t="s">
        <v>249</v>
      </c>
      <c r="D732" s="40" t="s">
        <v>230</v>
      </c>
      <c r="E732" s="2">
        <v>200</v>
      </c>
      <c r="F732" s="2"/>
      <c r="G732" s="10">
        <f t="shared" ref="G732:H732" si="102">G733</f>
        <v>300</v>
      </c>
      <c r="H732" s="10">
        <f t="shared" si="102"/>
        <v>300</v>
      </c>
    </row>
    <row r="733" spans="1:8" ht="47.25" x14ac:dyDescent="0.25">
      <c r="A733" s="25" t="s">
        <v>148</v>
      </c>
      <c r="B733" s="20" t="s">
        <v>1126</v>
      </c>
      <c r="C733" s="40" t="s">
        <v>249</v>
      </c>
      <c r="D733" s="40" t="s">
        <v>230</v>
      </c>
      <c r="E733" s="2">
        <v>240</v>
      </c>
      <c r="F733" s="2"/>
      <c r="G733" s="10">
        <f>'пр.4.1.ведом.21-22'!G995</f>
        <v>300</v>
      </c>
      <c r="H733" s="10">
        <f>'пр.4.1.ведом.21-22'!H995</f>
        <v>300</v>
      </c>
    </row>
    <row r="734" spans="1:8" ht="47.25" x14ac:dyDescent="0.25">
      <c r="A734" s="45" t="s">
        <v>638</v>
      </c>
      <c r="B734" s="20" t="s">
        <v>1126</v>
      </c>
      <c r="C734" s="40" t="s">
        <v>249</v>
      </c>
      <c r="D734" s="40" t="s">
        <v>230</v>
      </c>
      <c r="E734" s="2">
        <v>240</v>
      </c>
      <c r="F734" s="2">
        <v>908</v>
      </c>
      <c r="G734" s="10">
        <f>G733</f>
        <v>300</v>
      </c>
      <c r="H734" s="10">
        <f>H733</f>
        <v>300</v>
      </c>
    </row>
    <row r="735" spans="1:8" ht="15.75" x14ac:dyDescent="0.25">
      <c r="A735" s="29" t="s">
        <v>150</v>
      </c>
      <c r="B735" s="20" t="s">
        <v>1126</v>
      </c>
      <c r="C735" s="40" t="s">
        <v>249</v>
      </c>
      <c r="D735" s="40" t="s">
        <v>230</v>
      </c>
      <c r="E735" s="2">
        <v>800</v>
      </c>
      <c r="F735" s="2"/>
      <c r="G735" s="10">
        <f>G736</f>
        <v>75</v>
      </c>
      <c r="H735" s="10">
        <f>H736</f>
        <v>75</v>
      </c>
    </row>
    <row r="736" spans="1:8" s="221" customFormat="1" ht="15.75" x14ac:dyDescent="0.25">
      <c r="A736" s="25" t="s">
        <v>725</v>
      </c>
      <c r="B736" s="20" t="s">
        <v>1126</v>
      </c>
      <c r="C736" s="40" t="s">
        <v>249</v>
      </c>
      <c r="D736" s="40" t="s">
        <v>230</v>
      </c>
      <c r="E736" s="2">
        <v>850</v>
      </c>
      <c r="F736" s="2"/>
      <c r="G736" s="10">
        <f>'пр.4.1.ведом.21-22'!G997</f>
        <v>75</v>
      </c>
      <c r="H736" s="10">
        <f>'пр.4.1.ведом.21-22'!H997</f>
        <v>75</v>
      </c>
    </row>
    <row r="737" spans="1:8" s="221" customFormat="1" ht="47.25" x14ac:dyDescent="0.25">
      <c r="A737" s="45" t="s">
        <v>638</v>
      </c>
      <c r="B737" s="20" t="s">
        <v>1126</v>
      </c>
      <c r="C737" s="40" t="s">
        <v>249</v>
      </c>
      <c r="D737" s="40" t="s">
        <v>230</v>
      </c>
      <c r="E737" s="2">
        <v>850</v>
      </c>
      <c r="F737" s="2">
        <v>908</v>
      </c>
      <c r="G737" s="10">
        <f>G736</f>
        <v>75</v>
      </c>
      <c r="H737" s="10">
        <f>H736</f>
        <v>75</v>
      </c>
    </row>
    <row r="738" spans="1:8" s="221" customFormat="1" ht="31.5" hidden="1" x14ac:dyDescent="0.25">
      <c r="A738" s="45" t="s">
        <v>574</v>
      </c>
      <c r="B738" s="20" t="s">
        <v>1127</v>
      </c>
      <c r="C738" s="40" t="s">
        <v>249</v>
      </c>
      <c r="D738" s="40" t="s">
        <v>230</v>
      </c>
      <c r="E738" s="2"/>
      <c r="F738" s="2"/>
      <c r="G738" s="10">
        <f t="shared" ref="G738:H739" si="103">G739</f>
        <v>0</v>
      </c>
      <c r="H738" s="10">
        <f t="shared" si="103"/>
        <v>0</v>
      </c>
    </row>
    <row r="739" spans="1:8" s="221" customFormat="1" ht="31.5" hidden="1" x14ac:dyDescent="0.25">
      <c r="A739" s="25" t="s">
        <v>146</v>
      </c>
      <c r="B739" s="20" t="s">
        <v>1127</v>
      </c>
      <c r="C739" s="40" t="s">
        <v>249</v>
      </c>
      <c r="D739" s="40" t="s">
        <v>230</v>
      </c>
      <c r="E739" s="2">
        <v>200</v>
      </c>
      <c r="F739" s="2"/>
      <c r="G739" s="10">
        <f t="shared" si="103"/>
        <v>0</v>
      </c>
      <c r="H739" s="10">
        <f t="shared" si="103"/>
        <v>0</v>
      </c>
    </row>
    <row r="740" spans="1:8" ht="47.25" hidden="1" x14ac:dyDescent="0.25">
      <c r="A740" s="25" t="s">
        <v>148</v>
      </c>
      <c r="B740" s="20" t="s">
        <v>1127</v>
      </c>
      <c r="C740" s="40" t="s">
        <v>249</v>
      </c>
      <c r="D740" s="40" t="s">
        <v>230</v>
      </c>
      <c r="E740" s="2">
        <v>240</v>
      </c>
      <c r="F740" s="2"/>
      <c r="G740" s="10">
        <f>'пр.4.1.ведом.21-22'!G1000</f>
        <v>0</v>
      </c>
      <c r="H740" s="10">
        <f>'пр.4.1.ведом.21-22'!H1000</f>
        <v>0</v>
      </c>
    </row>
    <row r="741" spans="1:8" ht="47.25" hidden="1" x14ac:dyDescent="0.25">
      <c r="A741" s="45" t="s">
        <v>638</v>
      </c>
      <c r="B741" s="20" t="s">
        <v>1127</v>
      </c>
      <c r="C741" s="40" t="s">
        <v>249</v>
      </c>
      <c r="D741" s="40" t="s">
        <v>230</v>
      </c>
      <c r="E741" s="2">
        <v>850</v>
      </c>
      <c r="F741" s="2">
        <v>908</v>
      </c>
      <c r="G741" s="10">
        <f>G740</f>
        <v>0</v>
      </c>
      <c r="H741" s="10">
        <f>H740</f>
        <v>0</v>
      </c>
    </row>
    <row r="742" spans="1:8" ht="31.5" x14ac:dyDescent="0.25">
      <c r="A742" s="259" t="s">
        <v>1290</v>
      </c>
      <c r="B742" s="20" t="s">
        <v>1291</v>
      </c>
      <c r="C742" s="40" t="s">
        <v>249</v>
      </c>
      <c r="D742" s="40" t="s">
        <v>230</v>
      </c>
      <c r="E742" s="2"/>
      <c r="F742" s="2"/>
      <c r="G742" s="10">
        <f>G743</f>
        <v>11</v>
      </c>
      <c r="H742" s="10">
        <f>H743</f>
        <v>11</v>
      </c>
    </row>
    <row r="743" spans="1:8" ht="31.5" x14ac:dyDescent="0.25">
      <c r="A743" s="25" t="s">
        <v>146</v>
      </c>
      <c r="B743" s="20" t="s">
        <v>1291</v>
      </c>
      <c r="C743" s="40" t="s">
        <v>249</v>
      </c>
      <c r="D743" s="40" t="s">
        <v>230</v>
      </c>
      <c r="E743" s="2">
        <v>200</v>
      </c>
      <c r="F743" s="2"/>
      <c r="G743" s="10">
        <f>G744</f>
        <v>11</v>
      </c>
      <c r="H743" s="10">
        <f>H744</f>
        <v>11</v>
      </c>
    </row>
    <row r="744" spans="1:8" ht="47.25" x14ac:dyDescent="0.25">
      <c r="A744" s="25" t="s">
        <v>148</v>
      </c>
      <c r="B744" s="20" t="s">
        <v>1291</v>
      </c>
      <c r="C744" s="40" t="s">
        <v>249</v>
      </c>
      <c r="D744" s="40" t="s">
        <v>230</v>
      </c>
      <c r="E744" s="2">
        <v>240</v>
      </c>
      <c r="F744" s="2"/>
      <c r="G744" s="10">
        <f>'пр.4.1.ведом.21-22'!G1003</f>
        <v>11</v>
      </c>
      <c r="H744" s="10">
        <f>'пр.4.1.ведом.21-22'!H1003</f>
        <v>11</v>
      </c>
    </row>
    <row r="745" spans="1:8" ht="47.25" x14ac:dyDescent="0.25">
      <c r="A745" s="45" t="s">
        <v>638</v>
      </c>
      <c r="B745" s="20" t="s">
        <v>1291</v>
      </c>
      <c r="C745" s="40" t="s">
        <v>249</v>
      </c>
      <c r="D745" s="40" t="s">
        <v>230</v>
      </c>
      <c r="E745" s="2">
        <v>240</v>
      </c>
      <c r="F745" s="2">
        <v>908</v>
      </c>
      <c r="G745" s="10">
        <f>G744</f>
        <v>11</v>
      </c>
      <c r="H745" s="10">
        <f>H744</f>
        <v>11</v>
      </c>
    </row>
    <row r="746" spans="1:8" ht="31.5" x14ac:dyDescent="0.25">
      <c r="A746" s="23" t="s">
        <v>948</v>
      </c>
      <c r="B746" s="24" t="s">
        <v>1128</v>
      </c>
      <c r="C746" s="7"/>
      <c r="D746" s="7"/>
      <c r="E746" s="3"/>
      <c r="F746" s="3"/>
      <c r="G746" s="59">
        <f>G747</f>
        <v>1914.5</v>
      </c>
      <c r="H746" s="59">
        <f>H747</f>
        <v>9306.5</v>
      </c>
    </row>
    <row r="747" spans="1:8" ht="15.75" x14ac:dyDescent="0.25">
      <c r="A747" s="73" t="s">
        <v>405</v>
      </c>
      <c r="B747" s="40" t="s">
        <v>1128</v>
      </c>
      <c r="C747" s="40" t="s">
        <v>249</v>
      </c>
      <c r="D747" s="40"/>
      <c r="E747" s="2"/>
      <c r="F747" s="2"/>
      <c r="G747" s="10">
        <f t="shared" ref="G747:H747" si="104">G748</f>
        <v>1914.5</v>
      </c>
      <c r="H747" s="10">
        <f t="shared" si="104"/>
        <v>9306.5</v>
      </c>
    </row>
    <row r="748" spans="1:8" ht="15.75" x14ac:dyDescent="0.25">
      <c r="A748" s="73" t="s">
        <v>556</v>
      </c>
      <c r="B748" s="40" t="s">
        <v>1128</v>
      </c>
      <c r="C748" s="40" t="s">
        <v>249</v>
      </c>
      <c r="D748" s="40" t="s">
        <v>230</v>
      </c>
      <c r="E748" s="2"/>
      <c r="F748" s="2"/>
      <c r="G748" s="10">
        <f>G749+G753</f>
        <v>1914.5</v>
      </c>
      <c r="H748" s="10">
        <f>H749+H753</f>
        <v>9306.5</v>
      </c>
    </row>
    <row r="749" spans="1:8" ht="47.25" hidden="1" x14ac:dyDescent="0.25">
      <c r="A749" s="25" t="s">
        <v>705</v>
      </c>
      <c r="B749" s="20" t="s">
        <v>1129</v>
      </c>
      <c r="C749" s="40" t="s">
        <v>249</v>
      </c>
      <c r="D749" s="40" t="s">
        <v>230</v>
      </c>
      <c r="E749" s="2"/>
      <c r="F749" s="2"/>
      <c r="G749" s="10">
        <f>G750</f>
        <v>0</v>
      </c>
      <c r="H749" s="10">
        <f>H750</f>
        <v>0</v>
      </c>
    </row>
    <row r="750" spans="1:8" ht="31.5" hidden="1" x14ac:dyDescent="0.25">
      <c r="A750" s="25" t="s">
        <v>146</v>
      </c>
      <c r="B750" s="20" t="s">
        <v>1129</v>
      </c>
      <c r="C750" s="40" t="s">
        <v>249</v>
      </c>
      <c r="D750" s="40" t="s">
        <v>230</v>
      </c>
      <c r="E750" s="20" t="s">
        <v>147</v>
      </c>
      <c r="F750" s="2"/>
      <c r="G750" s="10">
        <f>G751</f>
        <v>0</v>
      </c>
      <c r="H750" s="10">
        <f>H751</f>
        <v>0</v>
      </c>
    </row>
    <row r="751" spans="1:8" ht="47.25" hidden="1" x14ac:dyDescent="0.25">
      <c r="A751" s="25" t="s">
        <v>148</v>
      </c>
      <c r="B751" s="20" t="s">
        <v>1129</v>
      </c>
      <c r="C751" s="40" t="s">
        <v>249</v>
      </c>
      <c r="D751" s="40" t="s">
        <v>230</v>
      </c>
      <c r="E751" s="20" t="s">
        <v>149</v>
      </c>
      <c r="F751" s="2"/>
      <c r="G751" s="10">
        <f>'пр.4.1.ведом.21-22'!G1007</f>
        <v>0</v>
      </c>
      <c r="H751" s="10">
        <f>'пр.4.1.ведом.21-22'!H1007</f>
        <v>0</v>
      </c>
    </row>
    <row r="752" spans="1:8" ht="47.25" hidden="1" x14ac:dyDescent="0.25">
      <c r="A752" s="45" t="s">
        <v>638</v>
      </c>
      <c r="B752" s="20" t="s">
        <v>1129</v>
      </c>
      <c r="C752" s="40" t="s">
        <v>249</v>
      </c>
      <c r="D752" s="40" t="s">
        <v>230</v>
      </c>
      <c r="E752" s="20" t="s">
        <v>149</v>
      </c>
      <c r="F752" s="2">
        <v>908</v>
      </c>
      <c r="G752" s="10">
        <f>G751</f>
        <v>0</v>
      </c>
      <c r="H752" s="10">
        <f>H751</f>
        <v>0</v>
      </c>
    </row>
    <row r="753" spans="1:8" ht="63" x14ac:dyDescent="0.25">
      <c r="A753" s="25" t="s">
        <v>1249</v>
      </c>
      <c r="B753" s="20" t="s">
        <v>1250</v>
      </c>
      <c r="C753" s="40" t="s">
        <v>249</v>
      </c>
      <c r="D753" s="40" t="s">
        <v>230</v>
      </c>
      <c r="E753" s="20"/>
      <c r="F753" s="2"/>
      <c r="G753" s="10">
        <f>G754</f>
        <v>1914.5</v>
      </c>
      <c r="H753" s="10">
        <f>H754</f>
        <v>9306.5</v>
      </c>
    </row>
    <row r="754" spans="1:8" ht="31.5" x14ac:dyDescent="0.25">
      <c r="A754" s="25" t="s">
        <v>146</v>
      </c>
      <c r="B754" s="20" t="s">
        <v>1250</v>
      </c>
      <c r="C754" s="40" t="s">
        <v>249</v>
      </c>
      <c r="D754" s="40" t="s">
        <v>230</v>
      </c>
      <c r="E754" s="20" t="s">
        <v>147</v>
      </c>
      <c r="F754" s="2"/>
      <c r="G754" s="10">
        <f>G755</f>
        <v>1914.5</v>
      </c>
      <c r="H754" s="10">
        <f>H755</f>
        <v>9306.5</v>
      </c>
    </row>
    <row r="755" spans="1:8" ht="47.25" x14ac:dyDescent="0.25">
      <c r="A755" s="25" t="s">
        <v>148</v>
      </c>
      <c r="B755" s="20" t="s">
        <v>1250</v>
      </c>
      <c r="C755" s="40" t="s">
        <v>249</v>
      </c>
      <c r="D755" s="40" t="s">
        <v>230</v>
      </c>
      <c r="E755" s="20" t="s">
        <v>149</v>
      </c>
      <c r="F755" s="2"/>
      <c r="G755" s="10">
        <f>'пр.4.1.ведом.21-22'!G1010</f>
        <v>1914.5</v>
      </c>
      <c r="H755" s="10">
        <f>'пр.4.1.ведом.21-22'!H1010</f>
        <v>9306.5</v>
      </c>
    </row>
    <row r="756" spans="1:8" ht="47.25" x14ac:dyDescent="0.25">
      <c r="A756" s="45" t="s">
        <v>638</v>
      </c>
      <c r="B756" s="20" t="s">
        <v>1250</v>
      </c>
      <c r="C756" s="40" t="s">
        <v>249</v>
      </c>
      <c r="D756" s="40" t="s">
        <v>230</v>
      </c>
      <c r="E756" s="20" t="s">
        <v>149</v>
      </c>
      <c r="F756" s="2">
        <v>908</v>
      </c>
      <c r="G756" s="10">
        <f>G755</f>
        <v>1914.5</v>
      </c>
      <c r="H756" s="10">
        <f>H755</f>
        <v>9306.5</v>
      </c>
    </row>
    <row r="757" spans="1:8" ht="47.25" x14ac:dyDescent="0.25">
      <c r="A757" s="34" t="s">
        <v>196</v>
      </c>
      <c r="B757" s="210" t="s">
        <v>197</v>
      </c>
      <c r="C757" s="7"/>
      <c r="D757" s="7"/>
      <c r="E757" s="7"/>
      <c r="F757" s="3"/>
      <c r="G757" s="59">
        <f>G758+G769</f>
        <v>306</v>
      </c>
      <c r="H757" s="59">
        <f>H758+H769</f>
        <v>306</v>
      </c>
    </row>
    <row r="758" spans="1:8" ht="47.25" x14ac:dyDescent="0.25">
      <c r="A758" s="34" t="s">
        <v>1157</v>
      </c>
      <c r="B758" s="210" t="s">
        <v>921</v>
      </c>
      <c r="C758" s="7"/>
      <c r="D758" s="7"/>
      <c r="E758" s="7"/>
      <c r="F758" s="3"/>
      <c r="G758" s="59">
        <f>G759</f>
        <v>256</v>
      </c>
      <c r="H758" s="59">
        <f>H759</f>
        <v>256</v>
      </c>
    </row>
    <row r="759" spans="1:8" ht="15.75" x14ac:dyDescent="0.25">
      <c r="A759" s="29" t="s">
        <v>247</v>
      </c>
      <c r="B759" s="5" t="s">
        <v>921</v>
      </c>
      <c r="C759" s="40" t="s">
        <v>165</v>
      </c>
      <c r="D759" s="40"/>
      <c r="E759" s="40"/>
      <c r="F759" s="2"/>
      <c r="G759" s="10">
        <f t="shared" ref="G759:H762" si="105">G760</f>
        <v>256</v>
      </c>
      <c r="H759" s="10">
        <f t="shared" si="105"/>
        <v>256</v>
      </c>
    </row>
    <row r="760" spans="1:8" ht="15.75" x14ac:dyDescent="0.25">
      <c r="A760" s="29" t="s">
        <v>248</v>
      </c>
      <c r="B760" s="30" t="s">
        <v>921</v>
      </c>
      <c r="C760" s="40" t="s">
        <v>165</v>
      </c>
      <c r="D760" s="40" t="s">
        <v>249</v>
      </c>
      <c r="E760" s="40"/>
      <c r="F760" s="2"/>
      <c r="G760" s="10">
        <f>G761+G765</f>
        <v>256</v>
      </c>
      <c r="H760" s="10">
        <f>H761+H765</f>
        <v>256</v>
      </c>
    </row>
    <row r="761" spans="1:8" ht="15.75" x14ac:dyDescent="0.25">
      <c r="A761" s="25" t="s">
        <v>922</v>
      </c>
      <c r="B761" s="20" t="s">
        <v>966</v>
      </c>
      <c r="C761" s="40" t="s">
        <v>165</v>
      </c>
      <c r="D761" s="40" t="s">
        <v>249</v>
      </c>
      <c r="E761" s="40"/>
      <c r="F761" s="2"/>
      <c r="G761" s="10">
        <f t="shared" si="105"/>
        <v>1</v>
      </c>
      <c r="H761" s="10">
        <f t="shared" si="105"/>
        <v>1</v>
      </c>
    </row>
    <row r="762" spans="1:8" ht="15.75" x14ac:dyDescent="0.25">
      <c r="A762" s="29" t="s">
        <v>150</v>
      </c>
      <c r="B762" s="20" t="s">
        <v>966</v>
      </c>
      <c r="C762" s="40" t="s">
        <v>165</v>
      </c>
      <c r="D762" s="40" t="s">
        <v>249</v>
      </c>
      <c r="E762" s="40" t="s">
        <v>160</v>
      </c>
      <c r="F762" s="2"/>
      <c r="G762" s="10">
        <f t="shared" si="105"/>
        <v>1</v>
      </c>
      <c r="H762" s="10">
        <f t="shared" si="105"/>
        <v>1</v>
      </c>
    </row>
    <row r="763" spans="1:8" ht="63" x14ac:dyDescent="0.25">
      <c r="A763" s="29" t="s">
        <v>199</v>
      </c>
      <c r="B763" s="20" t="s">
        <v>966</v>
      </c>
      <c r="C763" s="40" t="s">
        <v>165</v>
      </c>
      <c r="D763" s="40" t="s">
        <v>249</v>
      </c>
      <c r="E763" s="40" t="s">
        <v>175</v>
      </c>
      <c r="F763" s="2"/>
      <c r="G763" s="10">
        <f>'пр.4.1.ведом.21-22'!G166</f>
        <v>1</v>
      </c>
      <c r="H763" s="10">
        <f>'пр.4.1.ведом.21-22'!H166</f>
        <v>1</v>
      </c>
    </row>
    <row r="764" spans="1:8" ht="31.5" x14ac:dyDescent="0.25">
      <c r="A764" s="29" t="s">
        <v>163</v>
      </c>
      <c r="B764" s="20" t="s">
        <v>966</v>
      </c>
      <c r="C764" s="40" t="s">
        <v>165</v>
      </c>
      <c r="D764" s="40" t="s">
        <v>249</v>
      </c>
      <c r="E764" s="40" t="s">
        <v>175</v>
      </c>
      <c r="F764" s="2">
        <v>902</v>
      </c>
      <c r="G764" s="10">
        <f>G763</f>
        <v>1</v>
      </c>
      <c r="H764" s="10">
        <f>H763</f>
        <v>1</v>
      </c>
    </row>
    <row r="765" spans="1:8" ht="31.5" x14ac:dyDescent="0.25">
      <c r="A765" s="25" t="s">
        <v>250</v>
      </c>
      <c r="B765" s="20" t="s">
        <v>925</v>
      </c>
      <c r="C765" s="40" t="s">
        <v>165</v>
      </c>
      <c r="D765" s="40" t="s">
        <v>249</v>
      </c>
      <c r="E765" s="40"/>
      <c r="F765" s="2"/>
      <c r="G765" s="10">
        <f>G766</f>
        <v>255</v>
      </c>
      <c r="H765" s="10">
        <f>H766</f>
        <v>255</v>
      </c>
    </row>
    <row r="766" spans="1:8" ht="15.75" x14ac:dyDescent="0.25">
      <c r="A766" s="25" t="s">
        <v>150</v>
      </c>
      <c r="B766" s="20" t="s">
        <v>925</v>
      </c>
      <c r="C766" s="40" t="s">
        <v>165</v>
      </c>
      <c r="D766" s="40" t="s">
        <v>249</v>
      </c>
      <c r="E766" s="40" t="s">
        <v>160</v>
      </c>
      <c r="F766" s="2"/>
      <c r="G766" s="10">
        <f>G767</f>
        <v>255</v>
      </c>
      <c r="H766" s="10">
        <f>H767</f>
        <v>255</v>
      </c>
    </row>
    <row r="767" spans="1:8" ht="63" x14ac:dyDescent="0.25">
      <c r="A767" s="25" t="s">
        <v>199</v>
      </c>
      <c r="B767" s="20" t="s">
        <v>925</v>
      </c>
      <c r="C767" s="40" t="s">
        <v>165</v>
      </c>
      <c r="D767" s="40" t="s">
        <v>249</v>
      </c>
      <c r="E767" s="40" t="s">
        <v>175</v>
      </c>
      <c r="F767" s="2"/>
      <c r="G767" s="10">
        <f>'пр.4.1.ведом.21-22'!G169</f>
        <v>255</v>
      </c>
      <c r="H767" s="10">
        <f>'пр.4.1.ведом.21-22'!H169</f>
        <v>255</v>
      </c>
    </row>
    <row r="768" spans="1:8" ht="31.5" x14ac:dyDescent="0.25">
      <c r="A768" s="29" t="s">
        <v>163</v>
      </c>
      <c r="B768" s="20" t="s">
        <v>925</v>
      </c>
      <c r="C768" s="40" t="s">
        <v>165</v>
      </c>
      <c r="D768" s="40" t="s">
        <v>249</v>
      </c>
      <c r="E768" s="40" t="s">
        <v>175</v>
      </c>
      <c r="F768" s="2">
        <v>902</v>
      </c>
      <c r="G768" s="10">
        <f>G767</f>
        <v>255</v>
      </c>
      <c r="H768" s="10">
        <f>H767</f>
        <v>255</v>
      </c>
    </row>
    <row r="769" spans="1:8" ht="47.25" x14ac:dyDescent="0.25">
      <c r="A769" s="241" t="s">
        <v>1158</v>
      </c>
      <c r="B769" s="24" t="s">
        <v>924</v>
      </c>
      <c r="C769" s="40"/>
      <c r="D769" s="40"/>
      <c r="E769" s="40"/>
      <c r="F769" s="2"/>
      <c r="G769" s="10">
        <f t="shared" ref="G769:H773" si="106">G770</f>
        <v>50</v>
      </c>
      <c r="H769" s="10">
        <f t="shared" si="106"/>
        <v>50</v>
      </c>
    </row>
    <row r="770" spans="1:8" ht="15.75" x14ac:dyDescent="0.25">
      <c r="A770" s="29" t="s">
        <v>247</v>
      </c>
      <c r="B770" s="5" t="s">
        <v>921</v>
      </c>
      <c r="C770" s="40" t="s">
        <v>165</v>
      </c>
      <c r="D770" s="40"/>
      <c r="E770" s="40"/>
      <c r="F770" s="2"/>
      <c r="G770" s="10">
        <f t="shared" si="106"/>
        <v>50</v>
      </c>
      <c r="H770" s="10">
        <f t="shared" si="106"/>
        <v>50</v>
      </c>
    </row>
    <row r="771" spans="1:8" ht="15.75" x14ac:dyDescent="0.25">
      <c r="A771" s="29" t="s">
        <v>248</v>
      </c>
      <c r="B771" s="30" t="s">
        <v>921</v>
      </c>
      <c r="C771" s="40" t="s">
        <v>165</v>
      </c>
      <c r="D771" s="40" t="s">
        <v>249</v>
      </c>
      <c r="E771" s="40"/>
      <c r="F771" s="2"/>
      <c r="G771" s="10">
        <f t="shared" si="106"/>
        <v>50</v>
      </c>
      <c r="H771" s="10">
        <f t="shared" si="106"/>
        <v>50</v>
      </c>
    </row>
    <row r="772" spans="1:8" ht="15.75" x14ac:dyDescent="0.25">
      <c r="A772" s="25" t="s">
        <v>923</v>
      </c>
      <c r="B772" s="5" t="s">
        <v>967</v>
      </c>
      <c r="C772" s="40" t="s">
        <v>165</v>
      </c>
      <c r="D772" s="40" t="s">
        <v>249</v>
      </c>
      <c r="E772" s="40"/>
      <c r="F772" s="2"/>
      <c r="G772" s="10">
        <f t="shared" si="106"/>
        <v>50</v>
      </c>
      <c r="H772" s="10">
        <f t="shared" si="106"/>
        <v>50</v>
      </c>
    </row>
    <row r="773" spans="1:8" ht="15.75" x14ac:dyDescent="0.25">
      <c r="A773" s="29" t="s">
        <v>150</v>
      </c>
      <c r="B773" s="5" t="s">
        <v>967</v>
      </c>
      <c r="C773" s="40" t="s">
        <v>165</v>
      </c>
      <c r="D773" s="40" t="s">
        <v>249</v>
      </c>
      <c r="E773" s="40" t="s">
        <v>160</v>
      </c>
      <c r="F773" s="2"/>
      <c r="G773" s="10">
        <f t="shared" si="106"/>
        <v>50</v>
      </c>
      <c r="H773" s="10">
        <f t="shared" si="106"/>
        <v>50</v>
      </c>
    </row>
    <row r="774" spans="1:8" ht="63" x14ac:dyDescent="0.25">
      <c r="A774" s="29" t="s">
        <v>199</v>
      </c>
      <c r="B774" s="5" t="s">
        <v>967</v>
      </c>
      <c r="C774" s="40" t="s">
        <v>165</v>
      </c>
      <c r="D774" s="40" t="s">
        <v>249</v>
      </c>
      <c r="E774" s="40" t="s">
        <v>175</v>
      </c>
      <c r="F774" s="2"/>
      <c r="G774" s="10">
        <f>'пр.4.1.ведом.21-22'!G173</f>
        <v>50</v>
      </c>
      <c r="H774" s="10">
        <f>'пр.4.1.ведом.21-22'!H173</f>
        <v>50</v>
      </c>
    </row>
    <row r="775" spans="1:8" ht="31.5" x14ac:dyDescent="0.25">
      <c r="A775" s="29" t="s">
        <v>163</v>
      </c>
      <c r="B775" s="20" t="s">
        <v>925</v>
      </c>
      <c r="C775" s="40" t="s">
        <v>165</v>
      </c>
      <c r="D775" s="40" t="s">
        <v>249</v>
      </c>
      <c r="E775" s="40" t="s">
        <v>175</v>
      </c>
      <c r="F775" s="2">
        <v>902</v>
      </c>
      <c r="G775" s="10">
        <f>G774</f>
        <v>50</v>
      </c>
      <c r="H775" s="10">
        <f>H774</f>
        <v>50</v>
      </c>
    </row>
    <row r="776" spans="1:8" ht="78.75" x14ac:dyDescent="0.25">
      <c r="A776" s="41" t="s">
        <v>1176</v>
      </c>
      <c r="B776" s="7" t="s">
        <v>533</v>
      </c>
      <c r="C776" s="7"/>
      <c r="D776" s="7"/>
      <c r="E776" s="72"/>
      <c r="F776" s="3"/>
      <c r="G776" s="59">
        <f>G777+G784+G791+G798+G805+G812+G819</f>
        <v>700</v>
      </c>
      <c r="H776" s="59">
        <f>H777+H784+H791+H798+H805+H812+H819</f>
        <v>700</v>
      </c>
    </row>
    <row r="777" spans="1:8" ht="31.5" x14ac:dyDescent="0.25">
      <c r="A777" s="23" t="s">
        <v>1097</v>
      </c>
      <c r="B777" s="24" t="s">
        <v>1099</v>
      </c>
      <c r="C777" s="40"/>
      <c r="D777" s="40"/>
      <c r="E777" s="40"/>
      <c r="F777" s="2"/>
      <c r="G777" s="59">
        <f>G778</f>
        <v>700</v>
      </c>
      <c r="H777" s="59">
        <f>H778</f>
        <v>700</v>
      </c>
    </row>
    <row r="778" spans="1:8" ht="15.75" x14ac:dyDescent="0.25">
      <c r="A778" s="29" t="s">
        <v>405</v>
      </c>
      <c r="B778" s="40" t="s">
        <v>1099</v>
      </c>
      <c r="C778" s="40" t="s">
        <v>249</v>
      </c>
      <c r="D778" s="40"/>
      <c r="E778" s="73"/>
      <c r="F778" s="2"/>
      <c r="G778" s="10">
        <f t="shared" ref="G778:H778" si="107">G779</f>
        <v>700</v>
      </c>
      <c r="H778" s="10">
        <f t="shared" si="107"/>
        <v>700</v>
      </c>
    </row>
    <row r="779" spans="1:8" ht="15.75" x14ac:dyDescent="0.25">
      <c r="A779" s="29" t="s">
        <v>532</v>
      </c>
      <c r="B779" s="40" t="s">
        <v>1099</v>
      </c>
      <c r="C779" s="40" t="s">
        <v>249</v>
      </c>
      <c r="D779" s="40" t="s">
        <v>228</v>
      </c>
      <c r="E779" s="73"/>
      <c r="F779" s="2"/>
      <c r="G779" s="10">
        <f>G780</f>
        <v>700</v>
      </c>
      <c r="H779" s="10">
        <f>H780</f>
        <v>700</v>
      </c>
    </row>
    <row r="780" spans="1:8" ht="15.75" x14ac:dyDescent="0.25">
      <c r="A780" s="45" t="s">
        <v>536</v>
      </c>
      <c r="B780" s="20" t="s">
        <v>1100</v>
      </c>
      <c r="C780" s="40" t="s">
        <v>249</v>
      </c>
      <c r="D780" s="40" t="s">
        <v>228</v>
      </c>
      <c r="E780" s="40"/>
      <c r="F780" s="2"/>
      <c r="G780" s="10">
        <f t="shared" ref="G780:H781" si="108">G781</f>
        <v>700</v>
      </c>
      <c r="H780" s="10">
        <f t="shared" si="108"/>
        <v>700</v>
      </c>
    </row>
    <row r="781" spans="1:8" ht="31.5" x14ac:dyDescent="0.25">
      <c r="A781" s="31" t="s">
        <v>146</v>
      </c>
      <c r="B781" s="20" t="s">
        <v>1100</v>
      </c>
      <c r="C781" s="40" t="s">
        <v>249</v>
      </c>
      <c r="D781" s="40" t="s">
        <v>228</v>
      </c>
      <c r="E781" s="40" t="s">
        <v>147</v>
      </c>
      <c r="F781" s="2"/>
      <c r="G781" s="10">
        <f t="shared" si="108"/>
        <v>700</v>
      </c>
      <c r="H781" s="10">
        <f t="shared" si="108"/>
        <v>700</v>
      </c>
    </row>
    <row r="782" spans="1:8" ht="47.25" x14ac:dyDescent="0.25">
      <c r="A782" s="31" t="s">
        <v>148</v>
      </c>
      <c r="B782" s="20" t="s">
        <v>1100</v>
      </c>
      <c r="C782" s="40" t="s">
        <v>249</v>
      </c>
      <c r="D782" s="40" t="s">
        <v>228</v>
      </c>
      <c r="E782" s="40" t="s">
        <v>149</v>
      </c>
      <c r="F782" s="2"/>
      <c r="G782" s="10">
        <f>'пр.4.1.ведом.21-22'!G937</f>
        <v>700</v>
      </c>
      <c r="H782" s="10">
        <f>'пр.4.1.ведом.21-22'!H937</f>
        <v>700</v>
      </c>
    </row>
    <row r="783" spans="1:8" ht="47.25" x14ac:dyDescent="0.25">
      <c r="A783" s="45" t="s">
        <v>638</v>
      </c>
      <c r="B783" s="20" t="s">
        <v>1100</v>
      </c>
      <c r="C783" s="40" t="s">
        <v>249</v>
      </c>
      <c r="D783" s="40" t="s">
        <v>228</v>
      </c>
      <c r="E783" s="40" t="s">
        <v>149</v>
      </c>
      <c r="F783" s="2">
        <v>908</v>
      </c>
      <c r="G783" s="6">
        <f>G782</f>
        <v>700</v>
      </c>
      <c r="H783" s="6">
        <f>H782</f>
        <v>700</v>
      </c>
    </row>
    <row r="784" spans="1:8" ht="31.5" hidden="1" x14ac:dyDescent="0.25">
      <c r="A784" s="34" t="s">
        <v>1101</v>
      </c>
      <c r="B784" s="24" t="s">
        <v>1102</v>
      </c>
      <c r="C784" s="40"/>
      <c r="D784" s="40"/>
      <c r="E784" s="40"/>
      <c r="F784" s="2"/>
      <c r="G784" s="59">
        <f>G785</f>
        <v>0</v>
      </c>
      <c r="H784" s="59">
        <f>H785</f>
        <v>0</v>
      </c>
    </row>
    <row r="785" spans="1:8" ht="15.75" hidden="1" x14ac:dyDescent="0.25">
      <c r="A785" s="29" t="s">
        <v>405</v>
      </c>
      <c r="B785" s="40" t="s">
        <v>1102</v>
      </c>
      <c r="C785" s="40" t="s">
        <v>249</v>
      </c>
      <c r="D785" s="40"/>
      <c r="E785" s="73"/>
      <c r="F785" s="2"/>
      <c r="G785" s="10">
        <f t="shared" ref="G785:H785" si="109">G786</f>
        <v>0</v>
      </c>
      <c r="H785" s="10">
        <f t="shared" si="109"/>
        <v>0</v>
      </c>
    </row>
    <row r="786" spans="1:8" ht="15.75" hidden="1" x14ac:dyDescent="0.25">
      <c r="A786" s="29" t="s">
        <v>532</v>
      </c>
      <c r="B786" s="40" t="s">
        <v>1102</v>
      </c>
      <c r="C786" s="40" t="s">
        <v>249</v>
      </c>
      <c r="D786" s="40" t="s">
        <v>228</v>
      </c>
      <c r="E786" s="73"/>
      <c r="F786" s="2"/>
      <c r="G786" s="10">
        <f>G787</f>
        <v>0</v>
      </c>
      <c r="H786" s="10">
        <f>H787</f>
        <v>0</v>
      </c>
    </row>
    <row r="787" spans="1:8" ht="15.75" hidden="1" x14ac:dyDescent="0.25">
      <c r="A787" s="45" t="s">
        <v>538</v>
      </c>
      <c r="B787" s="20" t="s">
        <v>1105</v>
      </c>
      <c r="C787" s="40" t="s">
        <v>249</v>
      </c>
      <c r="D787" s="40" t="s">
        <v>228</v>
      </c>
      <c r="E787" s="40"/>
      <c r="F787" s="2"/>
      <c r="G787" s="10">
        <f>G788</f>
        <v>0</v>
      </c>
      <c r="H787" s="10">
        <f>H788</f>
        <v>0</v>
      </c>
    </row>
    <row r="788" spans="1:8" ht="31.5" hidden="1" x14ac:dyDescent="0.25">
      <c r="A788" s="31" t="s">
        <v>146</v>
      </c>
      <c r="B788" s="20" t="s">
        <v>1105</v>
      </c>
      <c r="C788" s="40" t="s">
        <v>249</v>
      </c>
      <c r="D788" s="40" t="s">
        <v>228</v>
      </c>
      <c r="E788" s="40" t="s">
        <v>147</v>
      </c>
      <c r="F788" s="2"/>
      <c r="G788" s="10">
        <f t="shared" ref="G788:H788" si="110">G789</f>
        <v>0</v>
      </c>
      <c r="H788" s="10">
        <f t="shared" si="110"/>
        <v>0</v>
      </c>
    </row>
    <row r="789" spans="1:8" ht="47.25" hidden="1" x14ac:dyDescent="0.25">
      <c r="A789" s="31" t="s">
        <v>148</v>
      </c>
      <c r="B789" s="20" t="s">
        <v>1105</v>
      </c>
      <c r="C789" s="40" t="s">
        <v>249</v>
      </c>
      <c r="D789" s="40" t="s">
        <v>228</v>
      </c>
      <c r="E789" s="40" t="s">
        <v>149</v>
      </c>
      <c r="F789" s="2"/>
      <c r="G789" s="10">
        <f>'пр.4.1.ведом.21-22'!G941</f>
        <v>0</v>
      </c>
      <c r="H789" s="10">
        <f>'пр.4.1.ведом.21-22'!H941</f>
        <v>0</v>
      </c>
    </row>
    <row r="790" spans="1:8" ht="47.25" hidden="1" x14ac:dyDescent="0.25">
      <c r="A790" s="45" t="s">
        <v>638</v>
      </c>
      <c r="B790" s="20" t="s">
        <v>1105</v>
      </c>
      <c r="C790" s="40" t="s">
        <v>249</v>
      </c>
      <c r="D790" s="40" t="s">
        <v>228</v>
      </c>
      <c r="E790" s="40" t="s">
        <v>149</v>
      </c>
      <c r="F790" s="2">
        <v>908</v>
      </c>
      <c r="G790" s="6">
        <f>G789</f>
        <v>0</v>
      </c>
      <c r="H790" s="6">
        <f>H789</f>
        <v>0</v>
      </c>
    </row>
    <row r="791" spans="1:8" ht="31.5" hidden="1" x14ac:dyDescent="0.25">
      <c r="A791" s="58" t="s">
        <v>1103</v>
      </c>
      <c r="B791" s="24" t="s">
        <v>1104</v>
      </c>
      <c r="C791" s="40"/>
      <c r="D791" s="40"/>
      <c r="E791" s="40"/>
      <c r="F791" s="2"/>
      <c r="G791" s="59">
        <f>G792</f>
        <v>0</v>
      </c>
      <c r="H791" s="59">
        <f>H792</f>
        <v>0</v>
      </c>
    </row>
    <row r="792" spans="1:8" ht="15.75" hidden="1" x14ac:dyDescent="0.25">
      <c r="A792" s="29" t="s">
        <v>405</v>
      </c>
      <c r="B792" s="40" t="s">
        <v>1104</v>
      </c>
      <c r="C792" s="40" t="s">
        <v>249</v>
      </c>
      <c r="D792" s="40"/>
      <c r="E792" s="73"/>
      <c r="F792" s="2"/>
      <c r="G792" s="10">
        <f t="shared" ref="G792:H792" si="111">G793</f>
        <v>0</v>
      </c>
      <c r="H792" s="10">
        <f t="shared" si="111"/>
        <v>0</v>
      </c>
    </row>
    <row r="793" spans="1:8" ht="15.75" hidden="1" x14ac:dyDescent="0.25">
      <c r="A793" s="29" t="s">
        <v>532</v>
      </c>
      <c r="B793" s="40" t="s">
        <v>1104</v>
      </c>
      <c r="C793" s="40" t="s">
        <v>249</v>
      </c>
      <c r="D793" s="40" t="s">
        <v>228</v>
      </c>
      <c r="E793" s="73"/>
      <c r="F793" s="2"/>
      <c r="G793" s="10">
        <f>G794</f>
        <v>0</v>
      </c>
      <c r="H793" s="10">
        <f>H794</f>
        <v>0</v>
      </c>
    </row>
    <row r="794" spans="1:8" ht="15.75" hidden="1" x14ac:dyDescent="0.25">
      <c r="A794" s="45" t="s">
        <v>540</v>
      </c>
      <c r="B794" s="20" t="s">
        <v>1106</v>
      </c>
      <c r="C794" s="40" t="s">
        <v>249</v>
      </c>
      <c r="D794" s="40" t="s">
        <v>228</v>
      </c>
      <c r="E794" s="40"/>
      <c r="F794" s="2"/>
      <c r="G794" s="10">
        <f>G795</f>
        <v>0</v>
      </c>
      <c r="H794" s="10">
        <f>H795</f>
        <v>0</v>
      </c>
    </row>
    <row r="795" spans="1:8" ht="31.5" hidden="1" x14ac:dyDescent="0.25">
      <c r="A795" s="31" t="s">
        <v>146</v>
      </c>
      <c r="B795" s="20" t="s">
        <v>1106</v>
      </c>
      <c r="C795" s="40" t="s">
        <v>249</v>
      </c>
      <c r="D795" s="40" t="s">
        <v>228</v>
      </c>
      <c r="E795" s="40" t="s">
        <v>147</v>
      </c>
      <c r="F795" s="2"/>
      <c r="G795" s="10">
        <f t="shared" ref="G795:H795" si="112">G796</f>
        <v>0</v>
      </c>
      <c r="H795" s="10">
        <f t="shared" si="112"/>
        <v>0</v>
      </c>
    </row>
    <row r="796" spans="1:8" ht="47.25" hidden="1" x14ac:dyDescent="0.25">
      <c r="A796" s="31" t="s">
        <v>148</v>
      </c>
      <c r="B796" s="20" t="s">
        <v>1106</v>
      </c>
      <c r="C796" s="40" t="s">
        <v>249</v>
      </c>
      <c r="D796" s="40" t="s">
        <v>228</v>
      </c>
      <c r="E796" s="40" t="s">
        <v>149</v>
      </c>
      <c r="F796" s="2"/>
      <c r="G796" s="10">
        <f>'пр.4.1.ведом.21-22'!G945</f>
        <v>0</v>
      </c>
      <c r="H796" s="10">
        <f>'пр.4.1.ведом.21-22'!H945</f>
        <v>0</v>
      </c>
    </row>
    <row r="797" spans="1:8" ht="47.25" hidden="1" x14ac:dyDescent="0.25">
      <c r="A797" s="45" t="s">
        <v>638</v>
      </c>
      <c r="B797" s="20" t="s">
        <v>1106</v>
      </c>
      <c r="C797" s="40" t="s">
        <v>249</v>
      </c>
      <c r="D797" s="40" t="s">
        <v>228</v>
      </c>
      <c r="E797" s="40" t="s">
        <v>149</v>
      </c>
      <c r="F797" s="2">
        <v>908</v>
      </c>
      <c r="G797" s="6">
        <f>G796</f>
        <v>0</v>
      </c>
      <c r="H797" s="6">
        <f>H796</f>
        <v>0</v>
      </c>
    </row>
    <row r="798" spans="1:8" ht="31.5" hidden="1" x14ac:dyDescent="0.25">
      <c r="A798" s="58" t="s">
        <v>1107</v>
      </c>
      <c r="B798" s="24" t="s">
        <v>1108</v>
      </c>
      <c r="C798" s="40"/>
      <c r="D798" s="40"/>
      <c r="E798" s="40"/>
      <c r="F798" s="2"/>
      <c r="G798" s="59">
        <f t="shared" ref="G798:H800" si="113">G799</f>
        <v>0</v>
      </c>
      <c r="H798" s="59">
        <f t="shared" si="113"/>
        <v>0</v>
      </c>
    </row>
    <row r="799" spans="1:8" ht="15.75" hidden="1" x14ac:dyDescent="0.25">
      <c r="A799" s="29" t="s">
        <v>405</v>
      </c>
      <c r="B799" s="40" t="s">
        <v>1108</v>
      </c>
      <c r="C799" s="40" t="s">
        <v>249</v>
      </c>
      <c r="D799" s="40"/>
      <c r="E799" s="73"/>
      <c r="F799" s="2"/>
      <c r="G799" s="10">
        <f t="shared" si="113"/>
        <v>0</v>
      </c>
      <c r="H799" s="10">
        <f t="shared" si="113"/>
        <v>0</v>
      </c>
    </row>
    <row r="800" spans="1:8" ht="15.75" hidden="1" x14ac:dyDescent="0.25">
      <c r="A800" s="29" t="s">
        <v>532</v>
      </c>
      <c r="B800" s="40" t="s">
        <v>1108</v>
      </c>
      <c r="C800" s="40" t="s">
        <v>249</v>
      </c>
      <c r="D800" s="40" t="s">
        <v>228</v>
      </c>
      <c r="E800" s="73"/>
      <c r="F800" s="2"/>
      <c r="G800" s="10">
        <f t="shared" si="113"/>
        <v>0</v>
      </c>
      <c r="H800" s="10">
        <f t="shared" si="113"/>
        <v>0</v>
      </c>
    </row>
    <row r="801" spans="1:8" ht="31.5" hidden="1" x14ac:dyDescent="0.25">
      <c r="A801" s="45" t="s">
        <v>542</v>
      </c>
      <c r="B801" s="20" t="s">
        <v>1109</v>
      </c>
      <c r="C801" s="40" t="s">
        <v>249</v>
      </c>
      <c r="D801" s="40" t="s">
        <v>228</v>
      </c>
      <c r="E801" s="40"/>
      <c r="F801" s="2"/>
      <c r="G801" s="10">
        <f t="shared" ref="G801:H802" si="114">G802</f>
        <v>0</v>
      </c>
      <c r="H801" s="10">
        <f t="shared" si="114"/>
        <v>0</v>
      </c>
    </row>
    <row r="802" spans="1:8" ht="31.5" hidden="1" x14ac:dyDescent="0.25">
      <c r="A802" s="31" t="s">
        <v>146</v>
      </c>
      <c r="B802" s="20" t="s">
        <v>1109</v>
      </c>
      <c r="C802" s="40" t="s">
        <v>249</v>
      </c>
      <c r="D802" s="40" t="s">
        <v>228</v>
      </c>
      <c r="E802" s="40" t="s">
        <v>147</v>
      </c>
      <c r="F802" s="2"/>
      <c r="G802" s="10">
        <f t="shared" si="114"/>
        <v>0</v>
      </c>
      <c r="H802" s="10">
        <f t="shared" si="114"/>
        <v>0</v>
      </c>
    </row>
    <row r="803" spans="1:8" ht="47.25" hidden="1" x14ac:dyDescent="0.25">
      <c r="A803" s="31" t="s">
        <v>148</v>
      </c>
      <c r="B803" s="20" t="s">
        <v>1109</v>
      </c>
      <c r="C803" s="40" t="s">
        <v>249</v>
      </c>
      <c r="D803" s="40" t="s">
        <v>228</v>
      </c>
      <c r="E803" s="40" t="s">
        <v>149</v>
      </c>
      <c r="F803" s="2"/>
      <c r="G803" s="10">
        <f>'пр.4.1.ведом.21-22'!G949</f>
        <v>0</v>
      </c>
      <c r="H803" s="10">
        <f>'пр.4.1.ведом.21-22'!H949</f>
        <v>0</v>
      </c>
    </row>
    <row r="804" spans="1:8" ht="47.25" hidden="1" x14ac:dyDescent="0.25">
      <c r="A804" s="45" t="s">
        <v>638</v>
      </c>
      <c r="B804" s="20" t="s">
        <v>1109</v>
      </c>
      <c r="C804" s="40" t="s">
        <v>249</v>
      </c>
      <c r="D804" s="40" t="s">
        <v>228</v>
      </c>
      <c r="E804" s="40" t="s">
        <v>149</v>
      </c>
      <c r="F804" s="2">
        <v>908</v>
      </c>
      <c r="G804" s="6">
        <f>G803</f>
        <v>0</v>
      </c>
      <c r="H804" s="6">
        <f>H803</f>
        <v>0</v>
      </c>
    </row>
    <row r="805" spans="1:8" ht="31.5" hidden="1" x14ac:dyDescent="0.25">
      <c r="A805" s="34" t="s">
        <v>1170</v>
      </c>
      <c r="B805" s="24" t="s">
        <v>1171</v>
      </c>
      <c r="C805" s="40"/>
      <c r="D805" s="40"/>
      <c r="E805" s="40"/>
      <c r="F805" s="2"/>
      <c r="G805" s="59">
        <f>G806</f>
        <v>0</v>
      </c>
      <c r="H805" s="59">
        <f>H806</f>
        <v>0</v>
      </c>
    </row>
    <row r="806" spans="1:8" ht="15.75" hidden="1" x14ac:dyDescent="0.25">
      <c r="A806" s="29" t="s">
        <v>405</v>
      </c>
      <c r="B806" s="40" t="s">
        <v>533</v>
      </c>
      <c r="C806" s="40" t="s">
        <v>249</v>
      </c>
      <c r="D806" s="40"/>
      <c r="E806" s="73"/>
      <c r="F806" s="2"/>
      <c r="G806" s="10">
        <f t="shared" ref="G806:H806" si="115">G807</f>
        <v>0</v>
      </c>
      <c r="H806" s="10">
        <f t="shared" si="115"/>
        <v>0</v>
      </c>
    </row>
    <row r="807" spans="1:8" ht="15.75" hidden="1" x14ac:dyDescent="0.25">
      <c r="A807" s="29" t="s">
        <v>532</v>
      </c>
      <c r="B807" s="40" t="s">
        <v>533</v>
      </c>
      <c r="C807" s="40" t="s">
        <v>249</v>
      </c>
      <c r="D807" s="40" t="s">
        <v>228</v>
      </c>
      <c r="E807" s="73"/>
      <c r="F807" s="2"/>
      <c r="G807" s="10">
        <f>G808</f>
        <v>0</v>
      </c>
      <c r="H807" s="10">
        <f>H808</f>
        <v>0</v>
      </c>
    </row>
    <row r="808" spans="1:8" ht="15.75" hidden="1" x14ac:dyDescent="0.25">
      <c r="A808" s="45" t="s">
        <v>544</v>
      </c>
      <c r="B808" s="20" t="s">
        <v>1174</v>
      </c>
      <c r="C808" s="40" t="s">
        <v>249</v>
      </c>
      <c r="D808" s="40" t="s">
        <v>228</v>
      </c>
      <c r="E808" s="40"/>
      <c r="F808" s="2"/>
      <c r="G808" s="10">
        <f t="shared" ref="G808:H809" si="116">G809</f>
        <v>0</v>
      </c>
      <c r="H808" s="10">
        <f t="shared" si="116"/>
        <v>0</v>
      </c>
    </row>
    <row r="809" spans="1:8" ht="31.5" hidden="1" x14ac:dyDescent="0.25">
      <c r="A809" s="31" t="s">
        <v>146</v>
      </c>
      <c r="B809" s="20" t="s">
        <v>1174</v>
      </c>
      <c r="C809" s="40" t="s">
        <v>249</v>
      </c>
      <c r="D809" s="40" t="s">
        <v>228</v>
      </c>
      <c r="E809" s="40" t="s">
        <v>147</v>
      </c>
      <c r="F809" s="2"/>
      <c r="G809" s="10">
        <f t="shared" si="116"/>
        <v>0</v>
      </c>
      <c r="H809" s="10">
        <f t="shared" si="116"/>
        <v>0</v>
      </c>
    </row>
    <row r="810" spans="1:8" ht="47.25" hidden="1" x14ac:dyDescent="0.25">
      <c r="A810" s="31" t="s">
        <v>148</v>
      </c>
      <c r="B810" s="20" t="s">
        <v>1174</v>
      </c>
      <c r="C810" s="40" t="s">
        <v>249</v>
      </c>
      <c r="D810" s="40" t="s">
        <v>228</v>
      </c>
      <c r="E810" s="40" t="s">
        <v>149</v>
      </c>
      <c r="F810" s="2"/>
      <c r="G810" s="10">
        <f>'пр.4.1.ведом.21-22'!G953</f>
        <v>0</v>
      </c>
      <c r="H810" s="10">
        <f>'пр.4.1.ведом.21-22'!H953</f>
        <v>0</v>
      </c>
    </row>
    <row r="811" spans="1:8" ht="47.25" hidden="1" x14ac:dyDescent="0.25">
      <c r="A811" s="45" t="s">
        <v>638</v>
      </c>
      <c r="B811" s="20" t="s">
        <v>1174</v>
      </c>
      <c r="C811" s="40" t="s">
        <v>249</v>
      </c>
      <c r="D811" s="40" t="s">
        <v>228</v>
      </c>
      <c r="E811" s="40" t="s">
        <v>149</v>
      </c>
      <c r="F811" s="2">
        <v>908</v>
      </c>
      <c r="G811" s="6">
        <f>G810</f>
        <v>0</v>
      </c>
      <c r="H811" s="6">
        <f>H810</f>
        <v>0</v>
      </c>
    </row>
    <row r="812" spans="1:8" ht="47.25" hidden="1" x14ac:dyDescent="0.25">
      <c r="A812" s="247" t="s">
        <v>1172</v>
      </c>
      <c r="B812" s="24" t="s">
        <v>1173</v>
      </c>
      <c r="C812" s="40"/>
      <c r="D812" s="40"/>
      <c r="E812" s="40"/>
      <c r="F812" s="2"/>
      <c r="G812" s="59">
        <f>G813</f>
        <v>0</v>
      </c>
      <c r="H812" s="59">
        <f>H813</f>
        <v>0</v>
      </c>
    </row>
    <row r="813" spans="1:8" ht="15.75" hidden="1" x14ac:dyDescent="0.25">
      <c r="A813" s="29" t="s">
        <v>405</v>
      </c>
      <c r="B813" s="40" t="s">
        <v>533</v>
      </c>
      <c r="C813" s="40" t="s">
        <v>249</v>
      </c>
      <c r="D813" s="40"/>
      <c r="E813" s="73"/>
      <c r="F813" s="2"/>
      <c r="G813" s="10">
        <f t="shared" ref="G813:H813" si="117">G814</f>
        <v>0</v>
      </c>
      <c r="H813" s="10">
        <f t="shared" si="117"/>
        <v>0</v>
      </c>
    </row>
    <row r="814" spans="1:8" ht="15.75" hidden="1" x14ac:dyDescent="0.25">
      <c r="A814" s="29" t="s">
        <v>532</v>
      </c>
      <c r="B814" s="40" t="s">
        <v>533</v>
      </c>
      <c r="C814" s="40" t="s">
        <v>249</v>
      </c>
      <c r="D814" s="40" t="s">
        <v>228</v>
      </c>
      <c r="E814" s="73"/>
      <c r="F814" s="2"/>
      <c r="G814" s="10">
        <f>G815</f>
        <v>0</v>
      </c>
      <c r="H814" s="10">
        <f>H815</f>
        <v>0</v>
      </c>
    </row>
    <row r="815" spans="1:8" ht="31.5" hidden="1" x14ac:dyDescent="0.25">
      <c r="A815" s="178" t="s">
        <v>546</v>
      </c>
      <c r="B815" s="20" t="s">
        <v>1175</v>
      </c>
      <c r="C815" s="40" t="s">
        <v>249</v>
      </c>
      <c r="D815" s="40" t="s">
        <v>228</v>
      </c>
      <c r="E815" s="40"/>
      <c r="F815" s="2"/>
      <c r="G815" s="10">
        <f t="shared" ref="G815:H816" si="118">G816</f>
        <v>0</v>
      </c>
      <c r="H815" s="10">
        <f t="shared" si="118"/>
        <v>0</v>
      </c>
    </row>
    <row r="816" spans="1:8" ht="31.5" hidden="1" x14ac:dyDescent="0.25">
      <c r="A816" s="31" t="s">
        <v>146</v>
      </c>
      <c r="B816" s="20" t="s">
        <v>1175</v>
      </c>
      <c r="C816" s="40" t="s">
        <v>249</v>
      </c>
      <c r="D816" s="40" t="s">
        <v>228</v>
      </c>
      <c r="E816" s="40" t="s">
        <v>147</v>
      </c>
      <c r="F816" s="2"/>
      <c r="G816" s="10">
        <f t="shared" si="118"/>
        <v>0</v>
      </c>
      <c r="H816" s="10">
        <f t="shared" si="118"/>
        <v>0</v>
      </c>
    </row>
    <row r="817" spans="1:8" ht="47.25" hidden="1" x14ac:dyDescent="0.25">
      <c r="A817" s="31" t="s">
        <v>148</v>
      </c>
      <c r="B817" s="20" t="s">
        <v>1175</v>
      </c>
      <c r="C817" s="40" t="s">
        <v>249</v>
      </c>
      <c r="D817" s="40" t="s">
        <v>228</v>
      </c>
      <c r="E817" s="40" t="s">
        <v>149</v>
      </c>
      <c r="F817" s="2"/>
      <c r="G817" s="10">
        <f>'пр.4.1.ведом.21-22'!G957</f>
        <v>0</v>
      </c>
      <c r="H817" s="10">
        <f>'пр.4.1.ведом.21-22'!H957</f>
        <v>0</v>
      </c>
    </row>
    <row r="818" spans="1:8" ht="47.25" hidden="1" x14ac:dyDescent="0.25">
      <c r="A818" s="45" t="s">
        <v>638</v>
      </c>
      <c r="B818" s="20" t="s">
        <v>1175</v>
      </c>
      <c r="C818" s="40" t="s">
        <v>249</v>
      </c>
      <c r="D818" s="40" t="s">
        <v>228</v>
      </c>
      <c r="E818" s="40" t="s">
        <v>149</v>
      </c>
      <c r="F818" s="2">
        <v>908</v>
      </c>
      <c r="G818" s="6">
        <f>G817</f>
        <v>0</v>
      </c>
      <c r="H818" s="6">
        <f>H817</f>
        <v>0</v>
      </c>
    </row>
    <row r="819" spans="1:8" ht="31.5" hidden="1" x14ac:dyDescent="0.25">
      <c r="A819" s="247" t="s">
        <v>1111</v>
      </c>
      <c r="B819" s="24" t="s">
        <v>1112</v>
      </c>
      <c r="C819" s="40"/>
      <c r="D819" s="40"/>
      <c r="E819" s="40"/>
      <c r="F819" s="2"/>
      <c r="G819" s="59">
        <f t="shared" ref="G819:H821" si="119">G820</f>
        <v>0</v>
      </c>
      <c r="H819" s="59">
        <f t="shared" si="119"/>
        <v>0</v>
      </c>
    </row>
    <row r="820" spans="1:8" ht="15.75" hidden="1" x14ac:dyDescent="0.25">
      <c r="A820" s="29" t="s">
        <v>405</v>
      </c>
      <c r="B820" s="40" t="s">
        <v>533</v>
      </c>
      <c r="C820" s="40" t="s">
        <v>249</v>
      </c>
      <c r="D820" s="40"/>
      <c r="E820" s="73"/>
      <c r="F820" s="2"/>
      <c r="G820" s="10">
        <f t="shared" si="119"/>
        <v>0</v>
      </c>
      <c r="H820" s="10">
        <f t="shared" si="119"/>
        <v>0</v>
      </c>
    </row>
    <row r="821" spans="1:8" ht="15.75" hidden="1" x14ac:dyDescent="0.25">
      <c r="A821" s="29" t="s">
        <v>532</v>
      </c>
      <c r="B821" s="40" t="s">
        <v>533</v>
      </c>
      <c r="C821" s="40" t="s">
        <v>249</v>
      </c>
      <c r="D821" s="40" t="s">
        <v>228</v>
      </c>
      <c r="E821" s="73"/>
      <c r="F821" s="2"/>
      <c r="G821" s="10">
        <f t="shared" si="119"/>
        <v>0</v>
      </c>
      <c r="H821" s="10">
        <f t="shared" si="119"/>
        <v>0</v>
      </c>
    </row>
    <row r="822" spans="1:8" ht="15.75" hidden="1" x14ac:dyDescent="0.25">
      <c r="A822" s="178" t="s">
        <v>548</v>
      </c>
      <c r="B822" s="20" t="s">
        <v>1110</v>
      </c>
      <c r="C822" s="40" t="s">
        <v>249</v>
      </c>
      <c r="D822" s="40" t="s">
        <v>228</v>
      </c>
      <c r="E822" s="40"/>
      <c r="F822" s="2"/>
      <c r="G822" s="10">
        <f t="shared" ref="G822:H823" si="120">G823</f>
        <v>0</v>
      </c>
      <c r="H822" s="10">
        <f t="shared" si="120"/>
        <v>0</v>
      </c>
    </row>
    <row r="823" spans="1:8" ht="31.5" hidden="1" x14ac:dyDescent="0.3">
      <c r="A823" s="25" t="s">
        <v>146</v>
      </c>
      <c r="B823" s="20" t="s">
        <v>1110</v>
      </c>
      <c r="C823" s="40" t="s">
        <v>249</v>
      </c>
      <c r="D823" s="40" t="s">
        <v>228</v>
      </c>
      <c r="E823" s="2">
        <v>200</v>
      </c>
      <c r="F823" s="77"/>
      <c r="G823" s="6">
        <f t="shared" si="120"/>
        <v>0</v>
      </c>
      <c r="H823" s="6">
        <f t="shared" si="120"/>
        <v>0</v>
      </c>
    </row>
    <row r="824" spans="1:8" ht="47.25" hidden="1" x14ac:dyDescent="0.3">
      <c r="A824" s="25" t="s">
        <v>148</v>
      </c>
      <c r="B824" s="20" t="s">
        <v>1110</v>
      </c>
      <c r="C824" s="40" t="s">
        <v>249</v>
      </c>
      <c r="D824" s="40" t="s">
        <v>228</v>
      </c>
      <c r="E824" s="2">
        <v>240</v>
      </c>
      <c r="F824" s="77"/>
      <c r="G824" s="6">
        <f>'пр.4.1.ведом.21-22'!G961</f>
        <v>0</v>
      </c>
      <c r="H824" s="6">
        <f>'пр.4.1.ведом.21-22'!H961</f>
        <v>0</v>
      </c>
    </row>
    <row r="825" spans="1:8" ht="47.25" hidden="1" x14ac:dyDescent="0.25">
      <c r="A825" s="45" t="s">
        <v>638</v>
      </c>
      <c r="B825" s="20" t="s">
        <v>1110</v>
      </c>
      <c r="C825" s="40" t="s">
        <v>249</v>
      </c>
      <c r="D825" s="40" t="s">
        <v>228</v>
      </c>
      <c r="E825" s="2">
        <v>240</v>
      </c>
      <c r="F825" s="2">
        <v>908</v>
      </c>
      <c r="G825" s="6">
        <f>G824</f>
        <v>0</v>
      </c>
      <c r="H825" s="6">
        <f>H824</f>
        <v>0</v>
      </c>
    </row>
    <row r="826" spans="1:8" ht="63" x14ac:dyDescent="0.25">
      <c r="A826" s="23" t="s">
        <v>349</v>
      </c>
      <c r="B826" s="24" t="s">
        <v>350</v>
      </c>
      <c r="C826" s="7"/>
      <c r="D826" s="7"/>
      <c r="E826" s="3"/>
      <c r="F826" s="3"/>
      <c r="G826" s="4">
        <f t="shared" ref="G826:H828" si="121">G827</f>
        <v>175</v>
      </c>
      <c r="H826" s="4">
        <f t="shared" si="121"/>
        <v>175</v>
      </c>
    </row>
    <row r="827" spans="1:8" ht="31.5" x14ac:dyDescent="0.25">
      <c r="A827" s="23" t="s">
        <v>1225</v>
      </c>
      <c r="B827" s="24" t="s">
        <v>1226</v>
      </c>
      <c r="C827" s="7"/>
      <c r="D827" s="7"/>
      <c r="E827" s="3"/>
      <c r="F827" s="3"/>
      <c r="G827" s="4">
        <f t="shared" si="121"/>
        <v>175</v>
      </c>
      <c r="H827" s="4">
        <f t="shared" si="121"/>
        <v>175</v>
      </c>
    </row>
    <row r="828" spans="1:8" ht="15.75" x14ac:dyDescent="0.25">
      <c r="A828" s="29" t="s">
        <v>132</v>
      </c>
      <c r="B828" s="20" t="s">
        <v>1226</v>
      </c>
      <c r="C828" s="40" t="s">
        <v>133</v>
      </c>
      <c r="D828" s="40"/>
      <c r="E828" s="2"/>
      <c r="F828" s="2"/>
      <c r="G828" s="6">
        <f t="shared" si="121"/>
        <v>175</v>
      </c>
      <c r="H828" s="6">
        <f t="shared" si="121"/>
        <v>175</v>
      </c>
    </row>
    <row r="829" spans="1:8" ht="15.75" x14ac:dyDescent="0.25">
      <c r="A829" s="29" t="s">
        <v>154</v>
      </c>
      <c r="B829" s="20" t="s">
        <v>1226</v>
      </c>
      <c r="C829" s="40" t="s">
        <v>133</v>
      </c>
      <c r="D829" s="40" t="s">
        <v>155</v>
      </c>
      <c r="E829" s="2"/>
      <c r="F829" s="2"/>
      <c r="G829" s="6">
        <f>G830+G837+G841+G845+G849+G853+G857</f>
        <v>175</v>
      </c>
      <c r="H829" s="6">
        <f>H830+H837+H841+H845+H849+H853+H857</f>
        <v>175</v>
      </c>
    </row>
    <row r="830" spans="1:8" ht="31.5" x14ac:dyDescent="0.25">
      <c r="A830" s="25" t="s">
        <v>351</v>
      </c>
      <c r="B830" s="20" t="s">
        <v>1227</v>
      </c>
      <c r="C830" s="40" t="s">
        <v>133</v>
      </c>
      <c r="D830" s="40" t="s">
        <v>155</v>
      </c>
      <c r="E830" s="2"/>
      <c r="F830" s="2"/>
      <c r="G830" s="6">
        <f>G831+G834</f>
        <v>120</v>
      </c>
      <c r="H830" s="6">
        <f>H831+H834</f>
        <v>120</v>
      </c>
    </row>
    <row r="831" spans="1:8" ht="31.5" x14ac:dyDescent="0.25">
      <c r="A831" s="25" t="s">
        <v>146</v>
      </c>
      <c r="B831" s="20" t="s">
        <v>1227</v>
      </c>
      <c r="C831" s="40" t="s">
        <v>133</v>
      </c>
      <c r="D831" s="40" t="s">
        <v>155</v>
      </c>
      <c r="E831" s="2">
        <v>200</v>
      </c>
      <c r="F831" s="2"/>
      <c r="G831" s="6">
        <f t="shared" ref="G831:H831" si="122">G832</f>
        <v>50</v>
      </c>
      <c r="H831" s="6">
        <f t="shared" si="122"/>
        <v>50</v>
      </c>
    </row>
    <row r="832" spans="1:8" ht="47.25" x14ac:dyDescent="0.25">
      <c r="A832" s="25" t="s">
        <v>148</v>
      </c>
      <c r="B832" s="20" t="s">
        <v>1227</v>
      </c>
      <c r="C832" s="40" t="s">
        <v>133</v>
      </c>
      <c r="D832" s="40" t="s">
        <v>155</v>
      </c>
      <c r="E832" s="2">
        <v>240</v>
      </c>
      <c r="F832" s="2"/>
      <c r="G832" s="6">
        <f>'пр.4.1.ведом.21-22'!G542</f>
        <v>50</v>
      </c>
      <c r="H832" s="6">
        <f>'пр.4.1.ведом.21-22'!H542</f>
        <v>50</v>
      </c>
    </row>
    <row r="833" spans="1:8" ht="31.5" x14ac:dyDescent="0.25">
      <c r="A833" s="45" t="s">
        <v>418</v>
      </c>
      <c r="B833" s="20" t="s">
        <v>1227</v>
      </c>
      <c r="C833" s="40" t="s">
        <v>133</v>
      </c>
      <c r="D833" s="40" t="s">
        <v>155</v>
      </c>
      <c r="E833" s="2">
        <v>240</v>
      </c>
      <c r="F833" s="2">
        <v>906</v>
      </c>
      <c r="G833" s="6">
        <f>G832</f>
        <v>50</v>
      </c>
      <c r="H833" s="6">
        <f>H832</f>
        <v>50</v>
      </c>
    </row>
    <row r="834" spans="1:8" ht="31.5" x14ac:dyDescent="0.25">
      <c r="A834" s="25" t="s">
        <v>146</v>
      </c>
      <c r="B834" s="20" t="s">
        <v>1227</v>
      </c>
      <c r="C834" s="40" t="s">
        <v>133</v>
      </c>
      <c r="D834" s="40" t="s">
        <v>155</v>
      </c>
      <c r="E834" s="2">
        <v>200</v>
      </c>
      <c r="F834" s="2"/>
      <c r="G834" s="6">
        <f t="shared" ref="G834:H834" si="123">G835</f>
        <v>70</v>
      </c>
      <c r="H834" s="6">
        <f t="shared" si="123"/>
        <v>70</v>
      </c>
    </row>
    <row r="835" spans="1:8" ht="47.25" x14ac:dyDescent="0.25">
      <c r="A835" s="25" t="s">
        <v>148</v>
      </c>
      <c r="B835" s="20" t="s">
        <v>1227</v>
      </c>
      <c r="C835" s="40" t="s">
        <v>133</v>
      </c>
      <c r="D835" s="40" t="s">
        <v>155</v>
      </c>
      <c r="E835" s="2">
        <v>240</v>
      </c>
      <c r="F835" s="2"/>
      <c r="G835" s="6">
        <f>'пр.4.1.ведом.21-22'!G777</f>
        <v>70</v>
      </c>
      <c r="H835" s="6">
        <f>'пр.4.1.ведом.21-22'!H777</f>
        <v>70</v>
      </c>
    </row>
    <row r="836" spans="1:8" ht="47.25" x14ac:dyDescent="0.25">
      <c r="A836" s="45" t="s">
        <v>495</v>
      </c>
      <c r="B836" s="20" t="s">
        <v>1227</v>
      </c>
      <c r="C836" s="40" t="s">
        <v>133</v>
      </c>
      <c r="D836" s="40" t="s">
        <v>155</v>
      </c>
      <c r="E836" s="2">
        <v>240</v>
      </c>
      <c r="F836" s="2">
        <v>907</v>
      </c>
      <c r="G836" s="6">
        <f>G835</f>
        <v>70</v>
      </c>
      <c r="H836" s="6">
        <f>H835</f>
        <v>70</v>
      </c>
    </row>
    <row r="837" spans="1:8" ht="31.5" hidden="1" x14ac:dyDescent="0.25">
      <c r="A837" s="25" t="s">
        <v>351</v>
      </c>
      <c r="B837" s="20" t="s">
        <v>1232</v>
      </c>
      <c r="C837" s="40" t="s">
        <v>133</v>
      </c>
      <c r="D837" s="40" t="s">
        <v>155</v>
      </c>
      <c r="E837" s="2"/>
      <c r="F837" s="2"/>
      <c r="G837" s="6">
        <f>G838</f>
        <v>0</v>
      </c>
      <c r="H837" s="6">
        <f>H838</f>
        <v>0</v>
      </c>
    </row>
    <row r="838" spans="1:8" ht="31.5" hidden="1" x14ac:dyDescent="0.25">
      <c r="A838" s="25" t="s">
        <v>146</v>
      </c>
      <c r="B838" s="20" t="s">
        <v>1232</v>
      </c>
      <c r="C838" s="40" t="s">
        <v>133</v>
      </c>
      <c r="D838" s="40" t="s">
        <v>155</v>
      </c>
      <c r="E838" s="2">
        <v>200</v>
      </c>
      <c r="F838" s="2"/>
      <c r="G838" s="6">
        <f t="shared" ref="G838:H838" si="124">G839</f>
        <v>0</v>
      </c>
      <c r="H838" s="6">
        <f t="shared" si="124"/>
        <v>0</v>
      </c>
    </row>
    <row r="839" spans="1:8" ht="47.25" hidden="1" x14ac:dyDescent="0.25">
      <c r="A839" s="25" t="s">
        <v>148</v>
      </c>
      <c r="B839" s="20" t="s">
        <v>1232</v>
      </c>
      <c r="C839" s="40" t="s">
        <v>133</v>
      </c>
      <c r="D839" s="40" t="s">
        <v>155</v>
      </c>
      <c r="E839" s="2">
        <v>240</v>
      </c>
      <c r="F839" s="2"/>
      <c r="G839" s="6">
        <v>0</v>
      </c>
      <c r="H839" s="6">
        <v>0</v>
      </c>
    </row>
    <row r="840" spans="1:8" ht="31.5" hidden="1" x14ac:dyDescent="0.25">
      <c r="A840" s="45" t="s">
        <v>418</v>
      </c>
      <c r="B840" s="20" t="s">
        <v>1232</v>
      </c>
      <c r="C840" s="40" t="s">
        <v>133</v>
      </c>
      <c r="D840" s="40" t="s">
        <v>155</v>
      </c>
      <c r="E840" s="2">
        <v>240</v>
      </c>
      <c r="F840" s="2">
        <v>906</v>
      </c>
      <c r="G840" s="6">
        <f>G839</f>
        <v>0</v>
      </c>
      <c r="H840" s="6">
        <f>H839</f>
        <v>0</v>
      </c>
    </row>
    <row r="841" spans="1:8" ht="31.5" x14ac:dyDescent="0.25">
      <c r="A841" s="25" t="s">
        <v>353</v>
      </c>
      <c r="B841" s="20" t="s">
        <v>1228</v>
      </c>
      <c r="C841" s="40" t="s">
        <v>133</v>
      </c>
      <c r="D841" s="40" t="s">
        <v>155</v>
      </c>
      <c r="E841" s="2"/>
      <c r="F841" s="2"/>
      <c r="G841" s="6">
        <f t="shared" ref="G841:H842" si="125">G842</f>
        <v>25</v>
      </c>
      <c r="H841" s="6">
        <f t="shared" si="125"/>
        <v>25</v>
      </c>
    </row>
    <row r="842" spans="1:8" ht="31.5" x14ac:dyDescent="0.25">
      <c r="A842" s="25" t="s">
        <v>146</v>
      </c>
      <c r="B842" s="20" t="s">
        <v>1228</v>
      </c>
      <c r="C842" s="40" t="s">
        <v>133</v>
      </c>
      <c r="D842" s="40" t="s">
        <v>155</v>
      </c>
      <c r="E842" s="2">
        <v>200</v>
      </c>
      <c r="F842" s="2"/>
      <c r="G842" s="6">
        <f t="shared" si="125"/>
        <v>25</v>
      </c>
      <c r="H842" s="6">
        <f t="shared" si="125"/>
        <v>25</v>
      </c>
    </row>
    <row r="843" spans="1:8" ht="47.25" x14ac:dyDescent="0.25">
      <c r="A843" s="25" t="s">
        <v>148</v>
      </c>
      <c r="B843" s="20" t="s">
        <v>1228</v>
      </c>
      <c r="C843" s="40" t="s">
        <v>133</v>
      </c>
      <c r="D843" s="40" t="s">
        <v>155</v>
      </c>
      <c r="E843" s="2">
        <v>240</v>
      </c>
      <c r="F843" s="2"/>
      <c r="G843" s="6">
        <f>'пр.4.1.ведом.21-22'!G233</f>
        <v>25</v>
      </c>
      <c r="H843" s="6">
        <f>'пр.4.1.ведом.21-22'!H233</f>
        <v>25</v>
      </c>
    </row>
    <row r="844" spans="1:8" ht="47.25" x14ac:dyDescent="0.25">
      <c r="A844" s="45" t="s">
        <v>276</v>
      </c>
      <c r="B844" s="20" t="s">
        <v>1228</v>
      </c>
      <c r="C844" s="40" t="s">
        <v>133</v>
      </c>
      <c r="D844" s="40" t="s">
        <v>155</v>
      </c>
      <c r="E844" s="2">
        <v>240</v>
      </c>
      <c r="F844" s="2">
        <v>903</v>
      </c>
      <c r="G844" s="6">
        <f>G843</f>
        <v>25</v>
      </c>
      <c r="H844" s="6">
        <f>H843</f>
        <v>25</v>
      </c>
    </row>
    <row r="845" spans="1:8" ht="63" x14ac:dyDescent="0.25">
      <c r="A845" s="31" t="s">
        <v>792</v>
      </c>
      <c r="B845" s="20" t="s">
        <v>1229</v>
      </c>
      <c r="C845" s="40" t="s">
        <v>133</v>
      </c>
      <c r="D845" s="40" t="s">
        <v>155</v>
      </c>
      <c r="E845" s="2"/>
      <c r="F845" s="2"/>
      <c r="G845" s="6">
        <f t="shared" ref="G845:H846" si="126">G846</f>
        <v>10</v>
      </c>
      <c r="H845" s="6">
        <f t="shared" si="126"/>
        <v>10</v>
      </c>
    </row>
    <row r="846" spans="1:8" ht="31.5" x14ac:dyDescent="0.25">
      <c r="A846" s="25" t="s">
        <v>146</v>
      </c>
      <c r="B846" s="20" t="s">
        <v>1229</v>
      </c>
      <c r="C846" s="20" t="s">
        <v>133</v>
      </c>
      <c r="D846" s="20" t="s">
        <v>155</v>
      </c>
      <c r="E846" s="20" t="s">
        <v>147</v>
      </c>
      <c r="F846" s="182"/>
      <c r="G846" s="6">
        <f t="shared" si="126"/>
        <v>10</v>
      </c>
      <c r="H846" s="6">
        <f t="shared" si="126"/>
        <v>10</v>
      </c>
    </row>
    <row r="847" spans="1:8" ht="47.25" x14ac:dyDescent="0.25">
      <c r="A847" s="25" t="s">
        <v>148</v>
      </c>
      <c r="B847" s="20" t="s">
        <v>1229</v>
      </c>
      <c r="C847" s="20" t="s">
        <v>133</v>
      </c>
      <c r="D847" s="20" t="s">
        <v>155</v>
      </c>
      <c r="E847" s="20" t="s">
        <v>149</v>
      </c>
      <c r="F847" s="182"/>
      <c r="G847" s="6">
        <f>'пр.4.1.ведом.21-22'!G236</f>
        <v>10</v>
      </c>
      <c r="H847" s="6">
        <f>'пр.4.1.ведом.21-22'!H236</f>
        <v>10</v>
      </c>
    </row>
    <row r="848" spans="1:8" ht="47.25" x14ac:dyDescent="0.25">
      <c r="A848" s="45" t="s">
        <v>276</v>
      </c>
      <c r="B848" s="20" t="s">
        <v>1229</v>
      </c>
      <c r="C848" s="40" t="s">
        <v>133</v>
      </c>
      <c r="D848" s="40" t="s">
        <v>155</v>
      </c>
      <c r="E848" s="2">
        <v>240</v>
      </c>
      <c r="F848" s="2">
        <v>903</v>
      </c>
      <c r="G848" s="6">
        <f>G847</f>
        <v>10</v>
      </c>
      <c r="H848" s="6">
        <f>H847</f>
        <v>10</v>
      </c>
    </row>
    <row r="849" spans="1:8" ht="47.25" hidden="1" x14ac:dyDescent="0.25">
      <c r="A849" s="25" t="s">
        <v>694</v>
      </c>
      <c r="B849" s="20" t="s">
        <v>1230</v>
      </c>
      <c r="C849" s="40" t="s">
        <v>133</v>
      </c>
      <c r="D849" s="40" t="s">
        <v>155</v>
      </c>
      <c r="E849" s="2"/>
      <c r="F849" s="182"/>
      <c r="G849" s="6">
        <f t="shared" ref="G849:H850" si="127">G850</f>
        <v>0</v>
      </c>
      <c r="H849" s="6">
        <f t="shared" si="127"/>
        <v>0</v>
      </c>
    </row>
    <row r="850" spans="1:8" ht="31.5" hidden="1" x14ac:dyDescent="0.25">
      <c r="A850" s="25" t="s">
        <v>146</v>
      </c>
      <c r="B850" s="20" t="s">
        <v>1230</v>
      </c>
      <c r="C850" s="40" t="s">
        <v>133</v>
      </c>
      <c r="D850" s="40" t="s">
        <v>155</v>
      </c>
      <c r="E850" s="2">
        <v>200</v>
      </c>
      <c r="F850" s="182"/>
      <c r="G850" s="6">
        <f t="shared" si="127"/>
        <v>0</v>
      </c>
      <c r="H850" s="6">
        <f t="shared" si="127"/>
        <v>0</v>
      </c>
    </row>
    <row r="851" spans="1:8" ht="47.25" hidden="1" x14ac:dyDescent="0.25">
      <c r="A851" s="25" t="s">
        <v>148</v>
      </c>
      <c r="B851" s="20" t="s">
        <v>1230</v>
      </c>
      <c r="C851" s="40" t="s">
        <v>133</v>
      </c>
      <c r="D851" s="40" t="s">
        <v>155</v>
      </c>
      <c r="E851" s="2">
        <v>240</v>
      </c>
      <c r="F851" s="182"/>
      <c r="G851" s="6">
        <f>'пр.4.1.ведом.21-22'!G239</f>
        <v>0</v>
      </c>
      <c r="H851" s="6">
        <f>'пр.4.1.ведом.21-22'!H239</f>
        <v>0</v>
      </c>
    </row>
    <row r="852" spans="1:8" ht="47.25" hidden="1" x14ac:dyDescent="0.25">
      <c r="A852" s="45" t="s">
        <v>276</v>
      </c>
      <c r="B852" s="20" t="s">
        <v>1230</v>
      </c>
      <c r="C852" s="40" t="s">
        <v>133</v>
      </c>
      <c r="D852" s="40" t="s">
        <v>155</v>
      </c>
      <c r="E852" s="2">
        <v>240</v>
      </c>
      <c r="F852" s="2">
        <v>903</v>
      </c>
      <c r="G852" s="6">
        <f>G851</f>
        <v>0</v>
      </c>
      <c r="H852" s="6">
        <f>H851</f>
        <v>0</v>
      </c>
    </row>
    <row r="853" spans="1:8" ht="31.5" hidden="1" x14ac:dyDescent="0.25">
      <c r="A853" s="31" t="s">
        <v>794</v>
      </c>
      <c r="B853" s="20" t="s">
        <v>1260</v>
      </c>
      <c r="C853" s="40" t="s">
        <v>133</v>
      </c>
      <c r="D853" s="40" t="s">
        <v>155</v>
      </c>
      <c r="E853" s="2"/>
      <c r="F853" s="2"/>
      <c r="G853" s="6">
        <f t="shared" ref="G853:H854" si="128">G854</f>
        <v>0</v>
      </c>
      <c r="H853" s="6">
        <f t="shared" si="128"/>
        <v>0</v>
      </c>
    </row>
    <row r="854" spans="1:8" ht="31.5" hidden="1" x14ac:dyDescent="0.25">
      <c r="A854" s="25" t="s">
        <v>146</v>
      </c>
      <c r="B854" s="20" t="s">
        <v>1260</v>
      </c>
      <c r="C854" s="40" t="s">
        <v>133</v>
      </c>
      <c r="D854" s="40" t="s">
        <v>155</v>
      </c>
      <c r="E854" s="2">
        <v>200</v>
      </c>
      <c r="F854" s="2"/>
      <c r="G854" s="6">
        <f t="shared" si="128"/>
        <v>0</v>
      </c>
      <c r="H854" s="6">
        <f t="shared" si="128"/>
        <v>0</v>
      </c>
    </row>
    <row r="855" spans="1:8" ht="47.25" hidden="1" x14ac:dyDescent="0.25">
      <c r="A855" s="25" t="s">
        <v>148</v>
      </c>
      <c r="B855" s="20" t="s">
        <v>1260</v>
      </c>
      <c r="C855" s="40" t="s">
        <v>133</v>
      </c>
      <c r="D855" s="40" t="s">
        <v>155</v>
      </c>
      <c r="E855" s="2">
        <v>240</v>
      </c>
      <c r="F855" s="2"/>
      <c r="G855" s="6">
        <f>'пр.4.1.ведом.21-22'!G545</f>
        <v>0</v>
      </c>
      <c r="H855" s="6">
        <f>'пр.4.1.ведом.21-22'!H545</f>
        <v>0</v>
      </c>
    </row>
    <row r="856" spans="1:8" ht="31.5" hidden="1" x14ac:dyDescent="0.25">
      <c r="A856" s="45" t="s">
        <v>418</v>
      </c>
      <c r="B856" s="20" t="s">
        <v>1260</v>
      </c>
      <c r="C856" s="40" t="s">
        <v>133</v>
      </c>
      <c r="D856" s="40" t="s">
        <v>155</v>
      </c>
      <c r="E856" s="2">
        <v>240</v>
      </c>
      <c r="F856" s="2">
        <v>906</v>
      </c>
      <c r="G856" s="6">
        <f>G855</f>
        <v>0</v>
      </c>
      <c r="H856" s="6">
        <f>H855</f>
        <v>0</v>
      </c>
    </row>
    <row r="857" spans="1:8" ht="31.5" x14ac:dyDescent="0.25">
      <c r="A857" s="31" t="s">
        <v>793</v>
      </c>
      <c r="B857" s="20" t="s">
        <v>1231</v>
      </c>
      <c r="C857" s="20" t="s">
        <v>133</v>
      </c>
      <c r="D857" s="20" t="s">
        <v>155</v>
      </c>
      <c r="E857" s="20"/>
      <c r="F857" s="182"/>
      <c r="G857" s="6">
        <f t="shared" ref="G857:H858" si="129">G858</f>
        <v>20</v>
      </c>
      <c r="H857" s="6">
        <f t="shared" si="129"/>
        <v>20</v>
      </c>
    </row>
    <row r="858" spans="1:8" ht="31.5" x14ac:dyDescent="0.25">
      <c r="A858" s="25" t="s">
        <v>146</v>
      </c>
      <c r="B858" s="20" t="s">
        <v>1231</v>
      </c>
      <c r="C858" s="20" t="s">
        <v>133</v>
      </c>
      <c r="D858" s="20" t="s">
        <v>155</v>
      </c>
      <c r="E858" s="20" t="s">
        <v>147</v>
      </c>
      <c r="F858" s="182"/>
      <c r="G858" s="6">
        <f t="shared" si="129"/>
        <v>20</v>
      </c>
      <c r="H858" s="6">
        <f t="shared" si="129"/>
        <v>20</v>
      </c>
    </row>
    <row r="859" spans="1:8" ht="47.25" x14ac:dyDescent="0.25">
      <c r="A859" s="25" t="s">
        <v>148</v>
      </c>
      <c r="B859" s="20" t="s">
        <v>1231</v>
      </c>
      <c r="C859" s="20" t="s">
        <v>133</v>
      </c>
      <c r="D859" s="20" t="s">
        <v>155</v>
      </c>
      <c r="E859" s="20" t="s">
        <v>149</v>
      </c>
      <c r="F859" s="182"/>
      <c r="G859" s="6">
        <f>'пр.4.1.ведом.21-22'!G242</f>
        <v>20</v>
      </c>
      <c r="H859" s="6">
        <f>'пр.4.1.ведом.21-22'!H242</f>
        <v>20</v>
      </c>
    </row>
    <row r="860" spans="1:8" ht="47.25" x14ac:dyDescent="0.25">
      <c r="A860" s="45" t="s">
        <v>276</v>
      </c>
      <c r="B860" s="20" t="s">
        <v>1231</v>
      </c>
      <c r="C860" s="20" t="s">
        <v>133</v>
      </c>
      <c r="D860" s="20" t="s">
        <v>155</v>
      </c>
      <c r="E860" s="20" t="s">
        <v>149</v>
      </c>
      <c r="F860" s="2">
        <v>903</v>
      </c>
      <c r="G860" s="6">
        <f>G859</f>
        <v>20</v>
      </c>
      <c r="H860" s="6">
        <f>H859</f>
        <v>20</v>
      </c>
    </row>
    <row r="861" spans="1:8" ht="78.75" x14ac:dyDescent="0.25">
      <c r="A861" s="41" t="s">
        <v>1177</v>
      </c>
      <c r="B861" s="24" t="s">
        <v>726</v>
      </c>
      <c r="C861" s="7"/>
      <c r="D861" s="7"/>
      <c r="E861" s="3"/>
      <c r="F861" s="3"/>
      <c r="G861" s="4">
        <f>G862+G873+G912</f>
        <v>3147.6</v>
      </c>
      <c r="H861" s="4">
        <f>H862+H873+H912</f>
        <v>3147.6</v>
      </c>
    </row>
    <row r="862" spans="1:8" ht="63" x14ac:dyDescent="0.25">
      <c r="A862" s="238" t="s">
        <v>890</v>
      </c>
      <c r="B862" s="24" t="s">
        <v>896</v>
      </c>
      <c r="C862" s="7"/>
      <c r="D862" s="7"/>
      <c r="E862" s="3"/>
      <c r="F862" s="3"/>
      <c r="G862" s="4">
        <f>G863</f>
        <v>30</v>
      </c>
      <c r="H862" s="4">
        <f>H863</f>
        <v>30</v>
      </c>
    </row>
    <row r="863" spans="1:8" ht="15.75" x14ac:dyDescent="0.25">
      <c r="A863" s="29" t="s">
        <v>132</v>
      </c>
      <c r="B863" s="20" t="s">
        <v>896</v>
      </c>
      <c r="C863" s="40" t="s">
        <v>133</v>
      </c>
      <c r="D863" s="40"/>
      <c r="E863" s="2"/>
      <c r="F863" s="2"/>
      <c r="G863" s="6">
        <f t="shared" ref="G863:H863" si="130">G864</f>
        <v>30</v>
      </c>
      <c r="H863" s="6">
        <f t="shared" si="130"/>
        <v>30</v>
      </c>
    </row>
    <row r="864" spans="1:8" ht="15.75" x14ac:dyDescent="0.25">
      <c r="A864" s="29" t="s">
        <v>154</v>
      </c>
      <c r="B864" s="20" t="s">
        <v>896</v>
      </c>
      <c r="C864" s="40" t="s">
        <v>133</v>
      </c>
      <c r="D864" s="40" t="s">
        <v>155</v>
      </c>
      <c r="E864" s="2"/>
      <c r="F864" s="2"/>
      <c r="G864" s="6">
        <f>G865+G869</f>
        <v>30</v>
      </c>
      <c r="H864" s="6">
        <f>H865+H869</f>
        <v>30</v>
      </c>
    </row>
    <row r="865" spans="1:8" ht="47.25" x14ac:dyDescent="0.25">
      <c r="A865" s="99" t="s">
        <v>797</v>
      </c>
      <c r="B865" s="20" t="s">
        <v>891</v>
      </c>
      <c r="C865" s="40" t="s">
        <v>133</v>
      </c>
      <c r="D865" s="40" t="s">
        <v>155</v>
      </c>
      <c r="E865" s="2"/>
      <c r="F865" s="2"/>
      <c r="G865" s="6">
        <f t="shared" ref="G865:H866" si="131">G866</f>
        <v>25</v>
      </c>
      <c r="H865" s="6">
        <f t="shared" si="131"/>
        <v>25</v>
      </c>
    </row>
    <row r="866" spans="1:8" ht="31.5" x14ac:dyDescent="0.25">
      <c r="A866" s="25" t="s">
        <v>146</v>
      </c>
      <c r="B866" s="20" t="s">
        <v>891</v>
      </c>
      <c r="C866" s="40" t="s">
        <v>133</v>
      </c>
      <c r="D866" s="40" t="s">
        <v>155</v>
      </c>
      <c r="E866" s="2">
        <v>200</v>
      </c>
      <c r="F866" s="2"/>
      <c r="G866" s="6">
        <f t="shared" si="131"/>
        <v>25</v>
      </c>
      <c r="H866" s="6">
        <f t="shared" si="131"/>
        <v>25</v>
      </c>
    </row>
    <row r="867" spans="1:8" ht="47.25" x14ac:dyDescent="0.25">
      <c r="A867" s="25" t="s">
        <v>148</v>
      </c>
      <c r="B867" s="20" t="s">
        <v>891</v>
      </c>
      <c r="C867" s="40" t="s">
        <v>133</v>
      </c>
      <c r="D867" s="40" t="s">
        <v>155</v>
      </c>
      <c r="E867" s="2">
        <v>240</v>
      </c>
      <c r="F867" s="2"/>
      <c r="G867" s="6">
        <f>'пр.4.1.ведом.21-22'!G119</f>
        <v>25</v>
      </c>
      <c r="H867" s="6">
        <f>'пр.4.1.ведом.21-22'!H119</f>
        <v>25</v>
      </c>
    </row>
    <row r="868" spans="1:8" ht="31.5" x14ac:dyDescent="0.25">
      <c r="A868" s="29" t="s">
        <v>163</v>
      </c>
      <c r="B868" s="20" t="s">
        <v>891</v>
      </c>
      <c r="C868" s="40" t="s">
        <v>133</v>
      </c>
      <c r="D868" s="40" t="s">
        <v>155</v>
      </c>
      <c r="E868" s="2">
        <v>240</v>
      </c>
      <c r="F868" s="2">
        <v>902</v>
      </c>
      <c r="G868" s="6">
        <f>G867</f>
        <v>25</v>
      </c>
      <c r="H868" s="6">
        <f>H867</f>
        <v>25</v>
      </c>
    </row>
    <row r="869" spans="1:8" ht="47.25" x14ac:dyDescent="0.25">
      <c r="A869" s="99" t="s">
        <v>797</v>
      </c>
      <c r="B869" s="20" t="s">
        <v>891</v>
      </c>
      <c r="C869" s="40" t="s">
        <v>133</v>
      </c>
      <c r="D869" s="40" t="s">
        <v>155</v>
      </c>
      <c r="E869" s="2"/>
      <c r="F869" s="2"/>
      <c r="G869" s="6">
        <f>G870</f>
        <v>5</v>
      </c>
      <c r="H869" s="6">
        <f>H870</f>
        <v>5</v>
      </c>
    </row>
    <row r="870" spans="1:8" ht="31.5" x14ac:dyDescent="0.25">
      <c r="A870" s="25" t="s">
        <v>146</v>
      </c>
      <c r="B870" s="20" t="s">
        <v>891</v>
      </c>
      <c r="C870" s="40" t="s">
        <v>133</v>
      </c>
      <c r="D870" s="40" t="s">
        <v>155</v>
      </c>
      <c r="E870" s="2">
        <v>200</v>
      </c>
      <c r="F870" s="2"/>
      <c r="G870" s="6">
        <f>G871</f>
        <v>5</v>
      </c>
      <c r="H870" s="6">
        <f>H871</f>
        <v>5</v>
      </c>
    </row>
    <row r="871" spans="1:8" ht="47.25" x14ac:dyDescent="0.25">
      <c r="A871" s="25" t="s">
        <v>148</v>
      </c>
      <c r="B871" s="20" t="s">
        <v>891</v>
      </c>
      <c r="C871" s="40" t="s">
        <v>133</v>
      </c>
      <c r="D871" s="40" t="s">
        <v>155</v>
      </c>
      <c r="E871" s="2">
        <v>240</v>
      </c>
      <c r="F871" s="2"/>
      <c r="G871" s="6">
        <f>'пр.4.1.ведом.21-22'!G247</f>
        <v>5</v>
      </c>
      <c r="H871" s="6">
        <f>'пр.4.1.ведом.21-22'!H247</f>
        <v>5</v>
      </c>
    </row>
    <row r="872" spans="1:8" ht="47.25" x14ac:dyDescent="0.25">
      <c r="A872" s="25" t="s">
        <v>276</v>
      </c>
      <c r="B872" s="20" t="s">
        <v>891</v>
      </c>
      <c r="C872" s="40" t="s">
        <v>133</v>
      </c>
      <c r="D872" s="40" t="s">
        <v>155</v>
      </c>
      <c r="E872" s="2">
        <v>240</v>
      </c>
      <c r="F872" s="2">
        <v>903</v>
      </c>
      <c r="G872" s="6">
        <f>G871</f>
        <v>5</v>
      </c>
      <c r="H872" s="6">
        <f>H871</f>
        <v>5</v>
      </c>
    </row>
    <row r="873" spans="1:8" ht="63" x14ac:dyDescent="0.25">
      <c r="A873" s="41" t="s">
        <v>947</v>
      </c>
      <c r="B873" s="24" t="s">
        <v>945</v>
      </c>
      <c r="C873" s="40"/>
      <c r="D873" s="40"/>
      <c r="E873" s="2"/>
      <c r="F873" s="2"/>
      <c r="G873" s="4">
        <f>G874+G894+G900+G906</f>
        <v>3102.6</v>
      </c>
      <c r="H873" s="4">
        <f>H874+H894+H900+H906</f>
        <v>3102.6</v>
      </c>
    </row>
    <row r="874" spans="1:8" ht="15.75" x14ac:dyDescent="0.25">
      <c r="A874" s="29" t="s">
        <v>278</v>
      </c>
      <c r="B874" s="20" t="s">
        <v>945</v>
      </c>
      <c r="C874" s="40" t="s">
        <v>279</v>
      </c>
      <c r="D874" s="40"/>
      <c r="E874" s="2"/>
      <c r="F874" s="2"/>
      <c r="G874" s="6">
        <f>G875+G881+G885</f>
        <v>1709.3</v>
      </c>
      <c r="H874" s="6">
        <f>H875+H881+H885</f>
        <v>1709.3</v>
      </c>
    </row>
    <row r="875" spans="1:8" ht="15.75" x14ac:dyDescent="0.25">
      <c r="A875" s="29" t="s">
        <v>419</v>
      </c>
      <c r="B875" s="20" t="s">
        <v>945</v>
      </c>
      <c r="C875" s="40" t="s">
        <v>279</v>
      </c>
      <c r="D875" s="40" t="s">
        <v>133</v>
      </c>
      <c r="E875" s="2"/>
      <c r="F875" s="2"/>
      <c r="G875" s="6">
        <f t="shared" ref="G875:H877" si="132">G876</f>
        <v>464.3</v>
      </c>
      <c r="H875" s="6">
        <f t="shared" si="132"/>
        <v>464.3</v>
      </c>
    </row>
    <row r="876" spans="1:8" ht="47.25" x14ac:dyDescent="0.25">
      <c r="A876" s="45" t="s">
        <v>801</v>
      </c>
      <c r="B876" s="20" t="s">
        <v>1025</v>
      </c>
      <c r="C876" s="40" t="s">
        <v>279</v>
      </c>
      <c r="D876" s="40" t="s">
        <v>133</v>
      </c>
      <c r="E876" s="2"/>
      <c r="F876" s="2"/>
      <c r="G876" s="6">
        <f t="shared" si="132"/>
        <v>464.3</v>
      </c>
      <c r="H876" s="6">
        <f t="shared" si="132"/>
        <v>464.3</v>
      </c>
    </row>
    <row r="877" spans="1:8" ht="47.25" x14ac:dyDescent="0.25">
      <c r="A877" s="29" t="s">
        <v>287</v>
      </c>
      <c r="B877" s="20" t="s">
        <v>1025</v>
      </c>
      <c r="C877" s="40" t="s">
        <v>279</v>
      </c>
      <c r="D877" s="40" t="s">
        <v>133</v>
      </c>
      <c r="E877" s="2">
        <v>600</v>
      </c>
      <c r="F877" s="2"/>
      <c r="G877" s="6">
        <f t="shared" si="132"/>
        <v>464.3</v>
      </c>
      <c r="H877" s="6">
        <f t="shared" si="132"/>
        <v>464.3</v>
      </c>
    </row>
    <row r="878" spans="1:8" ht="15.75" x14ac:dyDescent="0.25">
      <c r="A878" s="193" t="s">
        <v>289</v>
      </c>
      <c r="B878" s="20" t="s">
        <v>1025</v>
      </c>
      <c r="C878" s="40" t="s">
        <v>279</v>
      </c>
      <c r="D878" s="40" t="s">
        <v>133</v>
      </c>
      <c r="E878" s="2">
        <v>610</v>
      </c>
      <c r="F878" s="2"/>
      <c r="G878" s="6">
        <f>'пр.4.1.ведом.21-22'!G617</f>
        <v>464.3</v>
      </c>
      <c r="H878" s="6">
        <f>'пр.4.1.ведом.21-22'!H617</f>
        <v>464.3</v>
      </c>
    </row>
    <row r="879" spans="1:8" ht="31.5" x14ac:dyDescent="0.25">
      <c r="A879" s="45" t="s">
        <v>418</v>
      </c>
      <c r="B879" s="20" t="s">
        <v>1025</v>
      </c>
      <c r="C879" s="40" t="s">
        <v>279</v>
      </c>
      <c r="D879" s="40" t="s">
        <v>133</v>
      </c>
      <c r="E879" s="2">
        <v>610</v>
      </c>
      <c r="F879" s="2">
        <v>906</v>
      </c>
      <c r="G879" s="6">
        <f>G878</f>
        <v>464.3</v>
      </c>
      <c r="H879" s="6">
        <f>H878</f>
        <v>464.3</v>
      </c>
    </row>
    <row r="880" spans="1:8" ht="15.75" x14ac:dyDescent="0.25">
      <c r="A880" s="45" t="s">
        <v>440</v>
      </c>
      <c r="B880" s="20" t="s">
        <v>945</v>
      </c>
      <c r="C880" s="40" t="s">
        <v>279</v>
      </c>
      <c r="D880" s="40" t="s">
        <v>228</v>
      </c>
      <c r="E880" s="2"/>
      <c r="F880" s="2"/>
      <c r="G880" s="6">
        <f t="shared" ref="G880:H882" si="133">G881</f>
        <v>723.3</v>
      </c>
      <c r="H880" s="6">
        <f t="shared" si="133"/>
        <v>723.3</v>
      </c>
    </row>
    <row r="881" spans="1:8" ht="47.25" x14ac:dyDescent="0.25">
      <c r="A881" s="45" t="s">
        <v>801</v>
      </c>
      <c r="B881" s="20" t="s">
        <v>1025</v>
      </c>
      <c r="C881" s="40" t="s">
        <v>279</v>
      </c>
      <c r="D881" s="40" t="s">
        <v>228</v>
      </c>
      <c r="E881" s="2"/>
      <c r="F881" s="2"/>
      <c r="G881" s="6">
        <f t="shared" si="133"/>
        <v>723.3</v>
      </c>
      <c r="H881" s="6">
        <f t="shared" si="133"/>
        <v>723.3</v>
      </c>
    </row>
    <row r="882" spans="1:8" ht="47.25" x14ac:dyDescent="0.25">
      <c r="A882" s="29" t="s">
        <v>287</v>
      </c>
      <c r="B882" s="20" t="s">
        <v>1025</v>
      </c>
      <c r="C882" s="40" t="s">
        <v>279</v>
      </c>
      <c r="D882" s="40" t="s">
        <v>228</v>
      </c>
      <c r="E882" s="2">
        <v>600</v>
      </c>
      <c r="F882" s="2"/>
      <c r="G882" s="6">
        <f t="shared" si="133"/>
        <v>723.3</v>
      </c>
      <c r="H882" s="6">
        <f t="shared" si="133"/>
        <v>723.3</v>
      </c>
    </row>
    <row r="883" spans="1:8" ht="15.75" x14ac:dyDescent="0.25">
      <c r="A883" s="193" t="s">
        <v>289</v>
      </c>
      <c r="B883" s="20" t="s">
        <v>1025</v>
      </c>
      <c r="C883" s="40" t="s">
        <v>279</v>
      </c>
      <c r="D883" s="40" t="s">
        <v>228</v>
      </c>
      <c r="E883" s="2">
        <v>610</v>
      </c>
      <c r="F883" s="2"/>
      <c r="G883" s="6">
        <f>'пр.4.1.ведом.21-22'!G698</f>
        <v>723.3</v>
      </c>
      <c r="H883" s="6">
        <f>'пр.4.1.ведом.21-22'!H698</f>
        <v>723.3</v>
      </c>
    </row>
    <row r="884" spans="1:8" ht="31.5" x14ac:dyDescent="0.25">
      <c r="A884" s="45" t="s">
        <v>418</v>
      </c>
      <c r="B884" s="20" t="s">
        <v>1025</v>
      </c>
      <c r="C884" s="40" t="s">
        <v>279</v>
      </c>
      <c r="D884" s="40" t="s">
        <v>228</v>
      </c>
      <c r="E884" s="2">
        <v>610</v>
      </c>
      <c r="F884" s="2">
        <v>906</v>
      </c>
      <c r="G884" s="6">
        <f>G883</f>
        <v>723.3</v>
      </c>
      <c r="H884" s="6">
        <f>H883</f>
        <v>723.3</v>
      </c>
    </row>
    <row r="885" spans="1:8" ht="15.75" x14ac:dyDescent="0.25">
      <c r="A885" s="45" t="s">
        <v>280</v>
      </c>
      <c r="B885" s="20" t="s">
        <v>945</v>
      </c>
      <c r="C885" s="40" t="s">
        <v>279</v>
      </c>
      <c r="D885" s="40" t="s">
        <v>230</v>
      </c>
      <c r="E885" s="2"/>
      <c r="F885" s="2"/>
      <c r="G885" s="6">
        <f>G886+G890</f>
        <v>521.70000000000005</v>
      </c>
      <c r="H885" s="6">
        <f>H886+H890</f>
        <v>521.70000000000005</v>
      </c>
    </row>
    <row r="886" spans="1:8" ht="47.25" x14ac:dyDescent="0.25">
      <c r="A886" s="45" t="s">
        <v>801</v>
      </c>
      <c r="B886" s="20" t="s">
        <v>1025</v>
      </c>
      <c r="C886" s="40" t="s">
        <v>279</v>
      </c>
      <c r="D886" s="40" t="s">
        <v>230</v>
      </c>
      <c r="E886" s="2"/>
      <c r="F886" s="2"/>
      <c r="G886" s="6">
        <f>G887</f>
        <v>300.7</v>
      </c>
      <c r="H886" s="6">
        <f>H887</f>
        <v>300.7</v>
      </c>
    </row>
    <row r="887" spans="1:8" ht="47.25" x14ac:dyDescent="0.25">
      <c r="A887" s="29" t="s">
        <v>287</v>
      </c>
      <c r="B887" s="20" t="s">
        <v>1025</v>
      </c>
      <c r="C887" s="40" t="s">
        <v>279</v>
      </c>
      <c r="D887" s="40" t="s">
        <v>230</v>
      </c>
      <c r="E887" s="2">
        <v>600</v>
      </c>
      <c r="F887" s="2"/>
      <c r="G887" s="6">
        <f>G888</f>
        <v>300.7</v>
      </c>
      <c r="H887" s="6">
        <f>H888</f>
        <v>300.7</v>
      </c>
    </row>
    <row r="888" spans="1:8" ht="15.75" x14ac:dyDescent="0.25">
      <c r="A888" s="193" t="s">
        <v>289</v>
      </c>
      <c r="B888" s="20" t="s">
        <v>1025</v>
      </c>
      <c r="C888" s="40" t="s">
        <v>279</v>
      </c>
      <c r="D888" s="40" t="s">
        <v>230</v>
      </c>
      <c r="E888" s="2">
        <v>610</v>
      </c>
      <c r="F888" s="2"/>
      <c r="G888" s="6">
        <f>'пр.4.1.ведом.21-22'!G732</f>
        <v>300.7</v>
      </c>
      <c r="H888" s="6">
        <f>'пр.4.1.ведом.21-22'!H732</f>
        <v>300.7</v>
      </c>
    </row>
    <row r="889" spans="1:8" ht="31.5" x14ac:dyDescent="0.25">
      <c r="A889" s="45" t="s">
        <v>418</v>
      </c>
      <c r="B889" s="20" t="s">
        <v>1025</v>
      </c>
      <c r="C889" s="40" t="s">
        <v>279</v>
      </c>
      <c r="D889" s="40" t="s">
        <v>230</v>
      </c>
      <c r="E889" s="2">
        <v>610</v>
      </c>
      <c r="F889" s="2">
        <v>906</v>
      </c>
      <c r="G889" s="6">
        <f>G888</f>
        <v>300.7</v>
      </c>
      <c r="H889" s="6">
        <f>H888</f>
        <v>300.7</v>
      </c>
    </row>
    <row r="890" spans="1:8" ht="47.25" x14ac:dyDescent="0.25">
      <c r="A890" s="99" t="s">
        <v>1155</v>
      </c>
      <c r="B890" s="20" t="s">
        <v>946</v>
      </c>
      <c r="C890" s="40" t="s">
        <v>279</v>
      </c>
      <c r="D890" s="40" t="s">
        <v>230</v>
      </c>
      <c r="E890" s="2"/>
      <c r="F890" s="2"/>
      <c r="G890" s="6">
        <f>G891</f>
        <v>221</v>
      </c>
      <c r="H890" s="6">
        <f>H891</f>
        <v>221</v>
      </c>
    </row>
    <row r="891" spans="1:8" ht="31.5" x14ac:dyDescent="0.25">
      <c r="A891" s="25" t="s">
        <v>146</v>
      </c>
      <c r="B891" s="20" t="s">
        <v>946</v>
      </c>
      <c r="C891" s="40" t="s">
        <v>279</v>
      </c>
      <c r="D891" s="40" t="s">
        <v>230</v>
      </c>
      <c r="E891" s="2">
        <v>200</v>
      </c>
      <c r="F891" s="2"/>
      <c r="G891" s="6">
        <f>G892</f>
        <v>221</v>
      </c>
      <c r="H891" s="6">
        <f>H892</f>
        <v>221</v>
      </c>
    </row>
    <row r="892" spans="1:8" ht="47.25" x14ac:dyDescent="0.25">
      <c r="A892" s="25" t="s">
        <v>148</v>
      </c>
      <c r="B892" s="20" t="s">
        <v>946</v>
      </c>
      <c r="C892" s="40" t="s">
        <v>279</v>
      </c>
      <c r="D892" s="40" t="s">
        <v>230</v>
      </c>
      <c r="E892" s="2">
        <v>240</v>
      </c>
      <c r="F892" s="2"/>
      <c r="G892" s="6">
        <f>'пр.4.1.ведом.21-22'!G320</f>
        <v>221</v>
      </c>
      <c r="H892" s="6">
        <f>'Пр.4 ведом.20'!H316</f>
        <v>221</v>
      </c>
    </row>
    <row r="893" spans="1:8" ht="47.25" x14ac:dyDescent="0.25">
      <c r="A893" s="25" t="s">
        <v>276</v>
      </c>
      <c r="B893" s="20" t="s">
        <v>946</v>
      </c>
      <c r="C893" s="40" t="s">
        <v>279</v>
      </c>
      <c r="D893" s="40" t="s">
        <v>230</v>
      </c>
      <c r="E893" s="2">
        <v>240</v>
      </c>
      <c r="F893" s="2">
        <v>903</v>
      </c>
      <c r="G893" s="6">
        <f>'пр.4.1.ведом.21-22'!G320</f>
        <v>221</v>
      </c>
      <c r="H893" s="6">
        <f>'пр.4.1.ведом.21-22'!H320</f>
        <v>221</v>
      </c>
    </row>
    <row r="894" spans="1:8" ht="15.75" x14ac:dyDescent="0.25">
      <c r="A894" s="25" t="s">
        <v>313</v>
      </c>
      <c r="B894" s="20" t="s">
        <v>945</v>
      </c>
      <c r="C894" s="40" t="s">
        <v>314</v>
      </c>
      <c r="D894" s="40"/>
      <c r="E894" s="2"/>
      <c r="F894" s="2"/>
      <c r="G894" s="6">
        <f t="shared" ref="G894:H897" si="134">G895</f>
        <v>793.2</v>
      </c>
      <c r="H894" s="6">
        <f t="shared" si="134"/>
        <v>793.2</v>
      </c>
    </row>
    <row r="895" spans="1:8" ht="15.75" x14ac:dyDescent="0.25">
      <c r="A895" s="25" t="s">
        <v>315</v>
      </c>
      <c r="B895" s="20" t="s">
        <v>945</v>
      </c>
      <c r="C895" s="40" t="s">
        <v>314</v>
      </c>
      <c r="D895" s="40" t="s">
        <v>133</v>
      </c>
      <c r="E895" s="2"/>
      <c r="F895" s="2"/>
      <c r="G895" s="6">
        <f t="shared" si="134"/>
        <v>793.2</v>
      </c>
      <c r="H895" s="6">
        <f t="shared" si="134"/>
        <v>793.2</v>
      </c>
    </row>
    <row r="896" spans="1:8" ht="32.25" customHeight="1" x14ac:dyDescent="0.25">
      <c r="A896" s="45" t="s">
        <v>799</v>
      </c>
      <c r="B896" s="20" t="s">
        <v>946</v>
      </c>
      <c r="C896" s="40" t="s">
        <v>314</v>
      </c>
      <c r="D896" s="40" t="s">
        <v>133</v>
      </c>
      <c r="E896" s="2"/>
      <c r="F896" s="2"/>
      <c r="G896" s="6">
        <f t="shared" si="134"/>
        <v>793.2</v>
      </c>
      <c r="H896" s="6">
        <f t="shared" si="134"/>
        <v>793.2</v>
      </c>
    </row>
    <row r="897" spans="1:8" ht="31.5" x14ac:dyDescent="0.25">
      <c r="A897" s="25" t="s">
        <v>146</v>
      </c>
      <c r="B897" s="20" t="s">
        <v>946</v>
      </c>
      <c r="C897" s="40" t="s">
        <v>314</v>
      </c>
      <c r="D897" s="40" t="s">
        <v>133</v>
      </c>
      <c r="E897" s="2">
        <v>200</v>
      </c>
      <c r="F897" s="2"/>
      <c r="G897" s="6">
        <f t="shared" si="134"/>
        <v>793.2</v>
      </c>
      <c r="H897" s="6">
        <f t="shared" si="134"/>
        <v>793.2</v>
      </c>
    </row>
    <row r="898" spans="1:8" ht="47.25" x14ac:dyDescent="0.25">
      <c r="A898" s="25" t="s">
        <v>148</v>
      </c>
      <c r="B898" s="20" t="s">
        <v>946</v>
      </c>
      <c r="C898" s="40" t="s">
        <v>314</v>
      </c>
      <c r="D898" s="40" t="s">
        <v>133</v>
      </c>
      <c r="E898" s="2">
        <v>240</v>
      </c>
      <c r="F898" s="2"/>
      <c r="G898" s="6">
        <f>'пр.4.1.ведом.21-22'!G414</f>
        <v>793.2</v>
      </c>
      <c r="H898" s="6">
        <f>'пр.4.1.ведом.21-22'!H414</f>
        <v>793.2</v>
      </c>
    </row>
    <row r="899" spans="1:8" ht="47.25" x14ac:dyDescent="0.25">
      <c r="A899" s="25" t="s">
        <v>276</v>
      </c>
      <c r="B899" s="20" t="s">
        <v>946</v>
      </c>
      <c r="C899" s="40" t="s">
        <v>314</v>
      </c>
      <c r="D899" s="40" t="s">
        <v>133</v>
      </c>
      <c r="E899" s="2">
        <v>240</v>
      </c>
      <c r="F899" s="2">
        <v>903</v>
      </c>
      <c r="G899" s="6">
        <f>G898</f>
        <v>793.2</v>
      </c>
      <c r="H899" s="6">
        <f>H898</f>
        <v>793.2</v>
      </c>
    </row>
    <row r="900" spans="1:8" ht="15.75" x14ac:dyDescent="0.25">
      <c r="A900" s="25" t="s">
        <v>505</v>
      </c>
      <c r="B900" s="20" t="s">
        <v>945</v>
      </c>
      <c r="C900" s="40" t="s">
        <v>506</v>
      </c>
      <c r="D900" s="40"/>
      <c r="E900" s="2"/>
      <c r="F900" s="2"/>
      <c r="G900" s="6">
        <f t="shared" ref="G900:H903" si="135">G901</f>
        <v>540.1</v>
      </c>
      <c r="H900" s="6">
        <f t="shared" si="135"/>
        <v>540.1</v>
      </c>
    </row>
    <row r="901" spans="1:8" ht="15.75" x14ac:dyDescent="0.25">
      <c r="A901" s="25" t="s">
        <v>1271</v>
      </c>
      <c r="B901" s="20" t="s">
        <v>945</v>
      </c>
      <c r="C901" s="40" t="s">
        <v>506</v>
      </c>
      <c r="D901" s="40" t="s">
        <v>133</v>
      </c>
      <c r="E901" s="2"/>
      <c r="F901" s="2"/>
      <c r="G901" s="6">
        <f t="shared" si="135"/>
        <v>540.1</v>
      </c>
      <c r="H901" s="6">
        <f t="shared" si="135"/>
        <v>540.1</v>
      </c>
    </row>
    <row r="902" spans="1:8" ht="47.25" x14ac:dyDescent="0.25">
      <c r="A902" s="45" t="s">
        <v>801</v>
      </c>
      <c r="B902" s="20" t="s">
        <v>1025</v>
      </c>
      <c r="C902" s="40" t="s">
        <v>506</v>
      </c>
      <c r="D902" s="40" t="s">
        <v>133</v>
      </c>
      <c r="E902" s="2"/>
      <c r="F902" s="2"/>
      <c r="G902" s="6">
        <f t="shared" si="135"/>
        <v>540.1</v>
      </c>
      <c r="H902" s="6">
        <f t="shared" si="135"/>
        <v>540.1</v>
      </c>
    </row>
    <row r="903" spans="1:8" ht="47.25" x14ac:dyDescent="0.25">
      <c r="A903" s="29" t="s">
        <v>287</v>
      </c>
      <c r="B903" s="20" t="s">
        <v>1025</v>
      </c>
      <c r="C903" s="40" t="s">
        <v>506</v>
      </c>
      <c r="D903" s="40" t="s">
        <v>133</v>
      </c>
      <c r="E903" s="2">
        <v>600</v>
      </c>
      <c r="F903" s="2"/>
      <c r="G903" s="6">
        <f t="shared" si="135"/>
        <v>540.1</v>
      </c>
      <c r="H903" s="6">
        <f t="shared" si="135"/>
        <v>540.1</v>
      </c>
    </row>
    <row r="904" spans="1:8" ht="15.75" x14ac:dyDescent="0.25">
      <c r="A904" s="193" t="s">
        <v>289</v>
      </c>
      <c r="B904" s="20" t="s">
        <v>1025</v>
      </c>
      <c r="C904" s="40" t="s">
        <v>506</v>
      </c>
      <c r="D904" s="40" t="s">
        <v>133</v>
      </c>
      <c r="E904" s="2">
        <v>610</v>
      </c>
      <c r="F904" s="2"/>
      <c r="G904" s="6">
        <f>'пр.4.1.ведом.21-22'!G817</f>
        <v>540.1</v>
      </c>
      <c r="H904" s="6">
        <f>'пр.4.1.ведом.21-22'!H817</f>
        <v>540.1</v>
      </c>
    </row>
    <row r="905" spans="1:8" ht="47.25" x14ac:dyDescent="0.25">
      <c r="A905" s="45" t="s">
        <v>495</v>
      </c>
      <c r="B905" s="20" t="s">
        <v>1025</v>
      </c>
      <c r="C905" s="40" t="s">
        <v>506</v>
      </c>
      <c r="D905" s="40" t="s">
        <v>133</v>
      </c>
      <c r="E905" s="2">
        <v>610</v>
      </c>
      <c r="F905" s="2">
        <v>907</v>
      </c>
      <c r="G905" s="6">
        <f>G904</f>
        <v>540.1</v>
      </c>
      <c r="H905" s="6">
        <f>H904</f>
        <v>540.1</v>
      </c>
    </row>
    <row r="906" spans="1:8" ht="15.75" x14ac:dyDescent="0.25">
      <c r="A906" s="29" t="s">
        <v>597</v>
      </c>
      <c r="B906" s="20" t="s">
        <v>945</v>
      </c>
      <c r="C906" s="40" t="s">
        <v>253</v>
      </c>
      <c r="D906" s="40"/>
      <c r="E906" s="2"/>
      <c r="F906" s="2"/>
      <c r="G906" s="6">
        <f t="shared" ref="G906:H909" si="136">G907</f>
        <v>60</v>
      </c>
      <c r="H906" s="6">
        <f t="shared" si="136"/>
        <v>60</v>
      </c>
    </row>
    <row r="907" spans="1:8" ht="15.75" x14ac:dyDescent="0.25">
      <c r="A907" s="29" t="s">
        <v>598</v>
      </c>
      <c r="B907" s="20" t="s">
        <v>945</v>
      </c>
      <c r="C907" s="40" t="s">
        <v>253</v>
      </c>
      <c r="D907" s="40" t="s">
        <v>228</v>
      </c>
      <c r="E907" s="2"/>
      <c r="F907" s="2"/>
      <c r="G907" s="6">
        <f t="shared" si="136"/>
        <v>60</v>
      </c>
      <c r="H907" s="6">
        <f t="shared" si="136"/>
        <v>60</v>
      </c>
    </row>
    <row r="908" spans="1:8" ht="47.25" x14ac:dyDescent="0.25">
      <c r="A908" s="45" t="s">
        <v>799</v>
      </c>
      <c r="B908" s="20" t="s">
        <v>946</v>
      </c>
      <c r="C908" s="40" t="s">
        <v>253</v>
      </c>
      <c r="D908" s="40" t="s">
        <v>228</v>
      </c>
      <c r="E908" s="2"/>
      <c r="F908" s="2"/>
      <c r="G908" s="6">
        <f t="shared" si="136"/>
        <v>60</v>
      </c>
      <c r="H908" s="6">
        <f t="shared" si="136"/>
        <v>60</v>
      </c>
    </row>
    <row r="909" spans="1:8" ht="31.5" x14ac:dyDescent="0.25">
      <c r="A909" s="25" t="s">
        <v>146</v>
      </c>
      <c r="B909" s="20" t="s">
        <v>946</v>
      </c>
      <c r="C909" s="40" t="s">
        <v>253</v>
      </c>
      <c r="D909" s="40" t="s">
        <v>228</v>
      </c>
      <c r="E909" s="2">
        <v>200</v>
      </c>
      <c r="F909" s="2"/>
      <c r="G909" s="6">
        <f t="shared" si="136"/>
        <v>60</v>
      </c>
      <c r="H909" s="6">
        <f t="shared" si="136"/>
        <v>60</v>
      </c>
    </row>
    <row r="910" spans="1:8" ht="47.25" x14ac:dyDescent="0.25">
      <c r="A910" s="25" t="s">
        <v>148</v>
      </c>
      <c r="B910" s="20" t="s">
        <v>946</v>
      </c>
      <c r="C910" s="40" t="s">
        <v>253</v>
      </c>
      <c r="D910" s="40" t="s">
        <v>228</v>
      </c>
      <c r="E910" s="2">
        <v>240</v>
      </c>
      <c r="F910" s="2"/>
      <c r="G910" s="6">
        <f>'пр.4.1.ведом.21-22'!G491</f>
        <v>60</v>
      </c>
      <c r="H910" s="6">
        <f>'пр.4.1.ведом.21-22'!H491</f>
        <v>60</v>
      </c>
    </row>
    <row r="911" spans="1:8" ht="47.25" x14ac:dyDescent="0.25">
      <c r="A911" s="25" t="s">
        <v>276</v>
      </c>
      <c r="B911" s="20" t="s">
        <v>946</v>
      </c>
      <c r="C911" s="40" t="s">
        <v>253</v>
      </c>
      <c r="D911" s="40" t="s">
        <v>228</v>
      </c>
      <c r="E911" s="2">
        <v>240</v>
      </c>
      <c r="F911" s="2">
        <v>903</v>
      </c>
      <c r="G911" s="6">
        <f>G906</f>
        <v>60</v>
      </c>
      <c r="H911" s="6">
        <f>H906</f>
        <v>60</v>
      </c>
    </row>
    <row r="912" spans="1:8" ht="47.25" x14ac:dyDescent="0.25">
      <c r="A912" s="239" t="s">
        <v>1186</v>
      </c>
      <c r="B912" s="24" t="s">
        <v>897</v>
      </c>
      <c r="C912" s="7"/>
      <c r="D912" s="7"/>
      <c r="E912" s="3"/>
      <c r="F912" s="3"/>
      <c r="G912" s="4">
        <f t="shared" ref="G912:H914" si="137">G913</f>
        <v>15</v>
      </c>
      <c r="H912" s="4">
        <f t="shared" si="137"/>
        <v>15</v>
      </c>
    </row>
    <row r="913" spans="1:8" ht="15.75" x14ac:dyDescent="0.25">
      <c r="A913" s="252" t="s">
        <v>132</v>
      </c>
      <c r="B913" s="20" t="s">
        <v>897</v>
      </c>
      <c r="C913" s="40" t="s">
        <v>133</v>
      </c>
      <c r="D913" s="40"/>
      <c r="E913" s="2"/>
      <c r="F913" s="2"/>
      <c r="G913" s="6">
        <f t="shared" si="137"/>
        <v>15</v>
      </c>
      <c r="H913" s="6">
        <f t="shared" si="137"/>
        <v>15</v>
      </c>
    </row>
    <row r="914" spans="1:8" ht="15.75" x14ac:dyDescent="0.25">
      <c r="A914" s="252" t="s">
        <v>154</v>
      </c>
      <c r="B914" s="20" t="s">
        <v>897</v>
      </c>
      <c r="C914" s="40" t="s">
        <v>133</v>
      </c>
      <c r="D914" s="40" t="s">
        <v>155</v>
      </c>
      <c r="E914" s="2"/>
      <c r="F914" s="2"/>
      <c r="G914" s="6">
        <f t="shared" si="137"/>
        <v>15</v>
      </c>
      <c r="H914" s="6">
        <f t="shared" si="137"/>
        <v>15</v>
      </c>
    </row>
    <row r="915" spans="1:8" ht="56.25" customHeight="1" x14ac:dyDescent="0.25">
      <c r="A915" s="293" t="s">
        <v>1156</v>
      </c>
      <c r="B915" s="20" t="s">
        <v>892</v>
      </c>
      <c r="C915" s="40" t="s">
        <v>133</v>
      </c>
      <c r="D915" s="40" t="s">
        <v>155</v>
      </c>
      <c r="E915" s="2"/>
      <c r="F915" s="2"/>
      <c r="G915" s="6">
        <f t="shared" ref="G915:H916" si="138">G916</f>
        <v>15</v>
      </c>
      <c r="H915" s="6">
        <f t="shared" si="138"/>
        <v>15</v>
      </c>
    </row>
    <row r="916" spans="1:8" ht="31.5" x14ac:dyDescent="0.25">
      <c r="A916" s="25" t="s">
        <v>146</v>
      </c>
      <c r="B916" s="20" t="s">
        <v>892</v>
      </c>
      <c r="C916" s="40" t="s">
        <v>133</v>
      </c>
      <c r="D916" s="40" t="s">
        <v>155</v>
      </c>
      <c r="E916" s="2">
        <v>200</v>
      </c>
      <c r="F916" s="2"/>
      <c r="G916" s="6">
        <f t="shared" si="138"/>
        <v>15</v>
      </c>
      <c r="H916" s="6">
        <f t="shared" si="138"/>
        <v>15</v>
      </c>
    </row>
    <row r="917" spans="1:8" ht="47.25" x14ac:dyDescent="0.25">
      <c r="A917" s="25" t="s">
        <v>148</v>
      </c>
      <c r="B917" s="20" t="s">
        <v>892</v>
      </c>
      <c r="C917" s="40" t="s">
        <v>133</v>
      </c>
      <c r="D917" s="40" t="s">
        <v>155</v>
      </c>
      <c r="E917" s="2">
        <v>240</v>
      </c>
      <c r="F917" s="2"/>
      <c r="G917" s="6">
        <f>'пр.4.1.ведом.21-22'!G123</f>
        <v>15</v>
      </c>
      <c r="H917" s="6">
        <f>'пр.4.1.ведом.21-22'!H123</f>
        <v>15</v>
      </c>
    </row>
    <row r="918" spans="1:8" ht="31.5" x14ac:dyDescent="0.25">
      <c r="A918" s="29" t="s">
        <v>163</v>
      </c>
      <c r="B918" s="20" t="s">
        <v>892</v>
      </c>
      <c r="C918" s="40" t="s">
        <v>133</v>
      </c>
      <c r="D918" s="40" t="s">
        <v>155</v>
      </c>
      <c r="E918" s="2">
        <v>240</v>
      </c>
      <c r="F918" s="2">
        <v>902</v>
      </c>
      <c r="G918" s="6">
        <f>G917</f>
        <v>15</v>
      </c>
      <c r="H918" s="6">
        <f>H917</f>
        <v>15</v>
      </c>
    </row>
    <row r="919" spans="1:8" ht="78.75" x14ac:dyDescent="0.25">
      <c r="A919" s="23" t="s">
        <v>820</v>
      </c>
      <c r="B919" s="24" t="s">
        <v>732</v>
      </c>
      <c r="C919" s="7"/>
      <c r="D919" s="7"/>
      <c r="E919" s="3"/>
      <c r="F919" s="3"/>
      <c r="G919" s="4">
        <f>G920</f>
        <v>500</v>
      </c>
      <c r="H919" s="4">
        <f>H920</f>
        <v>500</v>
      </c>
    </row>
    <row r="920" spans="1:8" ht="31.5" x14ac:dyDescent="0.25">
      <c r="A920" s="23" t="s">
        <v>1245</v>
      </c>
      <c r="B920" s="24" t="s">
        <v>1289</v>
      </c>
      <c r="C920" s="7"/>
      <c r="D920" s="7"/>
      <c r="E920" s="3"/>
      <c r="F920" s="3"/>
      <c r="G920" s="4">
        <f>G921</f>
        <v>500</v>
      </c>
      <c r="H920" s="4">
        <f>H921</f>
        <v>500</v>
      </c>
    </row>
    <row r="921" spans="1:8" ht="15.75" x14ac:dyDescent="0.25">
      <c r="A921" s="25" t="s">
        <v>405</v>
      </c>
      <c r="B921" s="20" t="s">
        <v>879</v>
      </c>
      <c r="C921" s="40" t="s">
        <v>249</v>
      </c>
      <c r="D921" s="40"/>
      <c r="E921" s="2"/>
      <c r="F921" s="2"/>
      <c r="G921" s="6">
        <f t="shared" ref="G921:H924" si="139">G922</f>
        <v>500</v>
      </c>
      <c r="H921" s="6">
        <f t="shared" si="139"/>
        <v>500</v>
      </c>
    </row>
    <row r="922" spans="1:8" ht="15.75" x14ac:dyDescent="0.25">
      <c r="A922" s="25" t="s">
        <v>556</v>
      </c>
      <c r="B922" s="20" t="s">
        <v>879</v>
      </c>
      <c r="C922" s="40" t="s">
        <v>249</v>
      </c>
      <c r="D922" s="40" t="s">
        <v>230</v>
      </c>
      <c r="E922" s="2"/>
      <c r="F922" s="2"/>
      <c r="G922" s="6">
        <f t="shared" si="139"/>
        <v>500</v>
      </c>
      <c r="H922" s="6">
        <f t="shared" si="139"/>
        <v>500</v>
      </c>
    </row>
    <row r="923" spans="1:8" ht="63" x14ac:dyDescent="0.25">
      <c r="A923" s="80" t="s">
        <v>708</v>
      </c>
      <c r="B923" s="20" t="s">
        <v>879</v>
      </c>
      <c r="C923" s="40" t="s">
        <v>249</v>
      </c>
      <c r="D923" s="40" t="s">
        <v>230</v>
      </c>
      <c r="E923" s="2"/>
      <c r="F923" s="2"/>
      <c r="G923" s="6">
        <f t="shared" si="139"/>
        <v>500</v>
      </c>
      <c r="H923" s="6">
        <f t="shared" si="139"/>
        <v>500</v>
      </c>
    </row>
    <row r="924" spans="1:8" ht="31.5" x14ac:dyDescent="0.25">
      <c r="A924" s="25" t="s">
        <v>146</v>
      </c>
      <c r="B924" s="20" t="s">
        <v>879</v>
      </c>
      <c r="C924" s="40" t="s">
        <v>249</v>
      </c>
      <c r="D924" s="40" t="s">
        <v>230</v>
      </c>
      <c r="E924" s="2">
        <v>200</v>
      </c>
      <c r="F924" s="2"/>
      <c r="G924" s="6">
        <f t="shared" si="139"/>
        <v>500</v>
      </c>
      <c r="H924" s="6">
        <f t="shared" si="139"/>
        <v>500</v>
      </c>
    </row>
    <row r="925" spans="1:8" ht="47.25" x14ac:dyDescent="0.25">
      <c r="A925" s="25" t="s">
        <v>148</v>
      </c>
      <c r="B925" s="20" t="s">
        <v>879</v>
      </c>
      <c r="C925" s="40" t="s">
        <v>249</v>
      </c>
      <c r="D925" s="40" t="s">
        <v>230</v>
      </c>
      <c r="E925" s="2">
        <v>240</v>
      </c>
      <c r="F925" s="2"/>
      <c r="G925" s="6">
        <f>'пр.4.1.ведом.21-22'!G1015</f>
        <v>500</v>
      </c>
      <c r="H925" s="6">
        <f>'пр.4.1.ведом.21-22'!H1015</f>
        <v>500</v>
      </c>
    </row>
    <row r="926" spans="1:8" ht="47.25" x14ac:dyDescent="0.25">
      <c r="A926" s="45" t="s">
        <v>638</v>
      </c>
      <c r="B926" s="20" t="s">
        <v>879</v>
      </c>
      <c r="C926" s="40" t="s">
        <v>249</v>
      </c>
      <c r="D926" s="40" t="s">
        <v>230</v>
      </c>
      <c r="E926" s="2">
        <v>240</v>
      </c>
      <c r="F926" s="2">
        <v>908</v>
      </c>
      <c r="G926" s="6">
        <f>G925</f>
        <v>500</v>
      </c>
      <c r="H926" s="6">
        <f>H925</f>
        <v>500</v>
      </c>
    </row>
    <row r="927" spans="1:8" ht="78.75" x14ac:dyDescent="0.25">
      <c r="A927" s="58" t="s">
        <v>1179</v>
      </c>
      <c r="B927" s="24" t="s">
        <v>804</v>
      </c>
      <c r="C927" s="7"/>
      <c r="D927" s="7"/>
      <c r="E927" s="3"/>
      <c r="F927" s="3"/>
      <c r="G927" s="4">
        <f>G929</f>
        <v>3266.2200000000003</v>
      </c>
      <c r="H927" s="4">
        <f>H929</f>
        <v>239.82000000000016</v>
      </c>
    </row>
    <row r="928" spans="1:8" ht="31.5" x14ac:dyDescent="0.25">
      <c r="A928" s="23" t="s">
        <v>1001</v>
      </c>
      <c r="B928" s="24" t="s">
        <v>1180</v>
      </c>
      <c r="C928" s="7"/>
      <c r="D928" s="7"/>
      <c r="E928" s="3"/>
      <c r="F928" s="3"/>
      <c r="G928" s="4">
        <f t="shared" ref="G928:H932" si="140">G929</f>
        <v>3266.2200000000003</v>
      </c>
      <c r="H928" s="4">
        <f t="shared" si="140"/>
        <v>239.82000000000016</v>
      </c>
    </row>
    <row r="929" spans="1:10" ht="15.75" x14ac:dyDescent="0.25">
      <c r="A929" s="45" t="s">
        <v>132</v>
      </c>
      <c r="B929" s="20" t="s">
        <v>1180</v>
      </c>
      <c r="C929" s="40" t="s">
        <v>133</v>
      </c>
      <c r="D929" s="40"/>
      <c r="E929" s="2"/>
      <c r="F929" s="2"/>
      <c r="G929" s="6">
        <f t="shared" si="140"/>
        <v>3266.2200000000003</v>
      </c>
      <c r="H929" s="6">
        <f t="shared" si="140"/>
        <v>239.82000000000016</v>
      </c>
    </row>
    <row r="930" spans="1:10" ht="15.75" x14ac:dyDescent="0.25">
      <c r="A930" s="45" t="s">
        <v>154</v>
      </c>
      <c r="B930" s="20" t="s">
        <v>1180</v>
      </c>
      <c r="C930" s="40" t="s">
        <v>133</v>
      </c>
      <c r="D930" s="40" t="s">
        <v>155</v>
      </c>
      <c r="E930" s="2"/>
      <c r="F930" s="2"/>
      <c r="G930" s="6">
        <f t="shared" si="140"/>
        <v>3266.2200000000003</v>
      </c>
      <c r="H930" s="6">
        <f t="shared" si="140"/>
        <v>239.82000000000016</v>
      </c>
    </row>
    <row r="931" spans="1:10" ht="31.5" x14ac:dyDescent="0.25">
      <c r="A931" s="45" t="s">
        <v>814</v>
      </c>
      <c r="B931" s="20" t="s">
        <v>1181</v>
      </c>
      <c r="C931" s="40" t="s">
        <v>133</v>
      </c>
      <c r="D931" s="40" t="s">
        <v>155</v>
      </c>
      <c r="E931" s="2"/>
      <c r="F931" s="2"/>
      <c r="G931" s="6">
        <f t="shared" si="140"/>
        <v>3266.2200000000003</v>
      </c>
      <c r="H931" s="6">
        <f t="shared" si="140"/>
        <v>239.82000000000016</v>
      </c>
    </row>
    <row r="932" spans="1:10" ht="31.5" x14ac:dyDescent="0.25">
      <c r="A932" s="45" t="s">
        <v>146</v>
      </c>
      <c r="B932" s="20" t="s">
        <v>1181</v>
      </c>
      <c r="C932" s="40" t="s">
        <v>133</v>
      </c>
      <c r="D932" s="40" t="s">
        <v>155</v>
      </c>
      <c r="E932" s="2">
        <v>200</v>
      </c>
      <c r="F932" s="2"/>
      <c r="G932" s="6">
        <f t="shared" si="140"/>
        <v>3266.2200000000003</v>
      </c>
      <c r="H932" s="6">
        <f t="shared" si="140"/>
        <v>239.82000000000016</v>
      </c>
    </row>
    <row r="933" spans="1:10" ht="47.25" x14ac:dyDescent="0.25">
      <c r="A933" s="45" t="s">
        <v>148</v>
      </c>
      <c r="B933" s="20" t="s">
        <v>1181</v>
      </c>
      <c r="C933" s="40" t="s">
        <v>133</v>
      </c>
      <c r="D933" s="40" t="s">
        <v>155</v>
      </c>
      <c r="E933" s="2">
        <v>240</v>
      </c>
      <c r="F933" s="2"/>
      <c r="G933" s="6">
        <f>'пр.4.1.ведом.21-22'!G524</f>
        <v>3266.2200000000003</v>
      </c>
      <c r="H933" s="6">
        <f>'пр.4.1.ведом.21-22'!H524</f>
        <v>239.82000000000016</v>
      </c>
    </row>
    <row r="934" spans="1:10" ht="47.25" x14ac:dyDescent="0.25">
      <c r="A934" s="45" t="s">
        <v>402</v>
      </c>
      <c r="B934" s="20" t="s">
        <v>1181</v>
      </c>
      <c r="C934" s="40" t="s">
        <v>133</v>
      </c>
      <c r="D934" s="40" t="s">
        <v>155</v>
      </c>
      <c r="E934" s="2">
        <v>240</v>
      </c>
      <c r="F934" s="2">
        <v>905</v>
      </c>
      <c r="G934" s="6">
        <f>G933</f>
        <v>3266.2200000000003</v>
      </c>
      <c r="H934" s="6">
        <f>H933</f>
        <v>239.82000000000016</v>
      </c>
    </row>
    <row r="935" spans="1:10" ht="94.5" x14ac:dyDescent="0.25">
      <c r="A935" s="41" t="s">
        <v>1182</v>
      </c>
      <c r="B935" s="24" t="s">
        <v>859</v>
      </c>
      <c r="C935" s="7"/>
      <c r="D935" s="7"/>
      <c r="E935" s="3"/>
      <c r="F935" s="3"/>
      <c r="G935" s="4">
        <f>G937</f>
        <v>40</v>
      </c>
      <c r="H935" s="4">
        <f>H937</f>
        <v>40</v>
      </c>
    </row>
    <row r="936" spans="1:10" ht="47.25" x14ac:dyDescent="0.25">
      <c r="A936" s="240" t="s">
        <v>898</v>
      </c>
      <c r="B936" s="24" t="s">
        <v>1262</v>
      </c>
      <c r="C936" s="7"/>
      <c r="D936" s="7"/>
      <c r="E936" s="3"/>
      <c r="F936" s="3"/>
      <c r="G936" s="4">
        <f t="shared" ref="G936:H940" si="141">G937</f>
        <v>40</v>
      </c>
      <c r="H936" s="4">
        <f t="shared" si="141"/>
        <v>40</v>
      </c>
    </row>
    <row r="937" spans="1:10" ht="15.75" x14ac:dyDescent="0.25">
      <c r="A937" s="45" t="s">
        <v>132</v>
      </c>
      <c r="B937" s="20" t="s">
        <v>1262</v>
      </c>
      <c r="C937" s="40" t="s">
        <v>133</v>
      </c>
      <c r="D937" s="40"/>
      <c r="E937" s="2"/>
      <c r="F937" s="2"/>
      <c r="G937" s="6">
        <f t="shared" si="141"/>
        <v>40</v>
      </c>
      <c r="H937" s="6">
        <f t="shared" si="141"/>
        <v>40</v>
      </c>
    </row>
    <row r="938" spans="1:10" ht="15.75" x14ac:dyDescent="0.25">
      <c r="A938" s="45" t="s">
        <v>154</v>
      </c>
      <c r="B938" s="20" t="s">
        <v>1262</v>
      </c>
      <c r="C938" s="40" t="s">
        <v>133</v>
      </c>
      <c r="D938" s="40" t="s">
        <v>155</v>
      </c>
      <c r="E938" s="2"/>
      <c r="F938" s="2"/>
      <c r="G938" s="6">
        <f t="shared" si="141"/>
        <v>40</v>
      </c>
      <c r="H938" s="6">
        <f t="shared" si="141"/>
        <v>40</v>
      </c>
    </row>
    <row r="939" spans="1:10" ht="47.25" x14ac:dyDescent="0.25">
      <c r="A939" s="98" t="s">
        <v>186</v>
      </c>
      <c r="B939" s="20" t="s">
        <v>899</v>
      </c>
      <c r="C939" s="40" t="s">
        <v>133</v>
      </c>
      <c r="D939" s="40" t="s">
        <v>155</v>
      </c>
      <c r="E939" s="2"/>
      <c r="F939" s="2"/>
      <c r="G939" s="6">
        <f t="shared" si="141"/>
        <v>40</v>
      </c>
      <c r="H939" s="6">
        <f t="shared" si="141"/>
        <v>40</v>
      </c>
    </row>
    <row r="940" spans="1:10" ht="31.5" x14ac:dyDescent="0.25">
      <c r="A940" s="45" t="s">
        <v>146</v>
      </c>
      <c r="B940" s="20" t="s">
        <v>899</v>
      </c>
      <c r="C940" s="40" t="s">
        <v>133</v>
      </c>
      <c r="D940" s="40" t="s">
        <v>155</v>
      </c>
      <c r="E940" s="2">
        <v>200</v>
      </c>
      <c r="F940" s="2"/>
      <c r="G940" s="6">
        <f t="shared" si="141"/>
        <v>40</v>
      </c>
      <c r="H940" s="6">
        <f t="shared" si="141"/>
        <v>40</v>
      </c>
    </row>
    <row r="941" spans="1:10" ht="47.25" x14ac:dyDescent="0.25">
      <c r="A941" s="45" t="s">
        <v>148</v>
      </c>
      <c r="B941" s="20" t="s">
        <v>899</v>
      </c>
      <c r="C941" s="40" t="s">
        <v>133</v>
      </c>
      <c r="D941" s="40" t="s">
        <v>155</v>
      </c>
      <c r="E941" s="2">
        <v>240</v>
      </c>
      <c r="F941" s="2"/>
      <c r="G941" s="6">
        <f>'пр.4.1.ведом.21-22'!G128</f>
        <v>40</v>
      </c>
      <c r="H941" s="6">
        <f>'пр.4.1.ведом.21-22'!H128</f>
        <v>40</v>
      </c>
    </row>
    <row r="942" spans="1:10" ht="31.5" x14ac:dyDescent="0.25">
      <c r="A942" s="29" t="s">
        <v>163</v>
      </c>
      <c r="B942" s="20" t="s">
        <v>899</v>
      </c>
      <c r="C942" s="40" t="s">
        <v>133</v>
      </c>
      <c r="D942" s="40" t="s">
        <v>155</v>
      </c>
      <c r="E942" s="2">
        <v>240</v>
      </c>
      <c r="F942" s="2">
        <v>902</v>
      </c>
      <c r="G942" s="6">
        <f>G935</f>
        <v>40</v>
      </c>
      <c r="H942" s="6">
        <f>H935</f>
        <v>40</v>
      </c>
      <c r="J942" s="22"/>
    </row>
    <row r="943" spans="1:10" ht="78.75" x14ac:dyDescent="0.25">
      <c r="A943" s="41" t="s">
        <v>1184</v>
      </c>
      <c r="B943" s="24" t="s">
        <v>860</v>
      </c>
      <c r="C943" s="7"/>
      <c r="D943" s="7"/>
      <c r="E943" s="3"/>
      <c r="F943" s="3"/>
      <c r="G943" s="4">
        <f>G945</f>
        <v>100</v>
      </c>
      <c r="H943" s="4">
        <f>H945</f>
        <v>100</v>
      </c>
    </row>
    <row r="944" spans="1:10" ht="31.5" x14ac:dyDescent="0.25">
      <c r="A944" s="58" t="s">
        <v>900</v>
      </c>
      <c r="B944" s="24" t="s">
        <v>908</v>
      </c>
      <c r="C944" s="7"/>
      <c r="D944" s="7"/>
      <c r="E944" s="3"/>
      <c r="F944" s="3"/>
      <c r="G944" s="4">
        <f t="shared" ref="G944:H948" si="142">G945</f>
        <v>100</v>
      </c>
      <c r="H944" s="4">
        <f t="shared" si="142"/>
        <v>100</v>
      </c>
    </row>
    <row r="945" spans="1:8" ht="15.75" x14ac:dyDescent="0.25">
      <c r="A945" s="45" t="s">
        <v>132</v>
      </c>
      <c r="B945" s="20" t="s">
        <v>908</v>
      </c>
      <c r="C945" s="40" t="s">
        <v>133</v>
      </c>
      <c r="D945" s="40"/>
      <c r="E945" s="2"/>
      <c r="F945" s="2"/>
      <c r="G945" s="6">
        <f t="shared" si="142"/>
        <v>100</v>
      </c>
      <c r="H945" s="6">
        <f t="shared" si="142"/>
        <v>100</v>
      </c>
    </row>
    <row r="946" spans="1:8" ht="15.75" x14ac:dyDescent="0.25">
      <c r="A946" s="45" t="s">
        <v>154</v>
      </c>
      <c r="B946" s="20" t="s">
        <v>908</v>
      </c>
      <c r="C946" s="40" t="s">
        <v>133</v>
      </c>
      <c r="D946" s="40" t="s">
        <v>155</v>
      </c>
      <c r="E946" s="2"/>
      <c r="F946" s="2"/>
      <c r="G946" s="6">
        <f t="shared" si="142"/>
        <v>100</v>
      </c>
      <c r="H946" s="6">
        <f t="shared" si="142"/>
        <v>100</v>
      </c>
    </row>
    <row r="947" spans="1:8" ht="31.5" x14ac:dyDescent="0.25">
      <c r="A947" s="45" t="s">
        <v>190</v>
      </c>
      <c r="B947" s="20" t="s">
        <v>901</v>
      </c>
      <c r="C947" s="40" t="s">
        <v>133</v>
      </c>
      <c r="D947" s="40" t="s">
        <v>155</v>
      </c>
      <c r="E947" s="2"/>
      <c r="F947" s="2"/>
      <c r="G947" s="6">
        <f t="shared" si="142"/>
        <v>100</v>
      </c>
      <c r="H947" s="6">
        <f t="shared" si="142"/>
        <v>100</v>
      </c>
    </row>
    <row r="948" spans="1:8" ht="31.5" x14ac:dyDescent="0.25">
      <c r="A948" s="45" t="s">
        <v>146</v>
      </c>
      <c r="B948" s="20" t="s">
        <v>901</v>
      </c>
      <c r="C948" s="40" t="s">
        <v>133</v>
      </c>
      <c r="D948" s="40" t="s">
        <v>155</v>
      </c>
      <c r="E948" s="2">
        <v>200</v>
      </c>
      <c r="F948" s="2"/>
      <c r="G948" s="6">
        <f t="shared" si="142"/>
        <v>100</v>
      </c>
      <c r="H948" s="6">
        <f t="shared" si="142"/>
        <v>100</v>
      </c>
    </row>
    <row r="949" spans="1:8" ht="47.25" x14ac:dyDescent="0.25">
      <c r="A949" s="45" t="s">
        <v>148</v>
      </c>
      <c r="B949" s="20" t="s">
        <v>901</v>
      </c>
      <c r="C949" s="40" t="s">
        <v>133</v>
      </c>
      <c r="D949" s="40" t="s">
        <v>155</v>
      </c>
      <c r="E949" s="2">
        <v>240</v>
      </c>
      <c r="F949" s="2"/>
      <c r="G949" s="6">
        <f>'пр.4.1.ведом.21-22'!G133</f>
        <v>100</v>
      </c>
      <c r="H949" s="6">
        <f>'пр.4.1.ведом.21-22'!H133</f>
        <v>100</v>
      </c>
    </row>
    <row r="950" spans="1:8" ht="31.5" x14ac:dyDescent="0.25">
      <c r="A950" s="29" t="s">
        <v>163</v>
      </c>
      <c r="B950" s="20" t="s">
        <v>901</v>
      </c>
      <c r="C950" s="40" t="s">
        <v>133</v>
      </c>
      <c r="D950" s="40" t="s">
        <v>155</v>
      </c>
      <c r="E950" s="2">
        <v>240</v>
      </c>
      <c r="F950" s="2">
        <v>902</v>
      </c>
      <c r="G950" s="6">
        <f>G943</f>
        <v>100</v>
      </c>
      <c r="H950" s="6">
        <f>H943</f>
        <v>100</v>
      </c>
    </row>
    <row r="951" spans="1:8" s="221" customFormat="1" ht="47.25" x14ac:dyDescent="0.25">
      <c r="A951" s="23" t="s">
        <v>1367</v>
      </c>
      <c r="B951" s="24" t="s">
        <v>1366</v>
      </c>
      <c r="C951" s="40"/>
      <c r="D951" s="40"/>
      <c r="E951" s="2"/>
      <c r="F951" s="2"/>
      <c r="G951" s="4">
        <f t="shared" ref="G951:H957" si="143">G952</f>
        <v>235</v>
      </c>
      <c r="H951" s="4">
        <f t="shared" si="143"/>
        <v>204</v>
      </c>
    </row>
    <row r="952" spans="1:8" s="221" customFormat="1" ht="31.5" x14ac:dyDescent="0.25">
      <c r="A952" s="23" t="s">
        <v>1368</v>
      </c>
      <c r="B952" s="24" t="s">
        <v>1369</v>
      </c>
      <c r="C952" s="40"/>
      <c r="D952" s="40"/>
      <c r="E952" s="2"/>
      <c r="F952" s="2"/>
      <c r="G952" s="4">
        <f t="shared" si="143"/>
        <v>235</v>
      </c>
      <c r="H952" s="4">
        <f t="shared" si="143"/>
        <v>204</v>
      </c>
    </row>
    <row r="953" spans="1:8" s="221" customFormat="1" ht="15.75" x14ac:dyDescent="0.25">
      <c r="A953" s="29" t="s">
        <v>405</v>
      </c>
      <c r="B953" s="20" t="s">
        <v>1369</v>
      </c>
      <c r="C953" s="40" t="s">
        <v>249</v>
      </c>
      <c r="D953" s="40"/>
      <c r="E953" s="2"/>
      <c r="F953" s="2"/>
      <c r="G953" s="6">
        <f t="shared" si="143"/>
        <v>235</v>
      </c>
      <c r="H953" s="6">
        <f t="shared" si="143"/>
        <v>204</v>
      </c>
    </row>
    <row r="954" spans="1:8" s="221" customFormat="1" ht="15.75" x14ac:dyDescent="0.25">
      <c r="A954" s="29" t="s">
        <v>532</v>
      </c>
      <c r="B954" s="20" t="s">
        <v>1369</v>
      </c>
      <c r="C954" s="40" t="s">
        <v>249</v>
      </c>
      <c r="D954" s="40" t="s">
        <v>228</v>
      </c>
      <c r="E954" s="2"/>
      <c r="F954" s="2"/>
      <c r="G954" s="6">
        <f t="shared" si="143"/>
        <v>235</v>
      </c>
      <c r="H954" s="6">
        <f t="shared" si="143"/>
        <v>204</v>
      </c>
    </row>
    <row r="955" spans="1:8" s="221" customFormat="1" ht="31.5" x14ac:dyDescent="0.25">
      <c r="A955" s="29" t="s">
        <v>1371</v>
      </c>
      <c r="B955" s="20" t="s">
        <v>1370</v>
      </c>
      <c r="C955" s="40" t="s">
        <v>249</v>
      </c>
      <c r="D955" s="40" t="s">
        <v>228</v>
      </c>
      <c r="E955" s="2"/>
      <c r="F955" s="2"/>
      <c r="G955" s="6">
        <f t="shared" si="143"/>
        <v>235</v>
      </c>
      <c r="H955" s="6">
        <f t="shared" si="143"/>
        <v>204</v>
      </c>
    </row>
    <row r="956" spans="1:8" s="221" customFormat="1" ht="31.5" x14ac:dyDescent="0.25">
      <c r="A956" s="45" t="s">
        <v>146</v>
      </c>
      <c r="B956" s="20" t="s">
        <v>1370</v>
      </c>
      <c r="C956" s="40" t="s">
        <v>249</v>
      </c>
      <c r="D956" s="40" t="s">
        <v>228</v>
      </c>
      <c r="E956" s="2">
        <v>200</v>
      </c>
      <c r="F956" s="2"/>
      <c r="G956" s="6">
        <f t="shared" si="143"/>
        <v>235</v>
      </c>
      <c r="H956" s="6">
        <f t="shared" si="143"/>
        <v>204</v>
      </c>
    </row>
    <row r="957" spans="1:8" s="221" customFormat="1" ht="47.25" x14ac:dyDescent="0.25">
      <c r="A957" s="45" t="s">
        <v>148</v>
      </c>
      <c r="B957" s="20" t="s">
        <v>1370</v>
      </c>
      <c r="C957" s="40" t="s">
        <v>249</v>
      </c>
      <c r="D957" s="40" t="s">
        <v>228</v>
      </c>
      <c r="E957" s="2">
        <v>240</v>
      </c>
      <c r="F957" s="2"/>
      <c r="G957" s="6">
        <f t="shared" si="143"/>
        <v>235</v>
      </c>
      <c r="H957" s="6">
        <f t="shared" si="143"/>
        <v>204</v>
      </c>
    </row>
    <row r="958" spans="1:8" s="221" customFormat="1" ht="63" x14ac:dyDescent="0.25">
      <c r="A958" s="29" t="s">
        <v>1308</v>
      </c>
      <c r="B958" s="20" t="s">
        <v>1370</v>
      </c>
      <c r="C958" s="40" t="s">
        <v>249</v>
      </c>
      <c r="D958" s="40" t="s">
        <v>228</v>
      </c>
      <c r="E958" s="2">
        <v>240</v>
      </c>
      <c r="F958" s="2">
        <v>908</v>
      </c>
      <c r="G958" s="6">
        <f>'пр.4.1.ведом.21-22'!G966</f>
        <v>235</v>
      </c>
      <c r="H958" s="6">
        <f>'пр.4.1.ведом.21-22'!H966</f>
        <v>204</v>
      </c>
    </row>
    <row r="959" spans="1:8" ht="15.75" x14ac:dyDescent="0.25">
      <c r="A959" s="72" t="s">
        <v>672</v>
      </c>
      <c r="B959" s="72"/>
      <c r="C959" s="72"/>
      <c r="D959" s="72"/>
      <c r="E959" s="72"/>
      <c r="F959" s="72"/>
      <c r="G959" s="121">
        <f>G943+G935+G927+G919+G861+G826+G757+G700+G669+G512+G451+G439+G401+G389+G160+G27+G9+G776+G951</f>
        <v>480583.93200000003</v>
      </c>
      <c r="H959" s="121">
        <f>H943+H935+H927+H919+H861+H826+H757+H700+H669+H512+H451+H439+H401+H389+H160+H27+H9+H776+H951</f>
        <v>477630.42000000004</v>
      </c>
    </row>
    <row r="961" spans="7:8" hidden="1" x14ac:dyDescent="0.25">
      <c r="G961" s="253">
        <f>'пр.4.1.ведом.21-22'!G1157</f>
        <v>480583.93199999997</v>
      </c>
      <c r="H961" s="253">
        <f>'пр.4.1.ведом.21-22'!H1157</f>
        <v>477630.42000000004</v>
      </c>
    </row>
    <row r="962" spans="7:8" hidden="1" x14ac:dyDescent="0.25"/>
    <row r="963" spans="7:8" hidden="1" x14ac:dyDescent="0.25">
      <c r="G963" s="253">
        <f>G961-G959</f>
        <v>0</v>
      </c>
      <c r="H963" s="253">
        <f>H961-H959</f>
        <v>0</v>
      </c>
    </row>
  </sheetData>
  <mergeCells count="4">
    <mergeCell ref="A5:H5"/>
    <mergeCell ref="F3:H3"/>
    <mergeCell ref="G2:H2"/>
    <mergeCell ref="G1:H1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40" workbookViewId="0">
      <selection activeCell="G66" sqref="G66"/>
    </sheetView>
  </sheetViews>
  <sheetFormatPr defaultRowHeight="15" x14ac:dyDescent="0.25"/>
  <cols>
    <col min="1" max="1" width="33.28515625" customWidth="1"/>
    <col min="2" max="2" width="15.5703125" style="221" customWidth="1"/>
    <col min="4" max="4" width="8" customWidth="1"/>
    <col min="5" max="5" width="8.85546875" style="221" customWidth="1"/>
    <col min="6" max="6" width="13.7109375" customWidth="1"/>
    <col min="7" max="7" width="15.140625" customWidth="1"/>
  </cols>
  <sheetData>
    <row r="1" spans="1:7" ht="18.75" customHeight="1" x14ac:dyDescent="0.3">
      <c r="A1" s="420"/>
      <c r="B1" s="420"/>
      <c r="C1" s="420"/>
      <c r="D1" s="62"/>
      <c r="E1" s="62"/>
      <c r="F1" s="222"/>
      <c r="G1" s="213" t="s">
        <v>1279</v>
      </c>
    </row>
    <row r="2" spans="1:7" ht="18.75" customHeight="1" x14ac:dyDescent="0.3">
      <c r="A2" s="420"/>
      <c r="B2" s="420"/>
      <c r="C2" s="420"/>
      <c r="D2" s="62"/>
      <c r="E2" s="62"/>
      <c r="F2" s="222"/>
      <c r="G2" s="213" t="s">
        <v>0</v>
      </c>
    </row>
    <row r="3" spans="1:7" ht="15.75" x14ac:dyDescent="0.25">
      <c r="A3" s="62"/>
      <c r="B3" s="62"/>
      <c r="C3" s="62"/>
      <c r="D3" s="62"/>
      <c r="E3" s="62"/>
      <c r="F3" s="62"/>
      <c r="G3" s="130" t="s">
        <v>1471</v>
      </c>
    </row>
    <row r="4" spans="1:7" s="221" customFormat="1" ht="15.75" x14ac:dyDescent="0.25">
      <c r="A4" s="62"/>
      <c r="B4" s="62"/>
      <c r="C4" s="62"/>
      <c r="D4" s="62"/>
      <c r="E4" s="62"/>
      <c r="F4" s="62"/>
      <c r="G4" s="130"/>
    </row>
    <row r="5" spans="1:7" s="221" customFormat="1" ht="15.75" x14ac:dyDescent="0.25">
      <c r="A5" s="62"/>
      <c r="B5" s="62"/>
      <c r="C5" s="62"/>
      <c r="D5" s="62"/>
      <c r="E5" s="62"/>
      <c r="F5" s="62"/>
      <c r="G5" s="130"/>
    </row>
    <row r="6" spans="1:7" x14ac:dyDescent="0.25">
      <c r="A6" s="411" t="s">
        <v>1358</v>
      </c>
      <c r="B6" s="411"/>
      <c r="C6" s="411"/>
      <c r="D6" s="411"/>
      <c r="E6" s="411"/>
      <c r="F6" s="411"/>
      <c r="G6" s="411"/>
    </row>
    <row r="7" spans="1:7" x14ac:dyDescent="0.25">
      <c r="A7" s="411"/>
      <c r="B7" s="411"/>
      <c r="C7" s="411"/>
      <c r="D7" s="411"/>
      <c r="E7" s="411"/>
      <c r="F7" s="411"/>
      <c r="G7" s="411"/>
    </row>
    <row r="8" spans="1:7" ht="16.5" x14ac:dyDescent="0.25">
      <c r="A8" s="271"/>
      <c r="B8" s="271"/>
      <c r="C8" s="271"/>
      <c r="D8" s="271"/>
      <c r="E8" s="271"/>
      <c r="F8" s="271"/>
      <c r="G8" s="271"/>
    </row>
    <row r="9" spans="1:7" ht="15.75" x14ac:dyDescent="0.25">
      <c r="A9" s="62"/>
      <c r="B9" s="62"/>
      <c r="C9" s="62"/>
      <c r="D9" s="62"/>
      <c r="E9" s="62"/>
      <c r="F9" s="64"/>
      <c r="G9" s="65" t="s">
        <v>1</v>
      </c>
    </row>
    <row r="10" spans="1:7" ht="31.5" x14ac:dyDescent="0.25">
      <c r="A10" s="66" t="s">
        <v>607</v>
      </c>
      <c r="B10" s="66" t="s">
        <v>1295</v>
      </c>
      <c r="C10" s="66" t="s">
        <v>1293</v>
      </c>
      <c r="D10" s="66" t="s">
        <v>128</v>
      </c>
      <c r="E10" s="66" t="s">
        <v>1294</v>
      </c>
      <c r="F10" s="66" t="s">
        <v>126</v>
      </c>
      <c r="G10" s="66" t="s">
        <v>1192</v>
      </c>
    </row>
    <row r="11" spans="1:7" s="221" customFormat="1" ht="78.75" x14ac:dyDescent="0.25">
      <c r="A11" s="264" t="s">
        <v>1201</v>
      </c>
      <c r="B11" s="20" t="s">
        <v>1222</v>
      </c>
      <c r="C11" s="40"/>
      <c r="D11" s="40"/>
      <c r="E11" s="40"/>
      <c r="F11" s="5"/>
      <c r="G11" s="6">
        <f>G12</f>
        <v>25</v>
      </c>
    </row>
    <row r="12" spans="1:7" s="221" customFormat="1" ht="15.75" x14ac:dyDescent="0.25">
      <c r="A12" s="45" t="s">
        <v>278</v>
      </c>
      <c r="B12" s="20" t="s">
        <v>1222</v>
      </c>
      <c r="C12" s="40" t="s">
        <v>279</v>
      </c>
      <c r="D12" s="40"/>
      <c r="E12" s="210"/>
      <c r="F12" s="5"/>
      <c r="G12" s="6">
        <f>G13</f>
        <v>25</v>
      </c>
    </row>
    <row r="13" spans="1:7" s="221" customFormat="1" ht="31.5" x14ac:dyDescent="0.25">
      <c r="A13" s="45" t="s">
        <v>481</v>
      </c>
      <c r="B13" s="20" t="s">
        <v>1222</v>
      </c>
      <c r="C13" s="40" t="s">
        <v>279</v>
      </c>
      <c r="D13" s="40" t="s">
        <v>279</v>
      </c>
      <c r="E13" s="210"/>
      <c r="F13" s="5"/>
      <c r="G13" s="6">
        <f>G14</f>
        <v>25</v>
      </c>
    </row>
    <row r="14" spans="1:7" ht="31.5" x14ac:dyDescent="0.25">
      <c r="A14" s="29" t="s">
        <v>263</v>
      </c>
      <c r="B14" s="20" t="s">
        <v>1222</v>
      </c>
      <c r="C14" s="40" t="s">
        <v>279</v>
      </c>
      <c r="D14" s="40" t="s">
        <v>279</v>
      </c>
      <c r="E14" s="40" t="s">
        <v>264</v>
      </c>
      <c r="F14" s="5"/>
      <c r="G14" s="6">
        <f>G15</f>
        <v>25</v>
      </c>
    </row>
    <row r="15" spans="1:7" ht="39.200000000000003" customHeight="1" x14ac:dyDescent="0.25">
      <c r="A15" s="29" t="s">
        <v>363</v>
      </c>
      <c r="B15" s="20" t="s">
        <v>1222</v>
      </c>
      <c r="C15" s="40" t="s">
        <v>279</v>
      </c>
      <c r="D15" s="40" t="s">
        <v>279</v>
      </c>
      <c r="E15" s="40" t="s">
        <v>364</v>
      </c>
      <c r="F15" s="5"/>
      <c r="G15" s="6">
        <f>G16</f>
        <v>25</v>
      </c>
    </row>
    <row r="16" spans="1:7" s="221" customFormat="1" ht="66.2" customHeight="1" x14ac:dyDescent="0.25">
      <c r="A16" s="45" t="s">
        <v>673</v>
      </c>
      <c r="B16" s="20" t="s">
        <v>1222</v>
      </c>
      <c r="C16" s="40" t="s">
        <v>279</v>
      </c>
      <c r="D16" s="40" t="s">
        <v>279</v>
      </c>
      <c r="E16" s="40" t="s">
        <v>364</v>
      </c>
      <c r="F16" s="5">
        <v>903</v>
      </c>
      <c r="G16" s="6">
        <f>'Пр.4 ведом.20'!G336</f>
        <v>25</v>
      </c>
    </row>
    <row r="17" spans="1:7" s="221" customFormat="1" ht="42.75" customHeight="1" x14ac:dyDescent="0.25">
      <c r="A17" s="25" t="s">
        <v>1203</v>
      </c>
      <c r="B17" s="20" t="s">
        <v>977</v>
      </c>
      <c r="C17" s="40"/>
      <c r="D17" s="40"/>
      <c r="E17" s="40"/>
      <c r="F17" s="5"/>
      <c r="G17" s="6">
        <f>G18</f>
        <v>420</v>
      </c>
    </row>
    <row r="18" spans="1:7" s="221" customFormat="1" ht="20.25" customHeight="1" x14ac:dyDescent="0.25">
      <c r="A18" s="25" t="s">
        <v>1281</v>
      </c>
      <c r="B18" s="20" t="s">
        <v>977</v>
      </c>
      <c r="C18" s="40" t="s">
        <v>259</v>
      </c>
      <c r="D18" s="40"/>
      <c r="E18" s="40"/>
      <c r="F18" s="5"/>
      <c r="G18" s="6">
        <f>G19</f>
        <v>420</v>
      </c>
    </row>
    <row r="19" spans="1:7" s="221" customFormat="1" ht="37.5" customHeight="1" x14ac:dyDescent="0.25">
      <c r="A19" s="29" t="s">
        <v>267</v>
      </c>
      <c r="B19" s="20" t="s">
        <v>977</v>
      </c>
      <c r="C19" s="40" t="s">
        <v>259</v>
      </c>
      <c r="D19" s="40" t="s">
        <v>230</v>
      </c>
      <c r="E19" s="40"/>
      <c r="F19" s="5"/>
      <c r="G19" s="6">
        <f>G20</f>
        <v>420</v>
      </c>
    </row>
    <row r="20" spans="1:7" s="221" customFormat="1" ht="33.75" customHeight="1" x14ac:dyDescent="0.25">
      <c r="A20" s="25" t="s">
        <v>263</v>
      </c>
      <c r="B20" s="20" t="s">
        <v>977</v>
      </c>
      <c r="C20" s="40" t="s">
        <v>259</v>
      </c>
      <c r="D20" s="40" t="s">
        <v>230</v>
      </c>
      <c r="E20" s="40" t="s">
        <v>264</v>
      </c>
      <c r="F20" s="5"/>
      <c r="G20" s="6">
        <f>G21</f>
        <v>420</v>
      </c>
    </row>
    <row r="21" spans="1:7" s="221" customFormat="1" ht="37.5" customHeight="1" x14ac:dyDescent="0.25">
      <c r="A21" s="25" t="s">
        <v>363</v>
      </c>
      <c r="B21" s="20" t="s">
        <v>977</v>
      </c>
      <c r="C21" s="40" t="s">
        <v>259</v>
      </c>
      <c r="D21" s="40" t="s">
        <v>230</v>
      </c>
      <c r="E21" s="40" t="s">
        <v>364</v>
      </c>
      <c r="F21" s="5"/>
      <c r="G21" s="6">
        <f>G22</f>
        <v>420</v>
      </c>
    </row>
    <row r="22" spans="1:7" s="221" customFormat="1" ht="66.2" customHeight="1" x14ac:dyDescent="0.25">
      <c r="A22" s="45" t="s">
        <v>673</v>
      </c>
      <c r="B22" s="20" t="s">
        <v>977</v>
      </c>
      <c r="C22" s="40" t="s">
        <v>259</v>
      </c>
      <c r="D22" s="40" t="s">
        <v>230</v>
      </c>
      <c r="E22" s="40" t="s">
        <v>364</v>
      </c>
      <c r="F22" s="5">
        <v>903</v>
      </c>
      <c r="G22" s="6">
        <f>'Пр.4 ведом.20'!G455</f>
        <v>420</v>
      </c>
    </row>
    <row r="23" spans="1:7" s="221" customFormat="1" ht="91.5" customHeight="1" x14ac:dyDescent="0.25">
      <c r="A23" s="99" t="s">
        <v>1206</v>
      </c>
      <c r="B23" s="20" t="s">
        <v>980</v>
      </c>
      <c r="C23" s="40"/>
      <c r="D23" s="40"/>
      <c r="E23" s="40"/>
      <c r="F23" s="5"/>
      <c r="G23" s="6">
        <f>G24</f>
        <v>630</v>
      </c>
    </row>
    <row r="24" spans="1:7" ht="15.75" x14ac:dyDescent="0.25">
      <c r="A24" s="80" t="s">
        <v>258</v>
      </c>
      <c r="B24" s="20" t="s">
        <v>980</v>
      </c>
      <c r="C24" s="9" t="s">
        <v>259</v>
      </c>
      <c r="D24" s="9"/>
      <c r="E24" s="9"/>
      <c r="F24" s="9"/>
      <c r="G24" s="10">
        <f>G25</f>
        <v>630</v>
      </c>
    </row>
    <row r="25" spans="1:7" ht="31.5" x14ac:dyDescent="0.25">
      <c r="A25" s="29" t="s">
        <v>267</v>
      </c>
      <c r="B25" s="20" t="s">
        <v>980</v>
      </c>
      <c r="C25" s="40" t="s">
        <v>259</v>
      </c>
      <c r="D25" s="40" t="s">
        <v>230</v>
      </c>
      <c r="E25" s="40"/>
      <c r="F25" s="5"/>
      <c r="G25" s="6">
        <f>G26</f>
        <v>630</v>
      </c>
    </row>
    <row r="26" spans="1:7" ht="31.5" x14ac:dyDescent="0.25">
      <c r="A26" s="29" t="s">
        <v>263</v>
      </c>
      <c r="B26" s="20" t="s">
        <v>980</v>
      </c>
      <c r="C26" s="40" t="s">
        <v>259</v>
      </c>
      <c r="D26" s="40" t="s">
        <v>230</v>
      </c>
      <c r="E26" s="40" t="s">
        <v>264</v>
      </c>
      <c r="F26" s="5"/>
      <c r="G26" s="6">
        <f>G27</f>
        <v>630</v>
      </c>
    </row>
    <row r="27" spans="1:7" ht="47.25" x14ac:dyDescent="0.25">
      <c r="A27" s="29" t="s">
        <v>363</v>
      </c>
      <c r="B27" s="20" t="s">
        <v>980</v>
      </c>
      <c r="C27" s="40" t="s">
        <v>259</v>
      </c>
      <c r="D27" s="40" t="s">
        <v>230</v>
      </c>
      <c r="E27" s="81" t="s">
        <v>364</v>
      </c>
      <c r="F27" s="5"/>
      <c r="G27" s="6">
        <f>G28</f>
        <v>630</v>
      </c>
    </row>
    <row r="28" spans="1:7" s="221" customFormat="1" ht="78.75" x14ac:dyDescent="0.25">
      <c r="A28" s="45" t="s">
        <v>673</v>
      </c>
      <c r="B28" s="20" t="s">
        <v>980</v>
      </c>
      <c r="C28" s="40" t="s">
        <v>259</v>
      </c>
      <c r="D28" s="40" t="s">
        <v>230</v>
      </c>
      <c r="E28" s="81" t="s">
        <v>364</v>
      </c>
      <c r="F28" s="5">
        <v>903</v>
      </c>
      <c r="G28" s="6">
        <f>'Пр.4 ведом.20'!G460</f>
        <v>630</v>
      </c>
    </row>
    <row r="29" spans="1:7" ht="31.5" x14ac:dyDescent="0.25">
      <c r="A29" s="25" t="s">
        <v>1147</v>
      </c>
      <c r="B29" s="20" t="s">
        <v>982</v>
      </c>
      <c r="C29" s="40"/>
      <c r="D29" s="40"/>
      <c r="E29" s="40"/>
      <c r="F29" s="5"/>
      <c r="G29" s="6">
        <f>G30</f>
        <v>210</v>
      </c>
    </row>
    <row r="30" spans="1:7" s="221" customFormat="1" ht="15.75" x14ac:dyDescent="0.25">
      <c r="A30" s="80" t="s">
        <v>258</v>
      </c>
      <c r="B30" s="20" t="s">
        <v>982</v>
      </c>
      <c r="C30" s="40" t="s">
        <v>259</v>
      </c>
      <c r="D30" s="40"/>
      <c r="E30" s="40"/>
      <c r="F30" s="5"/>
      <c r="G30" s="6">
        <f>G31</f>
        <v>210</v>
      </c>
    </row>
    <row r="31" spans="1:7" ht="31.5" x14ac:dyDescent="0.25">
      <c r="A31" s="29" t="s">
        <v>267</v>
      </c>
      <c r="B31" s="20" t="s">
        <v>982</v>
      </c>
      <c r="C31" s="40" t="s">
        <v>259</v>
      </c>
      <c r="D31" s="40" t="s">
        <v>230</v>
      </c>
      <c r="E31" s="40"/>
      <c r="F31" s="5"/>
      <c r="G31" s="6">
        <f>G32</f>
        <v>210</v>
      </c>
    </row>
    <row r="32" spans="1:7" ht="31.5" x14ac:dyDescent="0.25">
      <c r="A32" s="29" t="s">
        <v>263</v>
      </c>
      <c r="B32" s="20" t="s">
        <v>982</v>
      </c>
      <c r="C32" s="40" t="s">
        <v>259</v>
      </c>
      <c r="D32" s="40" t="s">
        <v>230</v>
      </c>
      <c r="E32" s="40" t="s">
        <v>264</v>
      </c>
      <c r="F32" s="5"/>
      <c r="G32" s="6">
        <f>G33</f>
        <v>210</v>
      </c>
    </row>
    <row r="33" spans="1:7" ht="47.25" x14ac:dyDescent="0.25">
      <c r="A33" s="29" t="s">
        <v>363</v>
      </c>
      <c r="B33" s="20" t="s">
        <v>982</v>
      </c>
      <c r="C33" s="40" t="s">
        <v>259</v>
      </c>
      <c r="D33" s="40" t="s">
        <v>230</v>
      </c>
      <c r="E33" s="40" t="s">
        <v>364</v>
      </c>
      <c r="F33" s="5"/>
      <c r="G33" s="6">
        <f>G34</f>
        <v>210</v>
      </c>
    </row>
    <row r="34" spans="1:7" s="221" customFormat="1" ht="78.75" x14ac:dyDescent="0.25">
      <c r="A34" s="45" t="s">
        <v>673</v>
      </c>
      <c r="B34" s="20" t="s">
        <v>982</v>
      </c>
      <c r="C34" s="40" t="s">
        <v>259</v>
      </c>
      <c r="D34" s="40" t="s">
        <v>230</v>
      </c>
      <c r="E34" s="40" t="s">
        <v>364</v>
      </c>
      <c r="F34" s="5">
        <v>903</v>
      </c>
      <c r="G34" s="6">
        <f>'Пр.4 ведом.20'!G466</f>
        <v>210</v>
      </c>
    </row>
    <row r="35" spans="1:7" s="221" customFormat="1" ht="63" x14ac:dyDescent="0.25">
      <c r="A35" s="25" t="s">
        <v>1207</v>
      </c>
      <c r="B35" s="20" t="s">
        <v>983</v>
      </c>
      <c r="C35" s="40"/>
      <c r="D35" s="40"/>
      <c r="E35" s="40"/>
      <c r="F35" s="5"/>
      <c r="G35" s="6">
        <f>G36</f>
        <v>250</v>
      </c>
    </row>
    <row r="36" spans="1:7" s="221" customFormat="1" ht="15.75" x14ac:dyDescent="0.25">
      <c r="A36" s="80" t="s">
        <v>258</v>
      </c>
      <c r="B36" s="20" t="s">
        <v>983</v>
      </c>
      <c r="C36" s="40" t="s">
        <v>259</v>
      </c>
      <c r="D36" s="40"/>
      <c r="E36" s="40"/>
      <c r="F36" s="5"/>
      <c r="G36" s="6">
        <f>G37</f>
        <v>250</v>
      </c>
    </row>
    <row r="37" spans="1:7" ht="31.5" x14ac:dyDescent="0.25">
      <c r="A37" s="29" t="s">
        <v>267</v>
      </c>
      <c r="B37" s="20" t="s">
        <v>983</v>
      </c>
      <c r="C37" s="40" t="s">
        <v>259</v>
      </c>
      <c r="D37" s="40" t="s">
        <v>230</v>
      </c>
      <c r="E37" s="40"/>
      <c r="F37" s="5">
        <v>903</v>
      </c>
      <c r="G37" s="6">
        <f>G38</f>
        <v>250</v>
      </c>
    </row>
    <row r="38" spans="1:7" ht="31.5" x14ac:dyDescent="0.25">
      <c r="A38" s="29" t="s">
        <v>263</v>
      </c>
      <c r="B38" s="20" t="s">
        <v>983</v>
      </c>
      <c r="C38" s="40" t="s">
        <v>259</v>
      </c>
      <c r="D38" s="40" t="s">
        <v>230</v>
      </c>
      <c r="E38" s="40" t="s">
        <v>264</v>
      </c>
      <c r="F38" s="5">
        <v>903</v>
      </c>
      <c r="G38" s="6">
        <f>G39</f>
        <v>250</v>
      </c>
    </row>
    <row r="39" spans="1:7" ht="47.25" x14ac:dyDescent="0.25">
      <c r="A39" s="29" t="s">
        <v>363</v>
      </c>
      <c r="B39" s="20" t="s">
        <v>983</v>
      </c>
      <c r="C39" s="40" t="s">
        <v>259</v>
      </c>
      <c r="D39" s="40" t="s">
        <v>230</v>
      </c>
      <c r="E39" s="40" t="s">
        <v>364</v>
      </c>
      <c r="F39" s="5">
        <v>903</v>
      </c>
      <c r="G39" s="6">
        <f>'Пр.4 ведом.20'!G471</f>
        <v>250</v>
      </c>
    </row>
    <row r="40" spans="1:7" s="221" customFormat="1" ht="78.75" x14ac:dyDescent="0.25">
      <c r="A40" s="45" t="s">
        <v>673</v>
      </c>
      <c r="B40" s="20" t="s">
        <v>983</v>
      </c>
      <c r="C40" s="40" t="s">
        <v>259</v>
      </c>
      <c r="D40" s="40" t="s">
        <v>230</v>
      </c>
      <c r="E40" s="40" t="s">
        <v>364</v>
      </c>
      <c r="F40" s="5">
        <v>903</v>
      </c>
      <c r="G40" s="6">
        <f>'Пр.4 ведом.20'!G471</f>
        <v>250</v>
      </c>
    </row>
    <row r="41" spans="1:7" ht="15.75" x14ac:dyDescent="0.25">
      <c r="A41" s="41" t="s">
        <v>672</v>
      </c>
      <c r="B41" s="272"/>
      <c r="C41" s="272"/>
      <c r="D41" s="272"/>
      <c r="E41" s="272"/>
      <c r="F41" s="41"/>
      <c r="G41" s="59">
        <f>G11+G17+G23+G29+G35</f>
        <v>1535</v>
      </c>
    </row>
  </sheetData>
  <mergeCells count="2">
    <mergeCell ref="A6:G7"/>
    <mergeCell ref="A1:C2"/>
  </mergeCells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25" workbookViewId="0">
      <selection activeCell="G9" sqref="G9:H39"/>
    </sheetView>
  </sheetViews>
  <sheetFormatPr defaultRowHeight="15" x14ac:dyDescent="0.25"/>
  <cols>
    <col min="1" max="1" width="40.7109375" customWidth="1"/>
    <col min="2" max="2" width="16.85546875" customWidth="1"/>
    <col min="3" max="3" width="7.28515625" customWidth="1"/>
    <col min="4" max="4" width="7.7109375" customWidth="1"/>
    <col min="6" max="6" width="8.28515625" customWidth="1"/>
    <col min="7" max="7" width="10.7109375" customWidth="1"/>
    <col min="8" max="8" width="11" customWidth="1"/>
  </cols>
  <sheetData>
    <row r="1" spans="1:9" ht="15.75" x14ac:dyDescent="0.25">
      <c r="A1" s="420"/>
      <c r="B1" s="420"/>
      <c r="C1" s="420"/>
      <c r="D1" s="62"/>
      <c r="E1" s="62"/>
      <c r="F1" s="222"/>
      <c r="G1" s="222"/>
      <c r="H1" s="261" t="s">
        <v>1282</v>
      </c>
      <c r="I1" s="222"/>
    </row>
    <row r="2" spans="1:9" ht="15.75" x14ac:dyDescent="0.25">
      <c r="A2" s="420"/>
      <c r="B2" s="420"/>
      <c r="C2" s="420"/>
      <c r="D2" s="62"/>
      <c r="E2" s="62"/>
      <c r="F2" s="222"/>
      <c r="G2" s="222"/>
      <c r="H2" s="261" t="s">
        <v>0</v>
      </c>
      <c r="I2" s="222"/>
    </row>
    <row r="3" spans="1:9" ht="15.75" x14ac:dyDescent="0.25">
      <c r="A3" s="62"/>
      <c r="B3" s="62"/>
      <c r="C3" s="62"/>
      <c r="D3" s="62"/>
      <c r="E3" s="62"/>
      <c r="F3" s="62"/>
      <c r="G3" s="62"/>
      <c r="H3" s="130" t="s">
        <v>1471</v>
      </c>
      <c r="I3" s="222"/>
    </row>
    <row r="4" spans="1:9" s="221" customFormat="1" ht="15.75" x14ac:dyDescent="0.25">
      <c r="A4" s="62"/>
      <c r="B4" s="62"/>
      <c r="C4" s="62"/>
      <c r="D4" s="62"/>
      <c r="E4" s="62"/>
      <c r="F4" s="62"/>
      <c r="G4" s="62"/>
      <c r="H4" s="130"/>
      <c r="I4" s="222"/>
    </row>
    <row r="5" spans="1:9" ht="39.200000000000003" customHeight="1" x14ac:dyDescent="0.25">
      <c r="A5" s="411" t="s">
        <v>1359</v>
      </c>
      <c r="B5" s="411"/>
      <c r="C5" s="411"/>
      <c r="D5" s="411"/>
      <c r="E5" s="411"/>
      <c r="F5" s="411"/>
      <c r="G5" s="411"/>
      <c r="H5" s="411"/>
      <c r="I5" s="222"/>
    </row>
    <row r="6" spans="1:9" ht="16.5" x14ac:dyDescent="0.25">
      <c r="A6" s="271"/>
      <c r="B6" s="271"/>
      <c r="C6" s="271"/>
      <c r="D6" s="271"/>
      <c r="E6" s="271"/>
      <c r="F6" s="271"/>
      <c r="G6" s="271"/>
      <c r="H6" s="222"/>
      <c r="I6" s="222"/>
    </row>
    <row r="7" spans="1:9" ht="15.75" x14ac:dyDescent="0.25">
      <c r="A7" s="62"/>
      <c r="B7" s="62"/>
      <c r="C7" s="62"/>
      <c r="D7" s="62"/>
      <c r="E7" s="62"/>
      <c r="F7" s="64"/>
      <c r="G7" s="222"/>
      <c r="H7" s="65" t="s">
        <v>1</v>
      </c>
      <c r="I7" s="222"/>
    </row>
    <row r="8" spans="1:9" ht="47.25" x14ac:dyDescent="0.25">
      <c r="A8" s="66" t="s">
        <v>607</v>
      </c>
      <c r="B8" s="66" t="s">
        <v>1295</v>
      </c>
      <c r="C8" s="66" t="s">
        <v>1293</v>
      </c>
      <c r="D8" s="66" t="s">
        <v>128</v>
      </c>
      <c r="E8" s="66" t="s">
        <v>1294</v>
      </c>
      <c r="F8" s="66" t="s">
        <v>126</v>
      </c>
      <c r="G8" s="66" t="s">
        <v>1193</v>
      </c>
      <c r="H8" s="66" t="s">
        <v>1194</v>
      </c>
      <c r="I8" s="222"/>
    </row>
    <row r="9" spans="1:9" ht="68.25" customHeight="1" x14ac:dyDescent="0.25">
      <c r="A9" s="264" t="s">
        <v>1201</v>
      </c>
      <c r="B9" s="20" t="s">
        <v>1222</v>
      </c>
      <c r="C9" s="40"/>
      <c r="D9" s="40"/>
      <c r="E9" s="40"/>
      <c r="F9" s="5"/>
      <c r="G9" s="6">
        <f t="shared" ref="G9:H13" si="0">G10</f>
        <v>25</v>
      </c>
      <c r="H9" s="6">
        <f t="shared" si="0"/>
        <v>25</v>
      </c>
      <c r="I9" s="222"/>
    </row>
    <row r="10" spans="1:9" ht="15.75" x14ac:dyDescent="0.25">
      <c r="A10" s="45" t="s">
        <v>278</v>
      </c>
      <c r="B10" s="20" t="s">
        <v>1222</v>
      </c>
      <c r="C10" s="40" t="s">
        <v>279</v>
      </c>
      <c r="D10" s="40"/>
      <c r="E10" s="210"/>
      <c r="F10" s="5"/>
      <c r="G10" s="6">
        <f t="shared" si="0"/>
        <v>25</v>
      </c>
      <c r="H10" s="6">
        <f t="shared" si="0"/>
        <v>25</v>
      </c>
      <c r="I10" s="222"/>
    </row>
    <row r="11" spans="1:9" ht="31.5" x14ac:dyDescent="0.25">
      <c r="A11" s="45" t="s">
        <v>481</v>
      </c>
      <c r="B11" s="20" t="s">
        <v>1222</v>
      </c>
      <c r="C11" s="40" t="s">
        <v>279</v>
      </c>
      <c r="D11" s="40" t="s">
        <v>279</v>
      </c>
      <c r="E11" s="210"/>
      <c r="F11" s="5"/>
      <c r="G11" s="6">
        <f t="shared" si="0"/>
        <v>25</v>
      </c>
      <c r="H11" s="6">
        <f t="shared" si="0"/>
        <v>25</v>
      </c>
      <c r="I11" s="222"/>
    </row>
    <row r="12" spans="1:9" ht="31.5" x14ac:dyDescent="0.25">
      <c r="A12" s="29" t="s">
        <v>263</v>
      </c>
      <c r="B12" s="20" t="s">
        <v>1222</v>
      </c>
      <c r="C12" s="40" t="s">
        <v>279</v>
      </c>
      <c r="D12" s="40" t="s">
        <v>279</v>
      </c>
      <c r="E12" s="40" t="s">
        <v>264</v>
      </c>
      <c r="F12" s="5"/>
      <c r="G12" s="6">
        <f t="shared" si="0"/>
        <v>25</v>
      </c>
      <c r="H12" s="6">
        <f t="shared" si="0"/>
        <v>25</v>
      </c>
      <c r="I12" s="222"/>
    </row>
    <row r="13" spans="1:9" ht="31.5" x14ac:dyDescent="0.25">
      <c r="A13" s="29" t="s">
        <v>363</v>
      </c>
      <c r="B13" s="20" t="s">
        <v>1222</v>
      </c>
      <c r="C13" s="40" t="s">
        <v>279</v>
      </c>
      <c r="D13" s="40" t="s">
        <v>279</v>
      </c>
      <c r="E13" s="40" t="s">
        <v>364</v>
      </c>
      <c r="F13" s="5"/>
      <c r="G13" s="6">
        <f t="shared" si="0"/>
        <v>25</v>
      </c>
      <c r="H13" s="6">
        <f t="shared" si="0"/>
        <v>25</v>
      </c>
      <c r="I13" s="222"/>
    </row>
    <row r="14" spans="1:9" ht="47.25" x14ac:dyDescent="0.25">
      <c r="A14" s="45" t="s">
        <v>673</v>
      </c>
      <c r="B14" s="20" t="s">
        <v>1222</v>
      </c>
      <c r="C14" s="40" t="s">
        <v>279</v>
      </c>
      <c r="D14" s="40" t="s">
        <v>279</v>
      </c>
      <c r="E14" s="40" t="s">
        <v>364</v>
      </c>
      <c r="F14" s="5">
        <v>903</v>
      </c>
      <c r="G14" s="6">
        <f>'пр.4.1.ведом.21-22'!G340</f>
        <v>25</v>
      </c>
      <c r="H14" s="6">
        <f>'пр.4.1.ведом.21-22'!H340</f>
        <v>25</v>
      </c>
      <c r="I14" s="222"/>
    </row>
    <row r="15" spans="1:9" ht="31.5" x14ac:dyDescent="0.25">
      <c r="A15" s="25" t="s">
        <v>1203</v>
      </c>
      <c r="B15" s="20" t="s">
        <v>977</v>
      </c>
      <c r="C15" s="40"/>
      <c r="D15" s="40"/>
      <c r="E15" s="40"/>
      <c r="F15" s="5"/>
      <c r="G15" s="6">
        <f t="shared" ref="G15:H19" si="1">G16</f>
        <v>420</v>
      </c>
      <c r="H15" s="6">
        <f t="shared" si="1"/>
        <v>420</v>
      </c>
      <c r="I15" s="222"/>
    </row>
    <row r="16" spans="1:9" ht="15.75" x14ac:dyDescent="0.25">
      <c r="A16" s="25" t="s">
        <v>1281</v>
      </c>
      <c r="B16" s="20" t="s">
        <v>977</v>
      </c>
      <c r="C16" s="40" t="s">
        <v>259</v>
      </c>
      <c r="D16" s="40"/>
      <c r="E16" s="40"/>
      <c r="F16" s="5"/>
      <c r="G16" s="6">
        <f t="shared" si="1"/>
        <v>420</v>
      </c>
      <c r="H16" s="6">
        <f t="shared" si="1"/>
        <v>420</v>
      </c>
      <c r="I16" s="222"/>
    </row>
    <row r="17" spans="1:9" ht="15.75" x14ac:dyDescent="0.25">
      <c r="A17" s="29" t="s">
        <v>267</v>
      </c>
      <c r="B17" s="20" t="s">
        <v>977</v>
      </c>
      <c r="C17" s="40" t="s">
        <v>259</v>
      </c>
      <c r="D17" s="40" t="s">
        <v>230</v>
      </c>
      <c r="E17" s="40"/>
      <c r="F17" s="5"/>
      <c r="G17" s="6">
        <f t="shared" si="1"/>
        <v>420</v>
      </c>
      <c r="H17" s="6">
        <f t="shared" si="1"/>
        <v>420</v>
      </c>
      <c r="I17" s="222"/>
    </row>
    <row r="18" spans="1:9" ht="31.5" x14ac:dyDescent="0.25">
      <c r="A18" s="25" t="s">
        <v>263</v>
      </c>
      <c r="B18" s="20" t="s">
        <v>977</v>
      </c>
      <c r="C18" s="40" t="s">
        <v>259</v>
      </c>
      <c r="D18" s="40" t="s">
        <v>230</v>
      </c>
      <c r="E18" s="40" t="s">
        <v>264</v>
      </c>
      <c r="F18" s="5"/>
      <c r="G18" s="6">
        <f t="shared" si="1"/>
        <v>420</v>
      </c>
      <c r="H18" s="6">
        <f t="shared" si="1"/>
        <v>420</v>
      </c>
      <c r="I18" s="222"/>
    </row>
    <row r="19" spans="1:9" ht="31.5" x14ac:dyDescent="0.25">
      <c r="A19" s="25" t="s">
        <v>363</v>
      </c>
      <c r="B19" s="20" t="s">
        <v>977</v>
      </c>
      <c r="C19" s="40" t="s">
        <v>259</v>
      </c>
      <c r="D19" s="40" t="s">
        <v>230</v>
      </c>
      <c r="E19" s="40" t="s">
        <v>364</v>
      </c>
      <c r="F19" s="5"/>
      <c r="G19" s="6">
        <f t="shared" si="1"/>
        <v>420</v>
      </c>
      <c r="H19" s="6">
        <f t="shared" si="1"/>
        <v>420</v>
      </c>
      <c r="I19" s="222"/>
    </row>
    <row r="20" spans="1:9" ht="47.25" x14ac:dyDescent="0.25">
      <c r="A20" s="45" t="s">
        <v>673</v>
      </c>
      <c r="B20" s="20" t="s">
        <v>977</v>
      </c>
      <c r="C20" s="40" t="s">
        <v>259</v>
      </c>
      <c r="D20" s="40" t="s">
        <v>230</v>
      </c>
      <c r="E20" s="40" t="s">
        <v>364</v>
      </c>
      <c r="F20" s="5">
        <v>903</v>
      </c>
      <c r="G20" s="6">
        <f>'пр.4.1.ведом.21-22'!G456</f>
        <v>420</v>
      </c>
      <c r="H20" s="6">
        <f>'пр.4.1.ведом.21-22'!H456</f>
        <v>420</v>
      </c>
      <c r="I20" s="222"/>
    </row>
    <row r="21" spans="1:9" ht="63" x14ac:dyDescent="0.25">
      <c r="A21" s="99" t="s">
        <v>1206</v>
      </c>
      <c r="B21" s="20" t="s">
        <v>980</v>
      </c>
      <c r="C21" s="40"/>
      <c r="D21" s="40"/>
      <c r="E21" s="40"/>
      <c r="F21" s="5"/>
      <c r="G21" s="6">
        <f t="shared" ref="G21:H25" si="2">G22</f>
        <v>630</v>
      </c>
      <c r="H21" s="6">
        <f t="shared" si="2"/>
        <v>630</v>
      </c>
      <c r="I21" s="222"/>
    </row>
    <row r="22" spans="1:9" ht="15.75" x14ac:dyDescent="0.25">
      <c r="A22" s="80" t="s">
        <v>258</v>
      </c>
      <c r="B22" s="20" t="s">
        <v>980</v>
      </c>
      <c r="C22" s="9" t="s">
        <v>259</v>
      </c>
      <c r="D22" s="9"/>
      <c r="E22" s="9"/>
      <c r="F22" s="9"/>
      <c r="G22" s="10">
        <f t="shared" si="2"/>
        <v>630</v>
      </c>
      <c r="H22" s="10">
        <f t="shared" si="2"/>
        <v>630</v>
      </c>
      <c r="I22" s="222"/>
    </row>
    <row r="23" spans="1:9" ht="15.75" x14ac:dyDescent="0.25">
      <c r="A23" s="29" t="s">
        <v>267</v>
      </c>
      <c r="B23" s="20" t="s">
        <v>980</v>
      </c>
      <c r="C23" s="40" t="s">
        <v>259</v>
      </c>
      <c r="D23" s="40" t="s">
        <v>230</v>
      </c>
      <c r="E23" s="40"/>
      <c r="F23" s="5"/>
      <c r="G23" s="6">
        <f t="shared" si="2"/>
        <v>630</v>
      </c>
      <c r="H23" s="6">
        <f t="shared" si="2"/>
        <v>630</v>
      </c>
      <c r="I23" s="222"/>
    </row>
    <row r="24" spans="1:9" ht="31.5" x14ac:dyDescent="0.25">
      <c r="A24" s="29" t="s">
        <v>263</v>
      </c>
      <c r="B24" s="20" t="s">
        <v>980</v>
      </c>
      <c r="C24" s="40" t="s">
        <v>259</v>
      </c>
      <c r="D24" s="40" t="s">
        <v>230</v>
      </c>
      <c r="E24" s="40" t="s">
        <v>264</v>
      </c>
      <c r="F24" s="5"/>
      <c r="G24" s="6">
        <f t="shared" si="2"/>
        <v>630</v>
      </c>
      <c r="H24" s="6">
        <f t="shared" si="2"/>
        <v>630</v>
      </c>
      <c r="I24" s="222"/>
    </row>
    <row r="25" spans="1:9" ht="31.5" x14ac:dyDescent="0.25">
      <c r="A25" s="29" t="s">
        <v>363</v>
      </c>
      <c r="B25" s="20" t="s">
        <v>980</v>
      </c>
      <c r="C25" s="40" t="s">
        <v>259</v>
      </c>
      <c r="D25" s="40" t="s">
        <v>230</v>
      </c>
      <c r="E25" s="81" t="s">
        <v>364</v>
      </c>
      <c r="F25" s="5"/>
      <c r="G25" s="6">
        <f t="shared" si="2"/>
        <v>630</v>
      </c>
      <c r="H25" s="6">
        <f t="shared" si="2"/>
        <v>630</v>
      </c>
      <c r="I25" s="222"/>
    </row>
    <row r="26" spans="1:9" ht="47.25" x14ac:dyDescent="0.25">
      <c r="A26" s="45" t="s">
        <v>673</v>
      </c>
      <c r="B26" s="20" t="s">
        <v>980</v>
      </c>
      <c r="C26" s="40" t="s">
        <v>259</v>
      </c>
      <c r="D26" s="40" t="s">
        <v>230</v>
      </c>
      <c r="E26" s="81" t="s">
        <v>364</v>
      </c>
      <c r="F26" s="5">
        <v>903</v>
      </c>
      <c r="G26" s="6">
        <f>'пр.4.1.ведом.21-22'!G461</f>
        <v>630</v>
      </c>
      <c r="H26" s="6">
        <f>'пр.4.1.ведом.21-22'!H461</f>
        <v>630</v>
      </c>
      <c r="I26" s="222"/>
    </row>
    <row r="27" spans="1:9" ht="31.5" x14ac:dyDescent="0.25">
      <c r="A27" s="25" t="s">
        <v>1147</v>
      </c>
      <c r="B27" s="20" t="s">
        <v>982</v>
      </c>
      <c r="C27" s="40"/>
      <c r="D27" s="40"/>
      <c r="E27" s="40"/>
      <c r="F27" s="5"/>
      <c r="G27" s="6">
        <f t="shared" ref="G27:H31" si="3">G28</f>
        <v>210</v>
      </c>
      <c r="H27" s="6">
        <f t="shared" si="3"/>
        <v>210</v>
      </c>
      <c r="I27" s="222"/>
    </row>
    <row r="28" spans="1:9" ht="15.75" x14ac:dyDescent="0.25">
      <c r="A28" s="80" t="s">
        <v>258</v>
      </c>
      <c r="B28" s="20" t="s">
        <v>982</v>
      </c>
      <c r="C28" s="40" t="s">
        <v>259</v>
      </c>
      <c r="D28" s="40"/>
      <c r="E28" s="40"/>
      <c r="F28" s="5"/>
      <c r="G28" s="6">
        <f t="shared" si="3"/>
        <v>210</v>
      </c>
      <c r="H28" s="6">
        <f t="shared" si="3"/>
        <v>210</v>
      </c>
      <c r="I28" s="222"/>
    </row>
    <row r="29" spans="1:9" ht="15.75" x14ac:dyDescent="0.25">
      <c r="A29" s="29" t="s">
        <v>267</v>
      </c>
      <c r="B29" s="20" t="s">
        <v>982</v>
      </c>
      <c r="C29" s="40" t="s">
        <v>259</v>
      </c>
      <c r="D29" s="40" t="s">
        <v>230</v>
      </c>
      <c r="E29" s="40"/>
      <c r="F29" s="5"/>
      <c r="G29" s="6">
        <f t="shared" si="3"/>
        <v>210</v>
      </c>
      <c r="H29" s="6">
        <f t="shared" si="3"/>
        <v>210</v>
      </c>
      <c r="I29" s="222"/>
    </row>
    <row r="30" spans="1:9" ht="31.5" x14ac:dyDescent="0.25">
      <c r="A30" s="29" t="s">
        <v>263</v>
      </c>
      <c r="B30" s="20" t="s">
        <v>982</v>
      </c>
      <c r="C30" s="40" t="s">
        <v>259</v>
      </c>
      <c r="D30" s="40" t="s">
        <v>230</v>
      </c>
      <c r="E30" s="40" t="s">
        <v>264</v>
      </c>
      <c r="F30" s="5"/>
      <c r="G30" s="6">
        <f t="shared" si="3"/>
        <v>210</v>
      </c>
      <c r="H30" s="6">
        <f t="shared" si="3"/>
        <v>210</v>
      </c>
      <c r="I30" s="222"/>
    </row>
    <row r="31" spans="1:9" ht="31.5" x14ac:dyDescent="0.25">
      <c r="A31" s="29" t="s">
        <v>363</v>
      </c>
      <c r="B31" s="20" t="s">
        <v>982</v>
      </c>
      <c r="C31" s="40" t="s">
        <v>259</v>
      </c>
      <c r="D31" s="40" t="s">
        <v>230</v>
      </c>
      <c r="E31" s="40" t="s">
        <v>364</v>
      </c>
      <c r="F31" s="5"/>
      <c r="G31" s="6">
        <f t="shared" si="3"/>
        <v>210</v>
      </c>
      <c r="H31" s="6">
        <f t="shared" si="3"/>
        <v>210</v>
      </c>
      <c r="I31" s="222"/>
    </row>
    <row r="32" spans="1:9" ht="47.25" x14ac:dyDescent="0.25">
      <c r="A32" s="45" t="s">
        <v>673</v>
      </c>
      <c r="B32" s="20" t="s">
        <v>982</v>
      </c>
      <c r="C32" s="40" t="s">
        <v>259</v>
      </c>
      <c r="D32" s="40" t="s">
        <v>230</v>
      </c>
      <c r="E32" s="40" t="s">
        <v>364</v>
      </c>
      <c r="F32" s="5">
        <v>903</v>
      </c>
      <c r="G32" s="6">
        <f>'пр.4.1.ведом.21-22'!G467</f>
        <v>210</v>
      </c>
      <c r="H32" s="6">
        <f>'пр.4.1.ведом.21-22'!H467</f>
        <v>210</v>
      </c>
      <c r="I32" s="222"/>
    </row>
    <row r="33" spans="1:9" ht="63" x14ac:dyDescent="0.25">
      <c r="A33" s="25" t="s">
        <v>1207</v>
      </c>
      <c r="B33" s="20" t="s">
        <v>983</v>
      </c>
      <c r="C33" s="40"/>
      <c r="D33" s="40"/>
      <c r="E33" s="40"/>
      <c r="F33" s="5"/>
      <c r="G33" s="6">
        <f t="shared" ref="G33:H36" si="4">G34</f>
        <v>250</v>
      </c>
      <c r="H33" s="6">
        <f t="shared" si="4"/>
        <v>250</v>
      </c>
      <c r="I33" s="222"/>
    </row>
    <row r="34" spans="1:9" ht="15.75" x14ac:dyDescent="0.25">
      <c r="A34" s="80" t="s">
        <v>258</v>
      </c>
      <c r="B34" s="20" t="s">
        <v>983</v>
      </c>
      <c r="C34" s="40" t="s">
        <v>259</v>
      </c>
      <c r="D34" s="40"/>
      <c r="E34" s="40"/>
      <c r="F34" s="5"/>
      <c r="G34" s="6">
        <f t="shared" si="4"/>
        <v>250</v>
      </c>
      <c r="H34" s="6">
        <f t="shared" si="4"/>
        <v>250</v>
      </c>
      <c r="I34" s="222"/>
    </row>
    <row r="35" spans="1:9" ht="15.75" x14ac:dyDescent="0.25">
      <c r="A35" s="29" t="s">
        <v>267</v>
      </c>
      <c r="B35" s="20" t="s">
        <v>983</v>
      </c>
      <c r="C35" s="40" t="s">
        <v>259</v>
      </c>
      <c r="D35" s="40" t="s">
        <v>230</v>
      </c>
      <c r="E35" s="40"/>
      <c r="F35" s="5">
        <v>903</v>
      </c>
      <c r="G35" s="6">
        <f t="shared" si="4"/>
        <v>250</v>
      </c>
      <c r="H35" s="6">
        <f t="shared" si="4"/>
        <v>250</v>
      </c>
      <c r="I35" s="222"/>
    </row>
    <row r="36" spans="1:9" ht="31.5" x14ac:dyDescent="0.25">
      <c r="A36" s="29" t="s">
        <v>263</v>
      </c>
      <c r="B36" s="20" t="s">
        <v>983</v>
      </c>
      <c r="C36" s="40" t="s">
        <v>259</v>
      </c>
      <c r="D36" s="40" t="s">
        <v>230</v>
      </c>
      <c r="E36" s="40" t="s">
        <v>264</v>
      </c>
      <c r="F36" s="5">
        <v>903</v>
      </c>
      <c r="G36" s="6">
        <f t="shared" si="4"/>
        <v>250</v>
      </c>
      <c r="H36" s="6">
        <f t="shared" si="4"/>
        <v>250</v>
      </c>
      <c r="I36" s="222"/>
    </row>
    <row r="37" spans="1:9" ht="31.5" x14ac:dyDescent="0.25">
      <c r="A37" s="29" t="s">
        <v>363</v>
      </c>
      <c r="B37" s="20" t="s">
        <v>983</v>
      </c>
      <c r="C37" s="40" t="s">
        <v>259</v>
      </c>
      <c r="D37" s="40" t="s">
        <v>230</v>
      </c>
      <c r="E37" s="40" t="s">
        <v>364</v>
      </c>
      <c r="F37" s="5">
        <v>903</v>
      </c>
      <c r="G37" s="6">
        <f>'Пр.4 ведом.20'!H471</f>
        <v>250</v>
      </c>
      <c r="H37" s="6">
        <f>'Пр.4 ведом.20'!I471</f>
        <v>250</v>
      </c>
      <c r="I37" s="222"/>
    </row>
    <row r="38" spans="1:9" ht="47.25" x14ac:dyDescent="0.25">
      <c r="A38" s="45" t="s">
        <v>673</v>
      </c>
      <c r="B38" s="20" t="s">
        <v>983</v>
      </c>
      <c r="C38" s="40" t="s">
        <v>259</v>
      </c>
      <c r="D38" s="40" t="s">
        <v>230</v>
      </c>
      <c r="E38" s="40" t="s">
        <v>364</v>
      </c>
      <c r="F38" s="5">
        <v>903</v>
      </c>
      <c r="G38" s="6">
        <f>'пр.4.1.ведом.21-22'!G472</f>
        <v>250</v>
      </c>
      <c r="H38" s="6">
        <f>'пр.4.1.ведом.21-22'!H472</f>
        <v>250</v>
      </c>
      <c r="I38" s="222"/>
    </row>
    <row r="39" spans="1:9" ht="15.75" x14ac:dyDescent="0.25">
      <c r="A39" s="41" t="s">
        <v>672</v>
      </c>
      <c r="B39" s="272"/>
      <c r="C39" s="272"/>
      <c r="D39" s="272"/>
      <c r="E39" s="272"/>
      <c r="F39" s="41"/>
      <c r="G39" s="59">
        <f>G9+G15+G21+G27+G33</f>
        <v>1535</v>
      </c>
      <c r="H39" s="59">
        <f>H9+H15+H21+H27+H33</f>
        <v>1535</v>
      </c>
      <c r="I39" s="222"/>
    </row>
  </sheetData>
  <mergeCells count="2">
    <mergeCell ref="A1:C2"/>
    <mergeCell ref="A5:H5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view="pageBreakPreview" zoomScale="93" zoomScaleNormal="100" zoomScaleSheetLayoutView="93" workbookViewId="0">
      <selection activeCell="K15" sqref="K15"/>
    </sheetView>
  </sheetViews>
  <sheetFormatPr defaultRowHeight="15" x14ac:dyDescent="0.25"/>
  <cols>
    <col min="1" max="1" width="34" customWidth="1"/>
    <col min="2" max="2" width="51.7109375" customWidth="1"/>
    <col min="3" max="3" width="18.7109375" customWidth="1"/>
  </cols>
  <sheetData>
    <row r="1" spans="1:3" ht="15.75" x14ac:dyDescent="0.25">
      <c r="A1" s="12"/>
      <c r="B1" s="422" t="s">
        <v>1557</v>
      </c>
      <c r="C1" s="422"/>
    </row>
    <row r="2" spans="1:3" ht="15.75" x14ac:dyDescent="0.25">
      <c r="A2" s="12"/>
      <c r="B2" s="422" t="s">
        <v>1556</v>
      </c>
      <c r="C2" s="422"/>
    </row>
    <row r="3" spans="1:3" s="361" customFormat="1" ht="15.75" x14ac:dyDescent="0.25">
      <c r="A3" s="12"/>
      <c r="B3" s="422" t="s">
        <v>1555</v>
      </c>
      <c r="C3" s="422"/>
    </row>
    <row r="4" spans="1:3" ht="15.75" x14ac:dyDescent="0.25">
      <c r="A4" s="12"/>
      <c r="B4" s="12"/>
    </row>
    <row r="5" spans="1:3" ht="16.5" x14ac:dyDescent="0.25">
      <c r="A5" s="421" t="s">
        <v>674</v>
      </c>
      <c r="B5" s="421"/>
      <c r="C5" s="421"/>
    </row>
    <row r="6" spans="1:3" ht="16.5" x14ac:dyDescent="0.25">
      <c r="A6" s="421" t="s">
        <v>1283</v>
      </c>
      <c r="B6" s="421"/>
      <c r="C6" s="421"/>
    </row>
    <row r="7" spans="1:3" ht="15.75" x14ac:dyDescent="0.25">
      <c r="A7" s="82"/>
      <c r="B7" s="82"/>
    </row>
    <row r="8" spans="1:3" ht="15.75" x14ac:dyDescent="0.25">
      <c r="A8" s="12"/>
      <c r="B8" s="12"/>
      <c r="C8" s="83" t="s">
        <v>1</v>
      </c>
    </row>
    <row r="9" spans="1:3" ht="28.5" customHeight="1" x14ac:dyDescent="0.25">
      <c r="A9" s="79" t="s">
        <v>675</v>
      </c>
      <c r="B9" s="79" t="s">
        <v>676</v>
      </c>
      <c r="C9" s="180" t="s">
        <v>1192</v>
      </c>
    </row>
    <row r="10" spans="1:3" ht="33" x14ac:dyDescent="0.25">
      <c r="A10" s="84" t="s">
        <v>677</v>
      </c>
      <c r="B10" s="85" t="s">
        <v>678</v>
      </c>
      <c r="C10" s="343">
        <f>C11-C13</f>
        <v>15947.712400000077</v>
      </c>
    </row>
    <row r="11" spans="1:3" ht="31.5" x14ac:dyDescent="0.25">
      <c r="A11" s="86" t="s">
        <v>679</v>
      </c>
      <c r="B11" s="87" t="s">
        <v>680</v>
      </c>
      <c r="C11" s="344">
        <f>C12</f>
        <v>15947.712400000077</v>
      </c>
    </row>
    <row r="12" spans="1:3" ht="31.5" x14ac:dyDescent="0.25">
      <c r="A12" s="88" t="s">
        <v>681</v>
      </c>
      <c r="B12" s="89" t="s">
        <v>682</v>
      </c>
      <c r="C12" s="345">
        <f>C23*(-1)</f>
        <v>15947.712400000077</v>
      </c>
    </row>
    <row r="13" spans="1:3" ht="31.5" x14ac:dyDescent="0.25">
      <c r="A13" s="86" t="s">
        <v>683</v>
      </c>
      <c r="B13" s="87" t="s">
        <v>684</v>
      </c>
      <c r="C13" s="343">
        <f>C14</f>
        <v>0</v>
      </c>
    </row>
    <row r="14" spans="1:3" ht="31.5" x14ac:dyDescent="0.25">
      <c r="A14" s="88" t="s">
        <v>685</v>
      </c>
      <c r="B14" s="89" t="s">
        <v>686</v>
      </c>
      <c r="C14" s="345">
        <f>C12+C23</f>
        <v>0</v>
      </c>
    </row>
    <row r="15" spans="1:3" s="361" customFormat="1" ht="26.25" customHeight="1" x14ac:dyDescent="0.25">
      <c r="A15" s="86" t="s">
        <v>672</v>
      </c>
      <c r="B15" s="89"/>
      <c r="C15" s="346">
        <f>C11-C13</f>
        <v>15947.712400000077</v>
      </c>
    </row>
    <row r="16" spans="1:3" s="361" customFormat="1" ht="26.25" customHeight="1" x14ac:dyDescent="0.25">
      <c r="A16" s="107"/>
      <c r="B16" s="400"/>
      <c r="C16" s="107"/>
    </row>
    <row r="17" spans="1:4" ht="24" customHeight="1" x14ac:dyDescent="0.25">
      <c r="A17" s="397"/>
      <c r="B17" s="398"/>
      <c r="C17" s="399"/>
    </row>
    <row r="18" spans="1:4" s="361" customFormat="1" ht="15.75" customHeight="1" x14ac:dyDescent="0.25">
      <c r="A18" s="397"/>
      <c r="B18" s="398"/>
      <c r="C18" s="399"/>
    </row>
    <row r="21" spans="1:4" x14ac:dyDescent="0.25">
      <c r="B21" t="s">
        <v>687</v>
      </c>
      <c r="C21">
        <f>пр.1дох.20!C152</f>
        <v>744581.89999999991</v>
      </c>
    </row>
    <row r="22" spans="1:4" x14ac:dyDescent="0.25">
      <c r="B22" t="s">
        <v>688</v>
      </c>
      <c r="C22" s="22">
        <f>'пр.2 Рд,пр 20'!D50</f>
        <v>760529.61239999998</v>
      </c>
    </row>
    <row r="23" spans="1:4" x14ac:dyDescent="0.25">
      <c r="B23" t="s">
        <v>689</v>
      </c>
      <c r="C23" s="22">
        <f t="shared" ref="C23" si="0">C21-C22</f>
        <v>-15947.712400000077</v>
      </c>
    </row>
    <row r="25" spans="1:4" x14ac:dyDescent="0.25">
      <c r="D25" s="22"/>
    </row>
  </sheetData>
  <mergeCells count="5">
    <mergeCell ref="A5:C5"/>
    <mergeCell ref="A6:C6"/>
    <mergeCell ref="B3:C3"/>
    <mergeCell ref="B2:C2"/>
    <mergeCell ref="B1:C1"/>
  </mergeCells>
  <pageMargins left="0.82677165354330717" right="0.82677165354330717" top="0.74803149606299213" bottom="0.74803149606299213" header="0.31496062992125984" footer="0.31496062992125984"/>
  <pageSetup paperSize="9" scale="11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J20" sqref="J20"/>
    </sheetView>
  </sheetViews>
  <sheetFormatPr defaultRowHeight="15" x14ac:dyDescent="0.25"/>
  <cols>
    <col min="1" max="1" width="38.7109375" customWidth="1"/>
    <col min="2" max="2" width="41.42578125" customWidth="1"/>
    <col min="3" max="3" width="13" customWidth="1"/>
    <col min="4" max="4" width="14.85546875" customWidth="1"/>
  </cols>
  <sheetData>
    <row r="1" spans="1:4" ht="15.75" x14ac:dyDescent="0.25">
      <c r="A1" s="12"/>
      <c r="B1" s="221"/>
      <c r="D1" s="214" t="s">
        <v>1287</v>
      </c>
    </row>
    <row r="2" spans="1:4" ht="15.75" x14ac:dyDescent="0.25">
      <c r="A2" s="12"/>
      <c r="B2" s="12"/>
      <c r="D2" s="214" t="s">
        <v>0</v>
      </c>
    </row>
    <row r="3" spans="1:4" ht="15.75" x14ac:dyDescent="0.25">
      <c r="A3" s="12"/>
      <c r="B3" s="12"/>
      <c r="C3" s="221"/>
    </row>
    <row r="4" spans="1:4" ht="16.5" x14ac:dyDescent="0.25">
      <c r="A4" s="421" t="s">
        <v>674</v>
      </c>
      <c r="B4" s="421"/>
      <c r="C4" s="421"/>
      <c r="D4" s="421"/>
    </row>
    <row r="5" spans="1:4" ht="16.5" x14ac:dyDescent="0.25">
      <c r="A5" s="421" t="s">
        <v>1286</v>
      </c>
      <c r="B5" s="421"/>
      <c r="C5" s="421"/>
      <c r="D5" s="421"/>
    </row>
    <row r="6" spans="1:4" ht="15.75" x14ac:dyDescent="0.25">
      <c r="A6" s="82"/>
      <c r="B6" s="82"/>
      <c r="C6" s="221"/>
    </row>
    <row r="7" spans="1:4" ht="15.75" x14ac:dyDescent="0.25">
      <c r="A7" s="12"/>
      <c r="B7" s="12"/>
      <c r="D7" s="83" t="s">
        <v>1</v>
      </c>
    </row>
    <row r="8" spans="1:4" ht="30" x14ac:dyDescent="0.25">
      <c r="A8" s="79" t="s">
        <v>675</v>
      </c>
      <c r="B8" s="79" t="s">
        <v>676</v>
      </c>
      <c r="C8" s="180" t="s">
        <v>1193</v>
      </c>
      <c r="D8" s="180" t="s">
        <v>1194</v>
      </c>
    </row>
    <row r="9" spans="1:4" ht="44.45" customHeight="1" x14ac:dyDescent="0.25">
      <c r="A9" s="84" t="s">
        <v>677</v>
      </c>
      <c r="B9" s="85" t="s">
        <v>678</v>
      </c>
      <c r="C9" s="343">
        <f>C10-C12</f>
        <v>0</v>
      </c>
      <c r="D9" s="266">
        <f>C9</f>
        <v>0</v>
      </c>
    </row>
    <row r="10" spans="1:4" ht="33.75" customHeight="1" x14ac:dyDescent="0.25">
      <c r="A10" s="86" t="s">
        <v>679</v>
      </c>
      <c r="B10" s="87" t="s">
        <v>680</v>
      </c>
      <c r="C10" s="344">
        <f>C11</f>
        <v>0</v>
      </c>
      <c r="D10" s="266">
        <f t="shared" ref="D10:D14" si="0">C10</f>
        <v>0</v>
      </c>
    </row>
    <row r="11" spans="1:4" ht="36.75" customHeight="1" x14ac:dyDescent="0.25">
      <c r="A11" s="88" t="s">
        <v>681</v>
      </c>
      <c r="B11" s="89" t="s">
        <v>682</v>
      </c>
      <c r="C11" s="345">
        <f>C19*(-1)</f>
        <v>0</v>
      </c>
      <c r="D11" s="267">
        <f>D19*(-1)</f>
        <v>0</v>
      </c>
    </row>
    <row r="12" spans="1:4" ht="33" customHeight="1" x14ac:dyDescent="0.25">
      <c r="A12" s="86" t="s">
        <v>683</v>
      </c>
      <c r="B12" s="87" t="s">
        <v>684</v>
      </c>
      <c r="C12" s="343">
        <f>C13</f>
        <v>0</v>
      </c>
      <c r="D12" s="266">
        <f t="shared" si="0"/>
        <v>0</v>
      </c>
    </row>
    <row r="13" spans="1:4" ht="30.75" customHeight="1" x14ac:dyDescent="0.25">
      <c r="A13" s="88" t="s">
        <v>685</v>
      </c>
      <c r="B13" s="89" t="s">
        <v>686</v>
      </c>
      <c r="C13" s="345">
        <f>C11+C19</f>
        <v>0</v>
      </c>
      <c r="D13" s="267">
        <f t="shared" si="0"/>
        <v>0</v>
      </c>
    </row>
    <row r="14" spans="1:4" ht="16.5" x14ac:dyDescent="0.25">
      <c r="A14" s="86" t="s">
        <v>672</v>
      </c>
      <c r="B14" s="89"/>
      <c r="C14" s="346">
        <f>C11-C13</f>
        <v>0</v>
      </c>
      <c r="D14" s="266">
        <f t="shared" si="0"/>
        <v>0</v>
      </c>
    </row>
    <row r="15" spans="1:4" x14ac:dyDescent="0.25">
      <c r="A15" s="221"/>
      <c r="B15" s="221"/>
      <c r="C15" s="221"/>
    </row>
    <row r="16" spans="1:4" x14ac:dyDescent="0.25">
      <c r="A16" s="221"/>
      <c r="B16" s="221"/>
      <c r="C16" s="221"/>
    </row>
    <row r="17" spans="1:4" x14ac:dyDescent="0.25">
      <c r="A17" s="221"/>
      <c r="B17" s="221" t="s">
        <v>687</v>
      </c>
      <c r="C17" s="221">
        <f>'Пр.1.1. дох.21-22'!C147</f>
        <v>729449.03199999989</v>
      </c>
      <c r="D17" s="221">
        <f>'Пр.1.1. дох.21-22'!D147</f>
        <v>733196.22</v>
      </c>
    </row>
    <row r="18" spans="1:4" x14ac:dyDescent="0.25">
      <c r="A18" s="221"/>
      <c r="B18" s="221" t="s">
        <v>688</v>
      </c>
      <c r="C18" s="265">
        <f>'пр.4.1.ведом.21-22'!G1102</f>
        <v>729449.03200000001</v>
      </c>
      <c r="D18" s="265">
        <f>'пр.4.1.ведом.21-22'!H1102</f>
        <v>733196.22</v>
      </c>
    </row>
    <row r="19" spans="1:4" x14ac:dyDescent="0.25">
      <c r="A19" s="221"/>
      <c r="B19" s="221" t="s">
        <v>689</v>
      </c>
      <c r="C19" s="221">
        <f t="shared" ref="C19:D19" si="1">C17-C18</f>
        <v>0</v>
      </c>
      <c r="D19" s="221">
        <f t="shared" si="1"/>
        <v>0</v>
      </c>
    </row>
  </sheetData>
  <mergeCells count="2">
    <mergeCell ref="A4:D4"/>
    <mergeCell ref="A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view="pageBreakPreview" topLeftCell="A113" zoomScaleNormal="100" zoomScaleSheetLayoutView="100" workbookViewId="0">
      <selection activeCell="B162" sqref="B161:B162"/>
    </sheetView>
  </sheetViews>
  <sheetFormatPr defaultRowHeight="15" x14ac:dyDescent="0.25"/>
  <cols>
    <col min="1" max="1" width="25" customWidth="1"/>
    <col min="2" max="2" width="71.7109375" customWidth="1"/>
    <col min="3" max="3" width="16" style="362" customWidth="1"/>
    <col min="4" max="4" width="17.28515625" style="222" customWidth="1"/>
    <col min="5" max="7" width="0" hidden="1" customWidth="1"/>
  </cols>
  <sheetData>
    <row r="1" spans="1:6" ht="15.75" x14ac:dyDescent="0.25">
      <c r="A1" s="129"/>
      <c r="B1" s="129"/>
      <c r="C1" s="401" t="s">
        <v>1539</v>
      </c>
      <c r="D1" s="401"/>
    </row>
    <row r="2" spans="1:6" ht="15.75" x14ac:dyDescent="0.25">
      <c r="A2" s="129"/>
      <c r="B2" s="129"/>
      <c r="C2" s="401" t="s">
        <v>1538</v>
      </c>
      <c r="D2" s="401"/>
    </row>
    <row r="3" spans="1:6" ht="15.75" x14ac:dyDescent="0.25">
      <c r="A3" s="129"/>
      <c r="B3" s="131"/>
      <c r="C3" s="408" t="s">
        <v>1537</v>
      </c>
      <c r="D3" s="408"/>
    </row>
    <row r="4" spans="1:6" ht="15.75" x14ac:dyDescent="0.25">
      <c r="A4" s="404" t="s">
        <v>1535</v>
      </c>
      <c r="B4" s="404"/>
      <c r="C4" s="404"/>
      <c r="D4" s="404"/>
    </row>
    <row r="5" spans="1:6" ht="15.75" x14ac:dyDescent="0.25">
      <c r="A5" s="404" t="s">
        <v>1536</v>
      </c>
      <c r="B5" s="404"/>
      <c r="C5" s="404"/>
      <c r="D5" s="404"/>
    </row>
    <row r="6" spans="1:6" ht="15.75" x14ac:dyDescent="0.25">
      <c r="A6" s="404" t="s">
        <v>1347</v>
      </c>
      <c r="B6" s="404"/>
      <c r="C6" s="404"/>
      <c r="D6" s="404"/>
    </row>
    <row r="7" spans="1:6" ht="15.75" x14ac:dyDescent="0.25">
      <c r="A7" s="132"/>
      <c r="B7" s="132"/>
      <c r="C7" s="184"/>
      <c r="D7" s="130" t="s">
        <v>713</v>
      </c>
    </row>
    <row r="8" spans="1:6" ht="33" customHeight="1" x14ac:dyDescent="0.25">
      <c r="A8" s="133" t="s">
        <v>2</v>
      </c>
      <c r="B8" s="134" t="s">
        <v>3</v>
      </c>
      <c r="C8" s="185" t="s">
        <v>1193</v>
      </c>
      <c r="D8" s="219" t="s">
        <v>1194</v>
      </c>
    </row>
    <row r="9" spans="1:6" ht="18.75" x14ac:dyDescent="0.25">
      <c r="A9" s="135" t="s">
        <v>5</v>
      </c>
      <c r="B9" s="136" t="s">
        <v>6</v>
      </c>
      <c r="C9" s="190">
        <f>C10+C16+C21+C31+C39+C42+C48+C54+C57+C62+C70</f>
        <v>300851.23200000002</v>
      </c>
      <c r="D9" s="190">
        <f>D10+D16+D21+D31+D39+D42+D48+D54+D57+D62+D70</f>
        <v>307481.32</v>
      </c>
      <c r="E9" s="22">
        <f>C10+C16+C21+C31+C39</f>
        <v>255057.43200000003</v>
      </c>
      <c r="F9" s="22">
        <f>D10+D16+D21+D31+D39</f>
        <v>261687.52</v>
      </c>
    </row>
    <row r="10" spans="1:6" ht="18.75" x14ac:dyDescent="0.25">
      <c r="A10" s="137" t="s">
        <v>7</v>
      </c>
      <c r="B10" s="136" t="s">
        <v>8</v>
      </c>
      <c r="C10" s="190">
        <f t="shared" ref="C10:D10" si="0">C11</f>
        <v>230821.13200000004</v>
      </c>
      <c r="D10" s="190">
        <f t="shared" si="0"/>
        <v>238476.52000000002</v>
      </c>
    </row>
    <row r="11" spans="1:6" ht="18.75" x14ac:dyDescent="0.25">
      <c r="A11" s="138" t="s">
        <v>9</v>
      </c>
      <c r="B11" s="139" t="s">
        <v>10</v>
      </c>
      <c r="C11" s="190">
        <f t="shared" ref="C11:D11" si="1">SUM(C12:C15)</f>
        <v>230821.13200000004</v>
      </c>
      <c r="D11" s="190">
        <f t="shared" si="1"/>
        <v>238476.52000000002</v>
      </c>
    </row>
    <row r="12" spans="1:6" ht="64.5" customHeight="1" x14ac:dyDescent="0.25">
      <c r="A12" s="219" t="s">
        <v>11</v>
      </c>
      <c r="B12" s="140" t="s">
        <v>12</v>
      </c>
      <c r="C12" s="191">
        <f>217000+14111.72-1043.9+71.912</f>
        <v>230139.73200000002</v>
      </c>
      <c r="D12" s="191">
        <f>217000+21791.32-1043.9</f>
        <v>237747.42</v>
      </c>
    </row>
    <row r="13" spans="1:6" ht="110.25" x14ac:dyDescent="0.25">
      <c r="A13" s="219" t="s">
        <v>13</v>
      </c>
      <c r="B13" s="141" t="s">
        <v>14</v>
      </c>
      <c r="C13" s="191">
        <v>19.600000000000001</v>
      </c>
      <c r="D13" s="191">
        <v>21</v>
      </c>
    </row>
    <row r="14" spans="1:6" ht="47.25" x14ac:dyDescent="0.25">
      <c r="A14" s="219" t="s">
        <v>15</v>
      </c>
      <c r="B14" s="141" t="s">
        <v>16</v>
      </c>
      <c r="C14" s="191">
        <v>637.6</v>
      </c>
      <c r="D14" s="191">
        <v>682.2</v>
      </c>
    </row>
    <row r="15" spans="1:6" ht="78.75" x14ac:dyDescent="0.25">
      <c r="A15" s="219" t="s">
        <v>17</v>
      </c>
      <c r="B15" s="141" t="s">
        <v>18</v>
      </c>
      <c r="C15" s="191">
        <v>24.2</v>
      </c>
      <c r="D15" s="191">
        <v>25.9</v>
      </c>
    </row>
    <row r="16" spans="1:6" ht="31.5" x14ac:dyDescent="0.25">
      <c r="A16" s="142" t="s">
        <v>19</v>
      </c>
      <c r="B16" s="143" t="s">
        <v>20</v>
      </c>
      <c r="C16" s="190">
        <f t="shared" ref="C16:D16" si="2">C17</f>
        <v>3189</v>
      </c>
      <c r="D16" s="190">
        <f t="shared" si="2"/>
        <v>3278</v>
      </c>
    </row>
    <row r="17" spans="1:4" ht="31.5" x14ac:dyDescent="0.25">
      <c r="A17" s="188" t="s">
        <v>21</v>
      </c>
      <c r="B17" s="189" t="s">
        <v>22</v>
      </c>
      <c r="C17" s="190">
        <f t="shared" ref="C17:D17" si="3">SUM(C18:C20)</f>
        <v>3189</v>
      </c>
      <c r="D17" s="190">
        <f t="shared" si="3"/>
        <v>3278</v>
      </c>
    </row>
    <row r="18" spans="1:4" ht="63" x14ac:dyDescent="0.25">
      <c r="A18" s="144" t="s">
        <v>23</v>
      </c>
      <c r="B18" s="141" t="s">
        <v>24</v>
      </c>
      <c r="C18" s="191">
        <v>1470</v>
      </c>
      <c r="D18" s="191">
        <v>1509</v>
      </c>
    </row>
    <row r="19" spans="1:4" ht="78.75" x14ac:dyDescent="0.25">
      <c r="A19" s="274" t="s">
        <v>25</v>
      </c>
      <c r="B19" s="141" t="s">
        <v>26</v>
      </c>
      <c r="C19" s="191">
        <v>7</v>
      </c>
      <c r="D19" s="191">
        <v>7</v>
      </c>
    </row>
    <row r="20" spans="1:4" ht="63" x14ac:dyDescent="0.25">
      <c r="A20" s="274" t="s">
        <v>27</v>
      </c>
      <c r="B20" s="141" t="s">
        <v>28</v>
      </c>
      <c r="C20" s="191">
        <v>1712</v>
      </c>
      <c r="D20" s="191">
        <v>1762</v>
      </c>
    </row>
    <row r="21" spans="1:4" ht="18.75" x14ac:dyDescent="0.25">
      <c r="A21" s="138" t="s">
        <v>29</v>
      </c>
      <c r="B21" s="139" t="s">
        <v>30</v>
      </c>
      <c r="C21" s="190">
        <f>SUM(C22+C27+C29)</f>
        <v>18275.900000000001</v>
      </c>
      <c r="D21" s="190">
        <f>SUM(D22+D27+D29)</f>
        <v>16997.3</v>
      </c>
    </row>
    <row r="22" spans="1:4" ht="31.5" x14ac:dyDescent="0.25">
      <c r="A22" s="135" t="s">
        <v>31</v>
      </c>
      <c r="B22" s="139" t="s">
        <v>32</v>
      </c>
      <c r="C22" s="190">
        <f>C23+C25</f>
        <v>15455</v>
      </c>
      <c r="D22" s="190">
        <f>D23+D25</f>
        <v>16622</v>
      </c>
    </row>
    <row r="23" spans="1:4" s="221" customFormat="1" ht="31.5" x14ac:dyDescent="0.25">
      <c r="A23" s="135" t="s">
        <v>1323</v>
      </c>
      <c r="B23" s="238" t="s">
        <v>34</v>
      </c>
      <c r="C23" s="190">
        <f>C24</f>
        <v>7727.5</v>
      </c>
      <c r="D23" s="190">
        <f>D24</f>
        <v>8311</v>
      </c>
    </row>
    <row r="24" spans="1:4" ht="31.5" x14ac:dyDescent="0.25">
      <c r="A24" s="133" t="s">
        <v>33</v>
      </c>
      <c r="B24" s="145" t="s">
        <v>34</v>
      </c>
      <c r="C24" s="191">
        <f>15455/2</f>
        <v>7727.5</v>
      </c>
      <c r="D24" s="191">
        <f>16622/2</f>
        <v>8311</v>
      </c>
    </row>
    <row r="25" spans="1:4" s="221" customFormat="1" ht="47.25" x14ac:dyDescent="0.25">
      <c r="A25" s="135" t="s">
        <v>1322</v>
      </c>
      <c r="B25" s="278" t="s">
        <v>1321</v>
      </c>
      <c r="C25" s="190">
        <f>C26</f>
        <v>7727.5</v>
      </c>
      <c r="D25" s="190">
        <f>D26</f>
        <v>8311</v>
      </c>
    </row>
    <row r="26" spans="1:4" ht="63" x14ac:dyDescent="0.25">
      <c r="A26" s="133" t="s">
        <v>35</v>
      </c>
      <c r="B26" s="145" t="s">
        <v>36</v>
      </c>
      <c r="C26" s="191">
        <f>C24</f>
        <v>7727.5</v>
      </c>
      <c r="D26" s="191">
        <f>D24</f>
        <v>8311</v>
      </c>
    </row>
    <row r="27" spans="1:4" ht="31.5" x14ac:dyDescent="0.25">
      <c r="A27" s="135" t="s">
        <v>37</v>
      </c>
      <c r="B27" s="139" t="s">
        <v>38</v>
      </c>
      <c r="C27" s="190">
        <f t="shared" ref="C27:D27" si="4">SUM(C28:C28)</f>
        <v>2460</v>
      </c>
      <c r="D27" s="190">
        <f t="shared" si="4"/>
        <v>0</v>
      </c>
    </row>
    <row r="28" spans="1:4" ht="21.75" customHeight="1" x14ac:dyDescent="0.25">
      <c r="A28" s="219" t="s">
        <v>39</v>
      </c>
      <c r="B28" s="257" t="s">
        <v>38</v>
      </c>
      <c r="C28" s="191">
        <v>2460</v>
      </c>
      <c r="D28" s="191">
        <v>0</v>
      </c>
    </row>
    <row r="29" spans="1:4" s="221" customFormat="1" ht="36" customHeight="1" x14ac:dyDescent="0.25">
      <c r="A29" s="135" t="s">
        <v>1337</v>
      </c>
      <c r="B29" s="146" t="s">
        <v>1324</v>
      </c>
      <c r="C29" s="190">
        <f>C30</f>
        <v>360.9</v>
      </c>
      <c r="D29" s="191">
        <f>D30</f>
        <v>375.3</v>
      </c>
    </row>
    <row r="30" spans="1:4" ht="31.5" x14ac:dyDescent="0.25">
      <c r="A30" s="133" t="s">
        <v>40</v>
      </c>
      <c r="B30" s="269" t="s">
        <v>41</v>
      </c>
      <c r="C30" s="191">
        <v>360.9</v>
      </c>
      <c r="D30" s="191">
        <v>375.3</v>
      </c>
    </row>
    <row r="31" spans="1:4" ht="18.75" x14ac:dyDescent="0.25">
      <c r="A31" s="138" t="s">
        <v>42</v>
      </c>
      <c r="B31" s="139" t="s">
        <v>43</v>
      </c>
      <c r="C31" s="190">
        <f>C32+C34</f>
        <v>1238.4000000000001</v>
      </c>
      <c r="D31" s="190">
        <f t="shared" ref="D31" si="5">D32+D34</f>
        <v>1341.4</v>
      </c>
    </row>
    <row r="32" spans="1:4" ht="18.75" x14ac:dyDescent="0.25">
      <c r="A32" s="138" t="s">
        <v>44</v>
      </c>
      <c r="B32" s="139" t="s">
        <v>45</v>
      </c>
      <c r="C32" s="190">
        <f t="shared" ref="C32:D32" si="6">C33</f>
        <v>892.1</v>
      </c>
      <c r="D32" s="190">
        <f t="shared" si="6"/>
        <v>981.3</v>
      </c>
    </row>
    <row r="33" spans="1:6" ht="47.25" x14ac:dyDescent="0.25">
      <c r="A33" s="219" t="s">
        <v>46</v>
      </c>
      <c r="B33" s="145" t="s">
        <v>47</v>
      </c>
      <c r="C33" s="191">
        <v>892.1</v>
      </c>
      <c r="D33" s="191">
        <v>981.3</v>
      </c>
    </row>
    <row r="34" spans="1:6" ht="18.75" x14ac:dyDescent="0.25">
      <c r="A34" s="138" t="s">
        <v>48</v>
      </c>
      <c r="B34" s="139" t="s">
        <v>49</v>
      </c>
      <c r="C34" s="190">
        <f>C35+C37</f>
        <v>346.29999999999995</v>
      </c>
      <c r="D34" s="190">
        <f>D35+D37</f>
        <v>360.1</v>
      </c>
    </row>
    <row r="35" spans="1:6" s="221" customFormat="1" ht="18.75" x14ac:dyDescent="0.25">
      <c r="A35" s="138" t="s">
        <v>1339</v>
      </c>
      <c r="B35" s="139" t="s">
        <v>1338</v>
      </c>
      <c r="C35" s="190">
        <f>C36</f>
        <v>185.1</v>
      </c>
      <c r="D35" s="190">
        <f>D36</f>
        <v>192.5</v>
      </c>
    </row>
    <row r="36" spans="1:6" ht="31.5" x14ac:dyDescent="0.25">
      <c r="A36" s="219" t="s">
        <v>50</v>
      </c>
      <c r="B36" s="145" t="s">
        <v>51</v>
      </c>
      <c r="C36" s="191">
        <v>185.1</v>
      </c>
      <c r="D36" s="191">
        <v>192.5</v>
      </c>
    </row>
    <row r="37" spans="1:6" s="221" customFormat="1" ht="18.75" x14ac:dyDescent="0.25">
      <c r="A37" s="138" t="s">
        <v>1341</v>
      </c>
      <c r="B37" s="139" t="s">
        <v>1340</v>
      </c>
      <c r="C37" s="190">
        <f>C38</f>
        <v>161.19999999999999</v>
      </c>
      <c r="D37" s="190">
        <f>D38</f>
        <v>167.6</v>
      </c>
    </row>
    <row r="38" spans="1:6" ht="31.5" x14ac:dyDescent="0.25">
      <c r="A38" s="219" t="s">
        <v>52</v>
      </c>
      <c r="B38" s="145" t="s">
        <v>53</v>
      </c>
      <c r="C38" s="191">
        <v>161.19999999999999</v>
      </c>
      <c r="D38" s="191">
        <v>167.6</v>
      </c>
    </row>
    <row r="39" spans="1:6" ht="18.75" x14ac:dyDescent="0.25">
      <c r="A39" s="138" t="s">
        <v>54</v>
      </c>
      <c r="B39" s="139" t="s">
        <v>55</v>
      </c>
      <c r="C39" s="190">
        <f t="shared" ref="C39:D40" si="7">C40</f>
        <v>1533</v>
      </c>
      <c r="D39" s="190">
        <f t="shared" si="7"/>
        <v>1594.3</v>
      </c>
    </row>
    <row r="40" spans="1:6" ht="31.5" x14ac:dyDescent="0.25">
      <c r="A40" s="138" t="s">
        <v>56</v>
      </c>
      <c r="B40" s="139" t="s">
        <v>57</v>
      </c>
      <c r="C40" s="190">
        <f t="shared" si="7"/>
        <v>1533</v>
      </c>
      <c r="D40" s="190">
        <f t="shared" si="7"/>
        <v>1594.3</v>
      </c>
    </row>
    <row r="41" spans="1:6" ht="47.25" x14ac:dyDescent="0.25">
      <c r="A41" s="219" t="s">
        <v>58</v>
      </c>
      <c r="B41" s="140" t="s">
        <v>59</v>
      </c>
      <c r="C41" s="191">
        <v>1533</v>
      </c>
      <c r="D41" s="191">
        <v>1594.3</v>
      </c>
    </row>
    <row r="42" spans="1:6" ht="47.25" x14ac:dyDescent="0.25">
      <c r="A42" s="138" t="s">
        <v>60</v>
      </c>
      <c r="B42" s="147" t="s">
        <v>61</v>
      </c>
      <c r="C42" s="190">
        <f t="shared" ref="C42:D42" si="8">C43</f>
        <v>43000</v>
      </c>
      <c r="D42" s="190">
        <f t="shared" si="8"/>
        <v>43000</v>
      </c>
      <c r="E42" s="22">
        <f>C42+C48+C54+C57+C62</f>
        <v>45793.8</v>
      </c>
      <c r="F42" s="22">
        <f>D42+D48+D54+D57+D62</f>
        <v>45793.8</v>
      </c>
    </row>
    <row r="43" spans="1:6" ht="78.75" x14ac:dyDescent="0.25">
      <c r="A43" s="138" t="s">
        <v>62</v>
      </c>
      <c r="B43" s="147" t="s">
        <v>63</v>
      </c>
      <c r="C43" s="190">
        <f t="shared" ref="C43:D43" si="9">C44+C46</f>
        <v>43000</v>
      </c>
      <c r="D43" s="190">
        <f t="shared" si="9"/>
        <v>43000</v>
      </c>
    </row>
    <row r="44" spans="1:6" ht="63" x14ac:dyDescent="0.25">
      <c r="A44" s="138" t="s">
        <v>64</v>
      </c>
      <c r="B44" s="139" t="s">
        <v>65</v>
      </c>
      <c r="C44" s="190">
        <f t="shared" ref="C44:D44" si="10">C45</f>
        <v>38000</v>
      </c>
      <c r="D44" s="190">
        <f t="shared" si="10"/>
        <v>38000</v>
      </c>
    </row>
    <row r="45" spans="1:6" ht="78.75" x14ac:dyDescent="0.25">
      <c r="A45" s="219" t="s">
        <v>66</v>
      </c>
      <c r="B45" s="145" t="s">
        <v>67</v>
      </c>
      <c r="C45" s="191">
        <v>38000</v>
      </c>
      <c r="D45" s="191">
        <v>38000</v>
      </c>
    </row>
    <row r="46" spans="1:6" ht="47.25" x14ac:dyDescent="0.25">
      <c r="A46" s="138" t="s">
        <v>68</v>
      </c>
      <c r="B46" s="139" t="s">
        <v>69</v>
      </c>
      <c r="C46" s="190">
        <f t="shared" ref="C46:D46" si="11">C47</f>
        <v>5000</v>
      </c>
      <c r="D46" s="190">
        <f t="shared" si="11"/>
        <v>5000</v>
      </c>
    </row>
    <row r="47" spans="1:6" ht="31.5" x14ac:dyDescent="0.25">
      <c r="A47" s="219" t="s">
        <v>70</v>
      </c>
      <c r="B47" s="145" t="s">
        <v>71</v>
      </c>
      <c r="C47" s="191">
        <v>5000</v>
      </c>
      <c r="D47" s="191">
        <v>5000</v>
      </c>
    </row>
    <row r="48" spans="1:6" ht="18.75" x14ac:dyDescent="0.25">
      <c r="A48" s="138" t="s">
        <v>72</v>
      </c>
      <c r="B48" s="147" t="s">
        <v>73</v>
      </c>
      <c r="C48" s="190">
        <f t="shared" ref="C48:D48" si="12">SUM(C49)</f>
        <v>1735.8</v>
      </c>
      <c r="D48" s="190">
        <f t="shared" si="12"/>
        <v>1735.8</v>
      </c>
    </row>
    <row r="49" spans="1:4" ht="18.75" x14ac:dyDescent="0.25">
      <c r="A49" s="138" t="s">
        <v>74</v>
      </c>
      <c r="B49" s="147" t="s">
        <v>75</v>
      </c>
      <c r="C49" s="190">
        <f>SUM(C50:C53)</f>
        <v>1735.8</v>
      </c>
      <c r="D49" s="190">
        <f>SUM(D50:D53)</f>
        <v>1735.8</v>
      </c>
    </row>
    <row r="50" spans="1:4" ht="31.5" x14ac:dyDescent="0.25">
      <c r="A50" s="219" t="s">
        <v>76</v>
      </c>
      <c r="B50" s="140" t="s">
        <v>77</v>
      </c>
      <c r="C50" s="191">
        <v>517.9</v>
      </c>
      <c r="D50" s="191">
        <v>517.9</v>
      </c>
    </row>
    <row r="51" spans="1:4" ht="18.75" x14ac:dyDescent="0.25">
      <c r="A51" s="219" t="s">
        <v>78</v>
      </c>
      <c r="B51" s="140" t="s">
        <v>79</v>
      </c>
      <c r="C51" s="191">
        <v>1.1000000000000001</v>
      </c>
      <c r="D51" s="191">
        <v>1.1000000000000001</v>
      </c>
    </row>
    <row r="52" spans="1:4" ht="18.75" x14ac:dyDescent="0.25">
      <c r="A52" s="219" t="s">
        <v>824</v>
      </c>
      <c r="B52" s="140" t="s">
        <v>825</v>
      </c>
      <c r="C52" s="191">
        <v>1060.8</v>
      </c>
      <c r="D52" s="191">
        <v>1060.8</v>
      </c>
    </row>
    <row r="53" spans="1:4" ht="18.75" x14ac:dyDescent="0.25">
      <c r="A53" s="219" t="s">
        <v>826</v>
      </c>
      <c r="B53" s="140" t="s">
        <v>827</v>
      </c>
      <c r="C53" s="191">
        <v>156</v>
      </c>
      <c r="D53" s="191">
        <v>156</v>
      </c>
    </row>
    <row r="54" spans="1:4" ht="31.5" x14ac:dyDescent="0.25">
      <c r="A54" s="138" t="s">
        <v>80</v>
      </c>
      <c r="B54" s="147" t="s">
        <v>81</v>
      </c>
      <c r="C54" s="190">
        <f>C56</f>
        <v>792</v>
      </c>
      <c r="D54" s="190">
        <f>D56</f>
        <v>792</v>
      </c>
    </row>
    <row r="55" spans="1:4" ht="18.75" x14ac:dyDescent="0.25">
      <c r="A55" s="138" t="s">
        <v>82</v>
      </c>
      <c r="B55" s="147" t="s">
        <v>83</v>
      </c>
      <c r="C55" s="190">
        <f>C56</f>
        <v>792</v>
      </c>
      <c r="D55" s="190">
        <f>D56</f>
        <v>792</v>
      </c>
    </row>
    <row r="56" spans="1:4" ht="31.5" x14ac:dyDescent="0.25">
      <c r="A56" s="219" t="s">
        <v>84</v>
      </c>
      <c r="B56" s="140" t="s">
        <v>85</v>
      </c>
      <c r="C56" s="191">
        <v>792</v>
      </c>
      <c r="D56" s="191">
        <f t="shared" ref="D56" si="13">C56</f>
        <v>792</v>
      </c>
    </row>
    <row r="57" spans="1:4" ht="31.5" x14ac:dyDescent="0.25">
      <c r="A57" s="138" t="s">
        <v>86</v>
      </c>
      <c r="B57" s="147" t="s">
        <v>87</v>
      </c>
      <c r="C57" s="190">
        <f t="shared" ref="C57:D57" si="14">SUM(C58+C60)</f>
        <v>236</v>
      </c>
      <c r="D57" s="190">
        <f t="shared" si="14"/>
        <v>236</v>
      </c>
    </row>
    <row r="58" spans="1:4" ht="78.75" x14ac:dyDescent="0.25">
      <c r="A58" s="138" t="s">
        <v>88</v>
      </c>
      <c r="B58" s="147" t="s">
        <v>89</v>
      </c>
      <c r="C58" s="190">
        <f t="shared" ref="C58:D58" si="15">C59</f>
        <v>235</v>
      </c>
      <c r="D58" s="190">
        <f t="shared" si="15"/>
        <v>235</v>
      </c>
    </row>
    <row r="59" spans="1:4" ht="94.5" x14ac:dyDescent="0.25">
      <c r="A59" s="219" t="s">
        <v>90</v>
      </c>
      <c r="B59" s="140" t="s">
        <v>714</v>
      </c>
      <c r="C59" s="191">
        <v>235</v>
      </c>
      <c r="D59" s="191">
        <v>235</v>
      </c>
    </row>
    <row r="60" spans="1:4" ht="31.5" x14ac:dyDescent="0.25">
      <c r="A60" s="138" t="s">
        <v>91</v>
      </c>
      <c r="B60" s="147" t="s">
        <v>92</v>
      </c>
      <c r="C60" s="190">
        <f t="shared" ref="C60:D60" si="16">SUM(C61)</f>
        <v>1</v>
      </c>
      <c r="D60" s="190">
        <f t="shared" si="16"/>
        <v>1</v>
      </c>
    </row>
    <row r="61" spans="1:4" ht="47.25" x14ac:dyDescent="0.25">
      <c r="A61" s="219" t="s">
        <v>93</v>
      </c>
      <c r="B61" s="140" t="s">
        <v>94</v>
      </c>
      <c r="C61" s="191">
        <v>1</v>
      </c>
      <c r="D61" s="191">
        <v>1</v>
      </c>
    </row>
    <row r="62" spans="1:4" ht="18.75" x14ac:dyDescent="0.25">
      <c r="A62" s="138" t="s">
        <v>95</v>
      </c>
      <c r="B62" s="147" t="s">
        <v>96</v>
      </c>
      <c r="C62" s="190">
        <f>C63</f>
        <v>30</v>
      </c>
      <c r="D62" s="190">
        <f>D63</f>
        <v>30</v>
      </c>
    </row>
    <row r="63" spans="1:4" ht="31.5" x14ac:dyDescent="0.25">
      <c r="A63" s="138" t="s">
        <v>1301</v>
      </c>
      <c r="B63" s="268" t="s">
        <v>97</v>
      </c>
      <c r="C63" s="377">
        <f>C64+C66+C68</f>
        <v>30</v>
      </c>
      <c r="D63" s="59">
        <f>D64+D66+D68</f>
        <v>30</v>
      </c>
    </row>
    <row r="64" spans="1:4" s="221" customFormat="1" ht="63" x14ac:dyDescent="0.25">
      <c r="A64" s="138" t="s">
        <v>1318</v>
      </c>
      <c r="B64" s="279" t="s">
        <v>1317</v>
      </c>
      <c r="C64" s="377">
        <f>C65</f>
        <v>10</v>
      </c>
      <c r="D64" s="59">
        <f>D65</f>
        <v>10</v>
      </c>
    </row>
    <row r="65" spans="1:6" s="221" customFormat="1" ht="78.75" x14ac:dyDescent="0.25">
      <c r="A65" s="219" t="s">
        <v>1303</v>
      </c>
      <c r="B65" s="280" t="s">
        <v>1312</v>
      </c>
      <c r="C65" s="365">
        <v>10</v>
      </c>
      <c r="D65" s="10">
        <v>10</v>
      </c>
    </row>
    <row r="66" spans="1:6" s="221" customFormat="1" ht="78.75" x14ac:dyDescent="0.25">
      <c r="A66" s="138" t="s">
        <v>1320</v>
      </c>
      <c r="B66" s="279" t="s">
        <v>1319</v>
      </c>
      <c r="C66" s="377">
        <f>C67</f>
        <v>10</v>
      </c>
      <c r="D66" s="59">
        <f>D67</f>
        <v>10</v>
      </c>
    </row>
    <row r="67" spans="1:6" ht="96" customHeight="1" x14ac:dyDescent="0.25">
      <c r="A67" s="219" t="s">
        <v>1302</v>
      </c>
      <c r="B67" s="280" t="s">
        <v>1313</v>
      </c>
      <c r="C67" s="365">
        <v>10</v>
      </c>
      <c r="D67" s="10">
        <v>10</v>
      </c>
    </row>
    <row r="68" spans="1:6" s="221" customFormat="1" ht="75.2" customHeight="1" x14ac:dyDescent="0.25">
      <c r="A68" s="138" t="s">
        <v>1316</v>
      </c>
      <c r="B68" s="281" t="s">
        <v>1315</v>
      </c>
      <c r="C68" s="377">
        <f>C69</f>
        <v>10</v>
      </c>
      <c r="D68" s="59">
        <f>D69</f>
        <v>10</v>
      </c>
    </row>
    <row r="69" spans="1:6" ht="87.75" customHeight="1" x14ac:dyDescent="0.25">
      <c r="A69" s="219" t="s">
        <v>1306</v>
      </c>
      <c r="B69" s="282" t="s">
        <v>1314</v>
      </c>
      <c r="C69" s="191">
        <v>10</v>
      </c>
      <c r="D69" s="191">
        <v>10</v>
      </c>
    </row>
    <row r="70" spans="1:6" ht="18.75" hidden="1" x14ac:dyDescent="0.25">
      <c r="A70" s="3" t="s">
        <v>1304</v>
      </c>
      <c r="B70" s="187" t="s">
        <v>788</v>
      </c>
      <c r="C70" s="190">
        <f>C71</f>
        <v>0</v>
      </c>
      <c r="D70" s="190">
        <f>D71</f>
        <v>0</v>
      </c>
    </row>
    <row r="71" spans="1:6" ht="18.75" hidden="1" x14ac:dyDescent="0.25">
      <c r="A71" s="3" t="s">
        <v>1305</v>
      </c>
      <c r="B71" s="187" t="s">
        <v>789</v>
      </c>
      <c r="C71" s="190">
        <f t="shared" ref="C71:D71" si="17">SUM(C72)</f>
        <v>0</v>
      </c>
      <c r="D71" s="190">
        <f t="shared" si="17"/>
        <v>0</v>
      </c>
    </row>
    <row r="72" spans="1:6" ht="18.75" hidden="1" x14ac:dyDescent="0.25">
      <c r="A72" s="2" t="s">
        <v>790</v>
      </c>
      <c r="B72" s="186" t="s">
        <v>791</v>
      </c>
      <c r="C72" s="191">
        <v>0</v>
      </c>
      <c r="D72" s="191">
        <v>0</v>
      </c>
    </row>
    <row r="73" spans="1:6" ht="18.75" x14ac:dyDescent="0.25">
      <c r="A73" s="138" t="s">
        <v>98</v>
      </c>
      <c r="B73" s="139" t="s">
        <v>99</v>
      </c>
      <c r="C73" s="190">
        <f>SUM(C74+C141)</f>
        <v>428597.79999999993</v>
      </c>
      <c r="D73" s="190">
        <f>SUM(D74+D141)</f>
        <v>425714.89999999997</v>
      </c>
      <c r="E73" s="22">
        <f>C73-C75</f>
        <v>270472.79999999993</v>
      </c>
      <c r="F73" s="22">
        <f>D73-D75</f>
        <v>267589.89999999997</v>
      </c>
    </row>
    <row r="74" spans="1:6" ht="31.5" x14ac:dyDescent="0.25">
      <c r="A74" s="138" t="s">
        <v>100</v>
      </c>
      <c r="B74" s="139" t="s">
        <v>101</v>
      </c>
      <c r="C74" s="190">
        <f>SUM(C75+C82+C110+C135)</f>
        <v>428597.79999999993</v>
      </c>
      <c r="D74" s="190">
        <f>SUM(D75+D82+D110+D135)</f>
        <v>425714.89999999997</v>
      </c>
      <c r="E74">
        <v>265225.5</v>
      </c>
    </row>
    <row r="75" spans="1:6" ht="18.75" x14ac:dyDescent="0.25">
      <c r="A75" s="138" t="s">
        <v>854</v>
      </c>
      <c r="B75" s="148" t="s">
        <v>102</v>
      </c>
      <c r="C75" s="190">
        <f>C77+C80</f>
        <v>158125</v>
      </c>
      <c r="D75" s="190">
        <f>D77+D80</f>
        <v>158125</v>
      </c>
      <c r="E75" s="22">
        <f>E73-E74</f>
        <v>5247.2999999999302</v>
      </c>
    </row>
    <row r="76" spans="1:6" s="221" customFormat="1" ht="19.5" customHeight="1" x14ac:dyDescent="0.25">
      <c r="A76" s="138" t="s">
        <v>1345</v>
      </c>
      <c r="B76" s="148" t="s">
        <v>1342</v>
      </c>
      <c r="C76" s="190">
        <f>C77</f>
        <v>158125</v>
      </c>
      <c r="D76" s="190">
        <f>D77</f>
        <v>158125</v>
      </c>
    </row>
    <row r="77" spans="1:6" ht="36.75" customHeight="1" x14ac:dyDescent="0.25">
      <c r="A77" s="138" t="s">
        <v>853</v>
      </c>
      <c r="B77" s="139" t="s">
        <v>1365</v>
      </c>
      <c r="C77" s="190">
        <f t="shared" ref="C77:D77" si="18">SUM(C78+C79)</f>
        <v>158125</v>
      </c>
      <c r="D77" s="190">
        <f t="shared" si="18"/>
        <v>158125</v>
      </c>
    </row>
    <row r="78" spans="1:6" ht="110.25" x14ac:dyDescent="0.25">
      <c r="A78" s="133" t="s">
        <v>853</v>
      </c>
      <c r="B78" s="145" t="s">
        <v>103</v>
      </c>
      <c r="C78" s="191">
        <v>158125</v>
      </c>
      <c r="D78" s="191">
        <v>158125</v>
      </c>
    </row>
    <row r="79" spans="1:6" ht="94.7" hidden="1" customHeight="1" x14ac:dyDescent="0.25">
      <c r="A79" s="133" t="s">
        <v>853</v>
      </c>
      <c r="B79" s="145" t="s">
        <v>104</v>
      </c>
      <c r="C79" s="191">
        <v>0</v>
      </c>
      <c r="D79" s="191">
        <v>0</v>
      </c>
    </row>
    <row r="80" spans="1:6" s="221" customFormat="1" ht="31.5" hidden="1" x14ac:dyDescent="0.25">
      <c r="A80" s="135" t="s">
        <v>1343</v>
      </c>
      <c r="B80" s="139" t="s">
        <v>1285</v>
      </c>
      <c r="C80" s="190">
        <f>C81</f>
        <v>0</v>
      </c>
      <c r="D80" s="190">
        <f>D81</f>
        <v>0</v>
      </c>
    </row>
    <row r="81" spans="1:4" s="221" customFormat="1" ht="31.5" hidden="1" x14ac:dyDescent="0.25">
      <c r="A81" s="133" t="s">
        <v>1284</v>
      </c>
      <c r="B81" s="145" t="s">
        <v>1285</v>
      </c>
      <c r="C81" s="191">
        <v>0</v>
      </c>
      <c r="D81" s="191">
        <v>0</v>
      </c>
    </row>
    <row r="82" spans="1:4" ht="31.5" x14ac:dyDescent="0.25">
      <c r="A82" s="138" t="s">
        <v>852</v>
      </c>
      <c r="B82" s="139" t="s">
        <v>105</v>
      </c>
      <c r="C82" s="190">
        <f>C88+C93+C96+C89+C91</f>
        <v>17368.3</v>
      </c>
      <c r="D82" s="190">
        <f>D88+D93+D96+D89+D91</f>
        <v>7026.6999999999989</v>
      </c>
    </row>
    <row r="83" spans="1:4" s="221" customFormat="1" ht="47.25" hidden="1" x14ac:dyDescent="0.25">
      <c r="A83" s="297" t="s">
        <v>1386</v>
      </c>
      <c r="B83" s="298" t="s">
        <v>1388</v>
      </c>
      <c r="C83" s="305">
        <f>C84</f>
        <v>0</v>
      </c>
      <c r="D83" s="190"/>
    </row>
    <row r="84" spans="1:4" s="221" customFormat="1" ht="47.25" hidden="1" x14ac:dyDescent="0.25">
      <c r="A84" s="219" t="s">
        <v>1385</v>
      </c>
      <c r="B84" s="300" t="s">
        <v>1387</v>
      </c>
      <c r="C84" s="191">
        <v>0</v>
      </c>
      <c r="D84" s="190"/>
    </row>
    <row r="85" spans="1:4" s="221" customFormat="1" ht="47.25" hidden="1" x14ac:dyDescent="0.25">
      <c r="A85" s="138" t="s">
        <v>1389</v>
      </c>
      <c r="B85" s="299" t="s">
        <v>1392</v>
      </c>
      <c r="C85" s="190">
        <f>C86</f>
        <v>0</v>
      </c>
      <c r="D85" s="190"/>
    </row>
    <row r="86" spans="1:4" s="221" customFormat="1" ht="47.25" hidden="1" x14ac:dyDescent="0.25">
      <c r="A86" s="219" t="s">
        <v>1390</v>
      </c>
      <c r="B86" s="300" t="s">
        <v>1391</v>
      </c>
      <c r="C86" s="191">
        <v>0</v>
      </c>
      <c r="D86" s="190"/>
    </row>
    <row r="87" spans="1:4" ht="31.5" hidden="1" x14ac:dyDescent="0.25">
      <c r="A87" s="273" t="s">
        <v>1327</v>
      </c>
      <c r="B87" s="139" t="s">
        <v>1346</v>
      </c>
      <c r="C87" s="190">
        <f>C88</f>
        <v>0</v>
      </c>
      <c r="D87" s="190">
        <f>D88</f>
        <v>0</v>
      </c>
    </row>
    <row r="88" spans="1:4" s="221" customFormat="1" ht="31.5" hidden="1" x14ac:dyDescent="0.25">
      <c r="A88" s="274" t="s">
        <v>816</v>
      </c>
      <c r="B88" s="145" t="s">
        <v>823</v>
      </c>
      <c r="C88" s="191">
        <v>0</v>
      </c>
      <c r="D88" s="191">
        <v>0</v>
      </c>
    </row>
    <row r="89" spans="1:4" ht="40.700000000000003" hidden="1" customHeight="1" x14ac:dyDescent="0.25">
      <c r="A89" s="273" t="s">
        <v>1329</v>
      </c>
      <c r="B89" s="147" t="s">
        <v>869</v>
      </c>
      <c r="C89" s="190">
        <f>C90</f>
        <v>0</v>
      </c>
      <c r="D89" s="190">
        <f>D90</f>
        <v>0</v>
      </c>
    </row>
    <row r="90" spans="1:4" ht="39.75" hidden="1" customHeight="1" x14ac:dyDescent="0.25">
      <c r="A90" s="274" t="s">
        <v>868</v>
      </c>
      <c r="B90" s="140" t="s">
        <v>869</v>
      </c>
      <c r="C90" s="191">
        <v>0</v>
      </c>
      <c r="D90" s="191">
        <v>0</v>
      </c>
    </row>
    <row r="91" spans="1:4" s="221" customFormat="1" ht="19.5" customHeight="1" x14ac:dyDescent="0.25">
      <c r="A91" s="306" t="s">
        <v>1379</v>
      </c>
      <c r="B91" s="304" t="s">
        <v>1382</v>
      </c>
      <c r="C91" s="190">
        <f>C92</f>
        <v>2202.4</v>
      </c>
      <c r="D91" s="190">
        <f>D92</f>
        <v>0</v>
      </c>
    </row>
    <row r="92" spans="1:4" s="221" customFormat="1" ht="87.75" customHeight="1" x14ac:dyDescent="0.25">
      <c r="A92" s="307" t="s">
        <v>1377</v>
      </c>
      <c r="B92" s="308" t="s">
        <v>1479</v>
      </c>
      <c r="C92" s="191">
        <v>2202.4</v>
      </c>
      <c r="D92" s="191">
        <v>0</v>
      </c>
    </row>
    <row r="93" spans="1:4" ht="31.5" x14ac:dyDescent="0.25">
      <c r="A93" s="273" t="s">
        <v>1331</v>
      </c>
      <c r="B93" s="139" t="s">
        <v>1332</v>
      </c>
      <c r="C93" s="190">
        <f t="shared" ref="C93:D95" si="19">SUM(C94)</f>
        <v>3026.4</v>
      </c>
      <c r="D93" s="190">
        <f t="shared" si="19"/>
        <v>0</v>
      </c>
    </row>
    <row r="94" spans="1:4" ht="129.19999999999999" customHeight="1" x14ac:dyDescent="0.25">
      <c r="A94" s="349" t="s">
        <v>1476</v>
      </c>
      <c r="B94" s="145" t="s">
        <v>1477</v>
      </c>
      <c r="C94" s="191">
        <v>3026.4</v>
      </c>
      <c r="D94" s="191">
        <v>0</v>
      </c>
    </row>
    <row r="95" spans="1:4" ht="18.75" x14ac:dyDescent="0.25">
      <c r="A95" s="273" t="s">
        <v>1335</v>
      </c>
      <c r="B95" s="139" t="s">
        <v>1334</v>
      </c>
      <c r="C95" s="190">
        <f t="shared" si="19"/>
        <v>12139.5</v>
      </c>
      <c r="D95" s="190">
        <f t="shared" si="19"/>
        <v>7026.6999999999989</v>
      </c>
    </row>
    <row r="96" spans="1:4" ht="18.75" x14ac:dyDescent="0.25">
      <c r="A96" s="219" t="s">
        <v>850</v>
      </c>
      <c r="B96" s="145" t="s">
        <v>106</v>
      </c>
      <c r="C96" s="327">
        <f>C98+C99+C100+C101+C102+C105+C106+C107+C108+C109</f>
        <v>12139.5</v>
      </c>
      <c r="D96" s="327">
        <f>D98+D99+D100+D101+D102+D105+D106+D107+D108+D109</f>
        <v>7026.6999999999989</v>
      </c>
    </row>
    <row r="97" spans="1:4" ht="157.5" hidden="1" x14ac:dyDescent="0.25">
      <c r="A97" s="405"/>
      <c r="B97" s="145" t="s">
        <v>837</v>
      </c>
      <c r="C97" s="191">
        <v>0</v>
      </c>
      <c r="D97" s="191">
        <v>0</v>
      </c>
    </row>
    <row r="98" spans="1:4" ht="63" customHeight="1" x14ac:dyDescent="0.25">
      <c r="A98" s="406"/>
      <c r="B98" s="140" t="s">
        <v>838</v>
      </c>
      <c r="C98" s="191">
        <v>65.2</v>
      </c>
      <c r="D98" s="191">
        <v>65.2</v>
      </c>
    </row>
    <row r="99" spans="1:4" s="221" customFormat="1" ht="129.19999999999999" customHeight="1" x14ac:dyDescent="0.25">
      <c r="A99" s="406"/>
      <c r="B99" s="151" t="s">
        <v>1383</v>
      </c>
      <c r="C99" s="324">
        <v>1666.6</v>
      </c>
      <c r="D99" s="324">
        <f>C99</f>
        <v>1666.6</v>
      </c>
    </row>
    <row r="100" spans="1:4" s="221" customFormat="1" ht="143.44999999999999" customHeight="1" x14ac:dyDescent="0.25">
      <c r="A100" s="406"/>
      <c r="B100" s="302" t="s">
        <v>1384</v>
      </c>
      <c r="C100" s="324">
        <v>500</v>
      </c>
      <c r="D100" s="324">
        <f>500-121.3</f>
        <v>378.7</v>
      </c>
    </row>
    <row r="101" spans="1:4" ht="94.5" x14ac:dyDescent="0.25">
      <c r="A101" s="406"/>
      <c r="B101" s="150" t="s">
        <v>723</v>
      </c>
      <c r="C101" s="328">
        <v>2220.9</v>
      </c>
      <c r="D101" s="328">
        <v>2220.9</v>
      </c>
    </row>
    <row r="102" spans="1:4" ht="67.7" customHeight="1" x14ac:dyDescent="0.25">
      <c r="A102" s="406"/>
      <c r="B102" s="151" t="s">
        <v>839</v>
      </c>
      <c r="C102" s="329">
        <f t="shared" ref="C102:D102" si="20">SUM(C103:C104)</f>
        <v>25</v>
      </c>
      <c r="D102" s="329">
        <f t="shared" si="20"/>
        <v>25</v>
      </c>
    </row>
    <row r="103" spans="1:4" ht="116.45" customHeight="1" x14ac:dyDescent="0.25">
      <c r="A103" s="406"/>
      <c r="B103" s="283" t="s">
        <v>836</v>
      </c>
      <c r="C103" s="330">
        <v>0</v>
      </c>
      <c r="D103" s="330">
        <v>0</v>
      </c>
    </row>
    <row r="104" spans="1:4" ht="110.25" x14ac:dyDescent="0.25">
      <c r="A104" s="406"/>
      <c r="B104" s="168" t="s">
        <v>870</v>
      </c>
      <c r="C104" s="331">
        <v>25</v>
      </c>
      <c r="D104" s="331">
        <v>25</v>
      </c>
    </row>
    <row r="105" spans="1:4" ht="94.5" x14ac:dyDescent="0.25">
      <c r="A105" s="406"/>
      <c r="B105" s="140" t="s">
        <v>108</v>
      </c>
      <c r="C105" s="191">
        <v>1743.4</v>
      </c>
      <c r="D105" s="191">
        <v>1751.9</v>
      </c>
    </row>
    <row r="106" spans="1:4" ht="87.75" customHeight="1" x14ac:dyDescent="0.25">
      <c r="A106" s="406"/>
      <c r="B106" s="140" t="s">
        <v>840</v>
      </c>
      <c r="C106" s="191">
        <v>255</v>
      </c>
      <c r="D106" s="191">
        <v>255</v>
      </c>
    </row>
    <row r="107" spans="1:4" ht="94.5" x14ac:dyDescent="0.25">
      <c r="A107" s="406"/>
      <c r="B107" s="140" t="s">
        <v>841</v>
      </c>
      <c r="C107" s="191">
        <f>488.7+8</f>
        <v>496.7</v>
      </c>
      <c r="D107" s="191">
        <f>488.7+8</f>
        <v>496.7</v>
      </c>
    </row>
    <row r="108" spans="1:4" s="221" customFormat="1" ht="95.25" customHeight="1" x14ac:dyDescent="0.25">
      <c r="A108" s="406"/>
      <c r="B108" s="308" t="s">
        <v>1399</v>
      </c>
      <c r="C108" s="332">
        <v>5000</v>
      </c>
      <c r="D108" s="191">
        <v>0</v>
      </c>
    </row>
    <row r="109" spans="1:4" ht="157.5" x14ac:dyDescent="0.25">
      <c r="A109" s="407"/>
      <c r="B109" s="200" t="s">
        <v>828</v>
      </c>
      <c r="C109" s="327">
        <v>166.7</v>
      </c>
      <c r="D109" s="327">
        <v>166.7</v>
      </c>
    </row>
    <row r="110" spans="1:4" ht="24.75" customHeight="1" x14ac:dyDescent="0.25">
      <c r="A110" s="138" t="s">
        <v>849</v>
      </c>
      <c r="B110" s="268" t="s">
        <v>109</v>
      </c>
      <c r="C110" s="190">
        <f>C133+C111+C131</f>
        <v>253104.49999999994</v>
      </c>
      <c r="D110" s="190">
        <f>D133+D111+D131</f>
        <v>260563.19999999995</v>
      </c>
    </row>
    <row r="111" spans="1:4" ht="31.5" x14ac:dyDescent="0.25">
      <c r="A111" s="138" t="s">
        <v>848</v>
      </c>
      <c r="B111" s="147" t="s">
        <v>110</v>
      </c>
      <c r="C111" s="190">
        <f t="shared" ref="C111:D111" si="21">C112</f>
        <v>252530.79999999996</v>
      </c>
      <c r="D111" s="190">
        <f t="shared" si="21"/>
        <v>259922.79999999996</v>
      </c>
    </row>
    <row r="112" spans="1:4" ht="31.5" x14ac:dyDescent="0.25">
      <c r="A112" s="219" t="s">
        <v>847</v>
      </c>
      <c r="B112" s="140" t="s">
        <v>111</v>
      </c>
      <c r="C112" s="191">
        <f>SUM(C113+C114+C115+C116+C117+C118+C119+C122+C123+C124+C125+C127+C128+C129+C130)</f>
        <v>252530.79999999996</v>
      </c>
      <c r="D112" s="191">
        <f>SUM(D113+D114+D115+D116+D117+D118+D119+D122+D123+D124+D125+D127+D128+D129+D130)</f>
        <v>259922.79999999996</v>
      </c>
    </row>
    <row r="113" spans="1:4" ht="110.25" x14ac:dyDescent="0.25">
      <c r="A113" s="405"/>
      <c r="B113" s="150" t="s">
        <v>724</v>
      </c>
      <c r="C113" s="329">
        <f>пр.1дох.20!C116</f>
        <v>143160</v>
      </c>
      <c r="D113" s="329">
        <f>C113</f>
        <v>143160</v>
      </c>
    </row>
    <row r="114" spans="1:4" ht="82.5" customHeight="1" x14ac:dyDescent="0.25">
      <c r="A114" s="406"/>
      <c r="B114" s="140" t="s">
        <v>112</v>
      </c>
      <c r="C114" s="329">
        <f>пр.1дох.20!C117</f>
        <v>80735.399999999994</v>
      </c>
      <c r="D114" s="329">
        <f t="shared" ref="D114:D125" si="22">C114</f>
        <v>80735.399999999994</v>
      </c>
    </row>
    <row r="115" spans="1:4" ht="112.7" customHeight="1" x14ac:dyDescent="0.25">
      <c r="A115" s="406"/>
      <c r="B115" s="140" t="s">
        <v>715</v>
      </c>
      <c r="C115" s="329">
        <f>пр.1дох.20!C118</f>
        <v>4743.8999999999996</v>
      </c>
      <c r="D115" s="329">
        <f t="shared" si="22"/>
        <v>4743.8999999999996</v>
      </c>
    </row>
    <row r="116" spans="1:4" ht="110.25" x14ac:dyDescent="0.25">
      <c r="A116" s="406"/>
      <c r="B116" s="140" t="s">
        <v>716</v>
      </c>
      <c r="C116" s="329">
        <f>пр.1дох.20!C119</f>
        <v>2075.4</v>
      </c>
      <c r="D116" s="329">
        <f t="shared" si="22"/>
        <v>2075.4</v>
      </c>
    </row>
    <row r="117" spans="1:4" ht="110.25" x14ac:dyDescent="0.25">
      <c r="A117" s="406"/>
      <c r="B117" s="140" t="s">
        <v>113</v>
      </c>
      <c r="C117" s="329">
        <f>пр.1дох.20!C120</f>
        <v>1433.3</v>
      </c>
      <c r="D117" s="329">
        <f t="shared" si="22"/>
        <v>1433.3</v>
      </c>
    </row>
    <row r="118" spans="1:4" ht="110.25" x14ac:dyDescent="0.25">
      <c r="A118" s="406"/>
      <c r="B118" s="140" t="s">
        <v>114</v>
      </c>
      <c r="C118" s="329">
        <f>пр.1дох.20!C121</f>
        <v>288.8</v>
      </c>
      <c r="D118" s="329">
        <f t="shared" si="22"/>
        <v>288.8</v>
      </c>
    </row>
    <row r="119" spans="1:4" ht="47.25" x14ac:dyDescent="0.25">
      <c r="A119" s="406"/>
      <c r="B119" s="140" t="s">
        <v>115</v>
      </c>
      <c r="C119" s="329">
        <f>пр.1дох.20!C122</f>
        <v>3621.3999999999996</v>
      </c>
      <c r="D119" s="329">
        <f t="shared" si="22"/>
        <v>3621.3999999999996</v>
      </c>
    </row>
    <row r="120" spans="1:4" ht="31.5" x14ac:dyDescent="0.25">
      <c r="A120" s="406"/>
      <c r="B120" s="153" t="s">
        <v>717</v>
      </c>
      <c r="C120" s="329">
        <f>пр.1дох.20!C123</f>
        <v>2829.1</v>
      </c>
      <c r="D120" s="329">
        <f t="shared" si="22"/>
        <v>2829.1</v>
      </c>
    </row>
    <row r="121" spans="1:4" ht="31.5" x14ac:dyDescent="0.25">
      <c r="A121" s="406"/>
      <c r="B121" s="153" t="s">
        <v>718</v>
      </c>
      <c r="C121" s="329">
        <f>пр.1дох.20!C124</f>
        <v>792.3</v>
      </c>
      <c r="D121" s="329">
        <f t="shared" si="22"/>
        <v>792.3</v>
      </c>
    </row>
    <row r="122" spans="1:4" ht="126" x14ac:dyDescent="0.25">
      <c r="A122" s="406"/>
      <c r="B122" s="140" t="s">
        <v>842</v>
      </c>
      <c r="C122" s="329">
        <f>пр.1дох.20!C125</f>
        <v>319.7</v>
      </c>
      <c r="D122" s="329">
        <f t="shared" si="22"/>
        <v>319.7</v>
      </c>
    </row>
    <row r="123" spans="1:4" ht="126" x14ac:dyDescent="0.25">
      <c r="A123" s="406"/>
      <c r="B123" s="140" t="s">
        <v>116</v>
      </c>
      <c r="C123" s="329">
        <f>пр.1дох.20!C126</f>
        <v>923.4</v>
      </c>
      <c r="D123" s="329">
        <f t="shared" si="22"/>
        <v>923.4</v>
      </c>
    </row>
    <row r="124" spans="1:4" ht="47.25" x14ac:dyDescent="0.25">
      <c r="A124" s="406"/>
      <c r="B124" s="140" t="s">
        <v>117</v>
      </c>
      <c r="C124" s="329">
        <f>пр.1дох.20!C127</f>
        <v>1115.9000000000001</v>
      </c>
      <c r="D124" s="329">
        <f t="shared" si="22"/>
        <v>1115.9000000000001</v>
      </c>
    </row>
    <row r="125" spans="1:4" ht="157.5" x14ac:dyDescent="0.25">
      <c r="A125" s="406"/>
      <c r="B125" s="29" t="s">
        <v>1393</v>
      </c>
      <c r="C125" s="329">
        <v>22</v>
      </c>
      <c r="D125" s="329">
        <f t="shared" si="22"/>
        <v>22</v>
      </c>
    </row>
    <row r="126" spans="1:4" s="221" customFormat="1" ht="115.5" hidden="1" customHeight="1" x14ac:dyDescent="0.25">
      <c r="A126" s="406"/>
      <c r="B126" s="301" t="s">
        <v>1398</v>
      </c>
      <c r="C126" s="329"/>
      <c r="D126" s="329"/>
    </row>
    <row r="127" spans="1:4" s="221" customFormat="1" ht="48" customHeight="1" x14ac:dyDescent="0.25">
      <c r="A127" s="407"/>
      <c r="B127" s="140" t="s">
        <v>1307</v>
      </c>
      <c r="C127" s="329">
        <f>пр.1дох.20!C130</f>
        <v>1914.5</v>
      </c>
      <c r="D127" s="329">
        <f>1914.5+7392</f>
        <v>9306.5</v>
      </c>
    </row>
    <row r="128" spans="1:4" s="361" customFormat="1" ht="120.75" customHeight="1" x14ac:dyDescent="0.25">
      <c r="A128" s="387"/>
      <c r="B128" s="388" t="s">
        <v>1504</v>
      </c>
      <c r="C128" s="389">
        <v>9263</v>
      </c>
      <c r="D128" s="329">
        <f>C128</f>
        <v>9263</v>
      </c>
    </row>
    <row r="129" spans="1:4" s="361" customFormat="1" ht="129" customHeight="1" x14ac:dyDescent="0.25">
      <c r="A129" s="387"/>
      <c r="B129" s="388" t="s">
        <v>1505</v>
      </c>
      <c r="C129" s="389">
        <v>2100.6</v>
      </c>
      <c r="D129" s="329">
        <f t="shared" ref="D129:D130" si="23">C129</f>
        <v>2100.6</v>
      </c>
    </row>
    <row r="130" spans="1:4" s="361" customFormat="1" ht="132" customHeight="1" x14ac:dyDescent="0.25">
      <c r="A130" s="387"/>
      <c r="B130" s="388" t="s">
        <v>1506</v>
      </c>
      <c r="C130" s="389">
        <v>813.5</v>
      </c>
      <c r="D130" s="329">
        <f t="shared" si="23"/>
        <v>813.5</v>
      </c>
    </row>
    <row r="131" spans="1:4" s="221" customFormat="1" ht="63" x14ac:dyDescent="0.25">
      <c r="A131" s="390" t="s">
        <v>1400</v>
      </c>
      <c r="B131" s="391" t="s">
        <v>1402</v>
      </c>
      <c r="C131" s="392">
        <f>C132</f>
        <v>6.3</v>
      </c>
      <c r="D131" s="333">
        <f>D132</f>
        <v>51</v>
      </c>
    </row>
    <row r="132" spans="1:4" s="221" customFormat="1" ht="63" x14ac:dyDescent="0.25">
      <c r="A132" s="393" t="s">
        <v>1401</v>
      </c>
      <c r="B132" s="394" t="s">
        <v>1402</v>
      </c>
      <c r="C132" s="389">
        <v>6.3</v>
      </c>
      <c r="D132" s="329">
        <v>51</v>
      </c>
    </row>
    <row r="133" spans="1:4" ht="31.5" x14ac:dyDescent="0.25">
      <c r="A133" s="390" t="s">
        <v>846</v>
      </c>
      <c r="B133" s="395" t="s">
        <v>118</v>
      </c>
      <c r="C133" s="396">
        <f t="shared" ref="C133:D133" si="24">C134</f>
        <v>567.4</v>
      </c>
      <c r="D133" s="190">
        <f t="shared" si="24"/>
        <v>589.4</v>
      </c>
    </row>
    <row r="134" spans="1:4" ht="31.5" x14ac:dyDescent="0.25">
      <c r="A134" s="219" t="s">
        <v>845</v>
      </c>
      <c r="B134" s="140" t="s">
        <v>119</v>
      </c>
      <c r="C134" s="191">
        <v>567.4</v>
      </c>
      <c r="D134" s="191">
        <v>589.4</v>
      </c>
    </row>
    <row r="135" spans="1:4" ht="18.75" hidden="1" x14ac:dyDescent="0.25">
      <c r="A135" s="138" t="s">
        <v>844</v>
      </c>
      <c r="B135" s="147" t="s">
        <v>120</v>
      </c>
      <c r="C135" s="190">
        <f>SUM(C137)</f>
        <v>0</v>
      </c>
      <c r="D135" s="190">
        <f>SUM(D137)</f>
        <v>0</v>
      </c>
    </row>
    <row r="136" spans="1:4" ht="18.75" hidden="1" x14ac:dyDescent="0.25">
      <c r="A136" s="138" t="s">
        <v>843</v>
      </c>
      <c r="B136" s="147" t="s">
        <v>121</v>
      </c>
      <c r="C136" s="190">
        <f t="shared" ref="C136:D136" si="25">C137</f>
        <v>0</v>
      </c>
      <c r="D136" s="190">
        <f t="shared" si="25"/>
        <v>0</v>
      </c>
    </row>
    <row r="137" spans="1:4" s="221" customFormat="1" ht="31.5" hidden="1" x14ac:dyDescent="0.25">
      <c r="A137" s="219" t="s">
        <v>855</v>
      </c>
      <c r="B137" s="140" t="s">
        <v>1336</v>
      </c>
      <c r="C137" s="191">
        <f>SUM(C138:C140)</f>
        <v>0</v>
      </c>
      <c r="D137" s="191">
        <f>SUM(D138:D140)</f>
        <v>0</v>
      </c>
    </row>
    <row r="138" spans="1:4" ht="126" hidden="1" x14ac:dyDescent="0.25">
      <c r="A138" s="405"/>
      <c r="B138" s="154" t="s">
        <v>809</v>
      </c>
      <c r="C138" s="192">
        <v>0</v>
      </c>
      <c r="D138" s="192">
        <f>C138</f>
        <v>0</v>
      </c>
    </row>
    <row r="139" spans="1:4" ht="141.75" hidden="1" x14ac:dyDescent="0.25">
      <c r="A139" s="406"/>
      <c r="B139" s="154" t="s">
        <v>810</v>
      </c>
      <c r="C139" s="192">
        <v>0</v>
      </c>
      <c r="D139" s="192">
        <f t="shared" ref="D139:D140" si="26">C139</f>
        <v>0</v>
      </c>
    </row>
    <row r="140" spans="1:4" ht="126" hidden="1" x14ac:dyDescent="0.25">
      <c r="A140" s="407"/>
      <c r="B140" s="154" t="s">
        <v>873</v>
      </c>
      <c r="C140" s="192">
        <v>0</v>
      </c>
      <c r="D140" s="192">
        <f t="shared" si="26"/>
        <v>0</v>
      </c>
    </row>
    <row r="141" spans="1:4" ht="18.75" hidden="1" x14ac:dyDescent="0.25">
      <c r="A141" s="19" t="s">
        <v>805</v>
      </c>
      <c r="B141" s="201" t="s">
        <v>806</v>
      </c>
      <c r="C141" s="202">
        <f>SUM(C142)</f>
        <v>0</v>
      </c>
      <c r="D141" s="202">
        <f>SUM(D142)</f>
        <v>0</v>
      </c>
    </row>
    <row r="142" spans="1:4" ht="31.5" hidden="1" x14ac:dyDescent="0.25">
      <c r="A142" s="19" t="s">
        <v>807</v>
      </c>
      <c r="B142" s="201" t="s">
        <v>808</v>
      </c>
      <c r="C142" s="202">
        <f>SUM(C143)</f>
        <v>0</v>
      </c>
      <c r="D142" s="202">
        <f>SUM(D143)</f>
        <v>0</v>
      </c>
    </row>
    <row r="143" spans="1:4" ht="18.75" hidden="1" x14ac:dyDescent="0.25">
      <c r="A143" s="402" t="s">
        <v>878</v>
      </c>
      <c r="B143" s="205" t="s">
        <v>808</v>
      </c>
      <c r="C143" s="202">
        <f>SUM(C145:C146)</f>
        <v>0</v>
      </c>
      <c r="D143" s="202">
        <f>SUM(D145:D146)</f>
        <v>0</v>
      </c>
    </row>
    <row r="144" spans="1:4" ht="18.75" hidden="1" x14ac:dyDescent="0.25">
      <c r="A144" s="403"/>
      <c r="B144" s="205" t="s">
        <v>107</v>
      </c>
      <c r="C144" s="202"/>
      <c r="D144" s="202"/>
    </row>
    <row r="145" spans="1:4" ht="94.5" hidden="1" x14ac:dyDescent="0.25">
      <c r="A145" s="403"/>
      <c r="B145" s="203" t="s">
        <v>875</v>
      </c>
      <c r="C145" s="192">
        <v>0</v>
      </c>
      <c r="D145" s="192">
        <v>0</v>
      </c>
    </row>
    <row r="146" spans="1:4" ht="78.75" hidden="1" x14ac:dyDescent="0.25">
      <c r="A146" s="409"/>
      <c r="B146" s="203" t="s">
        <v>876</v>
      </c>
      <c r="C146" s="192">
        <v>0</v>
      </c>
      <c r="D146" s="192">
        <v>0</v>
      </c>
    </row>
    <row r="147" spans="1:4" ht="18.75" x14ac:dyDescent="0.25">
      <c r="A147" s="219"/>
      <c r="B147" s="197" t="s">
        <v>122</v>
      </c>
      <c r="C147" s="190">
        <f>SUM(C9+C73)</f>
        <v>729449.03199999989</v>
      </c>
      <c r="D147" s="190">
        <f>SUM(D9+D73)</f>
        <v>733196.22</v>
      </c>
    </row>
    <row r="150" spans="1:4" x14ac:dyDescent="0.25">
      <c r="C150" s="116"/>
      <c r="D150" s="116"/>
    </row>
  </sheetData>
  <mergeCells count="10">
    <mergeCell ref="C3:D3"/>
    <mergeCell ref="C2:D2"/>
    <mergeCell ref="C1:D1"/>
    <mergeCell ref="A143:A146"/>
    <mergeCell ref="A4:D4"/>
    <mergeCell ref="A5:D5"/>
    <mergeCell ref="A6:D6"/>
    <mergeCell ref="A97:A109"/>
    <mergeCell ref="A113:A127"/>
    <mergeCell ref="A138:A140"/>
  </mergeCells>
  <hyperlinks>
    <hyperlink ref="B65" r:id="rId1" display="consultantplus://offline/ref=90DD075742B43C415054D7C57EEE35341F87E5BC1D9D1BDE3A747C0D881C15D50B24F795703DF0A84C588B73F9A8AC3C8A6AC02CDB9A5E68c4m2F"/>
    <hyperlink ref="B67" r:id="rId2" display="consultantplus://offline/ref=90DD075742B43C415054D7C57EEE35341F87E5BC1D9D1BDE3A747C0D881C15D50B24F795703DF2AD4E588B73F9A8AC3C8A6AC02CDB9A5E68c4m2F"/>
    <hyperlink ref="B69" r:id="rId3" display="consultantplus://offline/ref=90DD075742B43C415054D7C57EEE35341F87E5BC1D9D1BDE3A747C0D881C15D50B24F795703CF7A64B588B73F9A8AC3C8A6AC02CDB9A5E68c4m2F"/>
    <hyperlink ref="B68" r:id="rId4" display="consultantplus://offline/ref=90DD075742B43C415054D7C57EEE35341F87E5BC1D9D1BDE3A747C0D881C15D50B24F795703CF7A64B588B73F9A8AC3C8A6AC02CDB9A5E68c4m2F"/>
    <hyperlink ref="B64" r:id="rId5" display="consultantplus://offline/ref=90DD075742B43C415054D7C57EEE35341F87E5BC1D9D1BDE3A747C0D881C15D50B24F795703DF0A84C588B73F9A8AC3C8A6AC02CDB9A5E68c4m2F"/>
    <hyperlink ref="B66" r:id="rId6" display="consultantplus://offline/ref=90DD075742B43C415054D7C57EEE35341F87E5BC1D9D1BDE3A747C0D881C15D50B24F795703DF2AD4E588B73F9A8AC3C8A6AC02CDB9A5E68c4m2F"/>
  </hyperlinks>
  <pageMargins left="0.23622047244094491" right="0.23622047244094491" top="0.74803149606299213" bottom="0.74803149606299213" header="0.31496062992125984" footer="0.31496062992125984"/>
  <pageSetup paperSize="9" scale="71"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view="pageBreakPreview" zoomScaleNormal="100" zoomScaleSheetLayoutView="100" workbookViewId="0">
      <selection activeCell="F24" sqref="F24"/>
    </sheetView>
  </sheetViews>
  <sheetFormatPr defaultRowHeight="15" x14ac:dyDescent="0.25"/>
  <cols>
    <col min="1" max="1" width="80.7109375" customWidth="1"/>
    <col min="2" max="2" width="4.5703125" customWidth="1"/>
    <col min="3" max="3" width="6.140625" customWidth="1"/>
    <col min="4" max="4" width="14.42578125" customWidth="1"/>
  </cols>
  <sheetData>
    <row r="1" spans="1:5" ht="15.75" x14ac:dyDescent="0.25">
      <c r="A1" s="11"/>
      <c r="B1" s="401" t="s">
        <v>1517</v>
      </c>
      <c r="C1" s="401"/>
      <c r="D1" s="401"/>
    </row>
    <row r="2" spans="1:5" ht="15.75" x14ac:dyDescent="0.25">
      <c r="A2" s="11"/>
      <c r="B2" s="401" t="s">
        <v>1541</v>
      </c>
      <c r="C2" s="401"/>
      <c r="D2" s="401"/>
    </row>
    <row r="3" spans="1:5" ht="18.75" customHeight="1" x14ac:dyDescent="0.25">
      <c r="A3" s="11"/>
      <c r="B3" s="401" t="s">
        <v>1540</v>
      </c>
      <c r="C3" s="401"/>
      <c r="D3" s="401"/>
    </row>
    <row r="4" spans="1:5" ht="15.75" x14ac:dyDescent="0.25">
      <c r="A4" s="412" t="s">
        <v>1348</v>
      </c>
      <c r="B4" s="412"/>
      <c r="C4" s="412"/>
      <c r="D4" s="412"/>
    </row>
    <row r="5" spans="1:5" ht="15.75" x14ac:dyDescent="0.25">
      <c r="A5" s="412" t="s">
        <v>1349</v>
      </c>
      <c r="B5" s="412"/>
      <c r="C5" s="412"/>
      <c r="D5" s="412"/>
    </row>
    <row r="6" spans="1:5" ht="15.75" x14ac:dyDescent="0.25">
      <c r="A6" s="412" t="s">
        <v>1350</v>
      </c>
      <c r="B6" s="412"/>
      <c r="C6" s="412"/>
      <c r="D6" s="412"/>
    </row>
    <row r="7" spans="1:5" ht="15.75" x14ac:dyDescent="0.25">
      <c r="A7" s="410"/>
      <c r="B7" s="411"/>
      <c r="C7" s="411"/>
    </row>
    <row r="8" spans="1:5" x14ac:dyDescent="0.25">
      <c r="B8" s="90"/>
      <c r="C8" s="90"/>
      <c r="D8" s="194" t="s">
        <v>1</v>
      </c>
    </row>
    <row r="9" spans="1:5" ht="66.2" customHeight="1" x14ac:dyDescent="0.25">
      <c r="A9" s="91" t="s">
        <v>690</v>
      </c>
      <c r="B9" s="91" t="s">
        <v>691</v>
      </c>
      <c r="C9" s="91" t="s">
        <v>692</v>
      </c>
      <c r="D9" s="183" t="s">
        <v>1192</v>
      </c>
    </row>
    <row r="10" spans="1:5" ht="15.75" x14ac:dyDescent="0.25">
      <c r="A10" s="47" t="s">
        <v>132</v>
      </c>
      <c r="B10" s="24" t="s">
        <v>133</v>
      </c>
      <c r="C10" s="92"/>
      <c r="D10" s="93">
        <f>SUM(D11:D16)</f>
        <v>138218</v>
      </c>
    </row>
    <row r="11" spans="1:5" ht="31.5" x14ac:dyDescent="0.25">
      <c r="A11" s="31" t="s">
        <v>590</v>
      </c>
      <c r="B11" s="20" t="s">
        <v>133</v>
      </c>
      <c r="C11" s="20" t="s">
        <v>228</v>
      </c>
      <c r="D11" s="27">
        <f>'Пр.3 Рд,пр, ЦС,ВР 20'!F9</f>
        <v>4354.7</v>
      </c>
      <c r="E11" s="22"/>
    </row>
    <row r="12" spans="1:5" ht="47.25" x14ac:dyDescent="0.25">
      <c r="A12" s="31" t="s">
        <v>593</v>
      </c>
      <c r="B12" s="20" t="s">
        <v>133</v>
      </c>
      <c r="C12" s="20" t="s">
        <v>230</v>
      </c>
      <c r="D12" s="27">
        <f>'Пр.3 Рд,пр, ЦС,ВР 20'!F28</f>
        <v>1143</v>
      </c>
    </row>
    <row r="13" spans="1:5" ht="47.25" x14ac:dyDescent="0.25">
      <c r="A13" s="25" t="s">
        <v>164</v>
      </c>
      <c r="B13" s="20" t="s">
        <v>133</v>
      </c>
      <c r="C13" s="20" t="s">
        <v>165</v>
      </c>
      <c r="D13" s="27">
        <f>'Пр.3 Рд,пр, ЦС,ВР 20'!F39</f>
        <v>65474.1</v>
      </c>
    </row>
    <row r="14" spans="1:5" ht="31.5" x14ac:dyDescent="0.25">
      <c r="A14" s="25" t="s">
        <v>134</v>
      </c>
      <c r="B14" s="20" t="s">
        <v>133</v>
      </c>
      <c r="C14" s="20" t="s">
        <v>135</v>
      </c>
      <c r="D14" s="27">
        <f>'Пр.3 Рд,пр, ЦС,ВР 20'!F102</f>
        <v>16220.2</v>
      </c>
    </row>
    <row r="15" spans="1:5" s="221" customFormat="1" ht="15.75" x14ac:dyDescent="0.25">
      <c r="A15" s="25" t="s">
        <v>1373</v>
      </c>
      <c r="B15" s="20" t="s">
        <v>133</v>
      </c>
      <c r="C15" s="20" t="s">
        <v>279</v>
      </c>
      <c r="D15" s="27">
        <f>'Пр.3 Рд,пр, ЦС,ВР 20'!F124</f>
        <v>158.38</v>
      </c>
    </row>
    <row r="16" spans="1:5" ht="15.75" x14ac:dyDescent="0.25">
      <c r="A16" s="94" t="s">
        <v>154</v>
      </c>
      <c r="B16" s="20" t="s">
        <v>133</v>
      </c>
      <c r="C16" s="20" t="s">
        <v>155</v>
      </c>
      <c r="D16" s="27">
        <f>'Пр.3 Рд,пр, ЦС,ВР 20'!F132</f>
        <v>50867.619999999995</v>
      </c>
    </row>
    <row r="17" spans="1:5" ht="15.75" hidden="1" x14ac:dyDescent="0.25">
      <c r="A17" s="19" t="s">
        <v>227</v>
      </c>
      <c r="B17" s="24" t="s">
        <v>228</v>
      </c>
      <c r="C17" s="20"/>
      <c r="D17" s="44">
        <f t="shared" ref="D17" si="0">D18</f>
        <v>0</v>
      </c>
    </row>
    <row r="18" spans="1:5" ht="15.75" hidden="1" x14ac:dyDescent="0.25">
      <c r="A18" s="25" t="s">
        <v>233</v>
      </c>
      <c r="B18" s="20" t="s">
        <v>228</v>
      </c>
      <c r="C18" s="20" t="s">
        <v>234</v>
      </c>
      <c r="D18" s="27"/>
    </row>
    <row r="19" spans="1:5" ht="18" customHeight="1" x14ac:dyDescent="0.25">
      <c r="A19" s="34" t="s">
        <v>237</v>
      </c>
      <c r="B19" s="24" t="s">
        <v>230</v>
      </c>
      <c r="C19" s="24"/>
      <c r="D19" s="44">
        <f t="shared" ref="D19" si="1">D20</f>
        <v>8119.5999999999995</v>
      </c>
    </row>
    <row r="20" spans="1:5" ht="31.5" x14ac:dyDescent="0.25">
      <c r="A20" s="31" t="s">
        <v>238</v>
      </c>
      <c r="B20" s="20" t="s">
        <v>230</v>
      </c>
      <c r="C20" s="20" t="s">
        <v>234</v>
      </c>
      <c r="D20" s="27">
        <f>'Пр.3 Рд,пр, ЦС,ВР 20'!F225</f>
        <v>8119.5999999999995</v>
      </c>
    </row>
    <row r="21" spans="1:5" ht="15.75" x14ac:dyDescent="0.25">
      <c r="A21" s="47" t="s">
        <v>247</v>
      </c>
      <c r="B21" s="24" t="s">
        <v>165</v>
      </c>
      <c r="C21" s="24"/>
      <c r="D21" s="44">
        <f t="shared" ref="D21" si="2">D22+D23+D24+D25</f>
        <v>7918.8</v>
      </c>
    </row>
    <row r="22" spans="1:5" ht="15.75" x14ac:dyDescent="0.25">
      <c r="A22" s="95" t="s">
        <v>248</v>
      </c>
      <c r="B22" s="20" t="s">
        <v>165</v>
      </c>
      <c r="C22" s="20" t="s">
        <v>249</v>
      </c>
      <c r="D22" s="27">
        <f>'Пр.3 Рд,пр, ЦС,ВР 20'!F244</f>
        <v>306</v>
      </c>
    </row>
    <row r="23" spans="1:5" ht="15.75" x14ac:dyDescent="0.25">
      <c r="A23" s="94" t="s">
        <v>520</v>
      </c>
      <c r="B23" s="20" t="s">
        <v>165</v>
      </c>
      <c r="C23" s="20" t="s">
        <v>314</v>
      </c>
      <c r="D23" s="27">
        <f>'Пр.3 Рд,пр, ЦС,ВР 20'!F257</f>
        <v>3258</v>
      </c>
    </row>
    <row r="24" spans="1:5" ht="15.75" x14ac:dyDescent="0.25">
      <c r="A24" s="94" t="s">
        <v>523</v>
      </c>
      <c r="B24" s="20" t="s">
        <v>165</v>
      </c>
      <c r="C24" s="20" t="s">
        <v>234</v>
      </c>
      <c r="D24" s="27">
        <f>'Пр.3 Рд,пр, ЦС,ВР 20'!F263</f>
        <v>3446</v>
      </c>
    </row>
    <row r="25" spans="1:5" ht="15.75" x14ac:dyDescent="0.25">
      <c r="A25" s="96" t="s">
        <v>252</v>
      </c>
      <c r="B25" s="20" t="s">
        <v>165</v>
      </c>
      <c r="C25" s="20" t="s">
        <v>253</v>
      </c>
      <c r="D25" s="27">
        <f>'Пр.3 Рд,пр, ЦС,ВР 20'!F277</f>
        <v>908.8</v>
      </c>
    </row>
    <row r="26" spans="1:5" ht="15.75" x14ac:dyDescent="0.25">
      <c r="A26" s="47" t="s">
        <v>405</v>
      </c>
      <c r="B26" s="24" t="s">
        <v>249</v>
      </c>
      <c r="C26" s="24"/>
      <c r="D26" s="44">
        <f t="shared" ref="D26" si="3">SUM(D27:D30)</f>
        <v>63438.400000000009</v>
      </c>
    </row>
    <row r="27" spans="1:5" ht="15.75" x14ac:dyDescent="0.25">
      <c r="A27" s="95" t="s">
        <v>406</v>
      </c>
      <c r="B27" s="20" t="s">
        <v>249</v>
      </c>
      <c r="C27" s="20" t="s">
        <v>133</v>
      </c>
      <c r="D27" s="27">
        <f>'Пр.3 Рд,пр, ЦС,ВР 20'!F326</f>
        <v>6475</v>
      </c>
      <c r="E27" s="22"/>
    </row>
    <row r="28" spans="1:5" ht="15.75" x14ac:dyDescent="0.25">
      <c r="A28" s="95" t="s">
        <v>532</v>
      </c>
      <c r="B28" s="20" t="s">
        <v>249</v>
      </c>
      <c r="C28" s="20" t="s">
        <v>228</v>
      </c>
      <c r="D28" s="27">
        <f>'Пр.3 Рд,пр, ЦС,ВР 20'!F340</f>
        <v>29308.400000000001</v>
      </c>
    </row>
    <row r="29" spans="1:5" ht="15.75" x14ac:dyDescent="0.25">
      <c r="A29" s="94" t="s">
        <v>556</v>
      </c>
      <c r="B29" s="20" t="s">
        <v>249</v>
      </c>
      <c r="C29" s="20" t="s">
        <v>230</v>
      </c>
      <c r="D29" s="27">
        <f>'Пр.3 Рд,пр, ЦС,ВР 20'!F407</f>
        <v>3859.3</v>
      </c>
    </row>
    <row r="30" spans="1:5" ht="15.75" x14ac:dyDescent="0.25">
      <c r="A30" s="25" t="s">
        <v>584</v>
      </c>
      <c r="B30" s="20" t="s">
        <v>249</v>
      </c>
      <c r="C30" s="20" t="s">
        <v>249</v>
      </c>
      <c r="D30" s="27">
        <f>'Пр.3 Рд,пр, ЦС,ВР 20'!F456</f>
        <v>23795.7</v>
      </c>
    </row>
    <row r="31" spans="1:5" ht="15.75" x14ac:dyDescent="0.25">
      <c r="A31" s="47" t="s">
        <v>278</v>
      </c>
      <c r="B31" s="24" t="s">
        <v>279</v>
      </c>
      <c r="C31" s="24"/>
      <c r="D31" s="44">
        <f t="shared" ref="D31" si="4">SUM(D32:D36)</f>
        <v>381278.35900000005</v>
      </c>
    </row>
    <row r="32" spans="1:5" ht="15.75" x14ac:dyDescent="0.25">
      <c r="A32" s="94" t="s">
        <v>419</v>
      </c>
      <c r="B32" s="20" t="s">
        <v>279</v>
      </c>
      <c r="C32" s="20" t="s">
        <v>133</v>
      </c>
      <c r="D32" s="27">
        <f>'Пр.3 Рд,пр, ЦС,ВР 20'!F494</f>
        <v>110319.5</v>
      </c>
    </row>
    <row r="33" spans="1:4" ht="15.75" x14ac:dyDescent="0.25">
      <c r="A33" s="94" t="s">
        <v>440</v>
      </c>
      <c r="B33" s="20" t="s">
        <v>279</v>
      </c>
      <c r="C33" s="20" t="s">
        <v>228</v>
      </c>
      <c r="D33" s="27">
        <f>'Пр.3 Рд,пр, ЦС,ВР 20'!F565</f>
        <v>191118.55900000001</v>
      </c>
    </row>
    <row r="34" spans="1:4" ht="15.75" x14ac:dyDescent="0.25">
      <c r="A34" s="94" t="s">
        <v>280</v>
      </c>
      <c r="B34" s="20" t="s">
        <v>279</v>
      </c>
      <c r="C34" s="20" t="s">
        <v>230</v>
      </c>
      <c r="D34" s="27">
        <f>'Пр.3 Рд,пр, ЦС,ВР 20'!F653</f>
        <v>52627.999999999993</v>
      </c>
    </row>
    <row r="35" spans="1:4" ht="15.75" x14ac:dyDescent="0.25">
      <c r="A35" s="94" t="s">
        <v>481</v>
      </c>
      <c r="B35" s="20" t="s">
        <v>279</v>
      </c>
      <c r="C35" s="20" t="s">
        <v>279</v>
      </c>
      <c r="D35" s="27">
        <f>'Пр.3 Рд,пр, ЦС,ВР 20'!F727</f>
        <v>6564.9</v>
      </c>
    </row>
    <row r="36" spans="1:4" ht="15.75" x14ac:dyDescent="0.25">
      <c r="A36" s="94" t="s">
        <v>310</v>
      </c>
      <c r="B36" s="20" t="s">
        <v>279</v>
      </c>
      <c r="C36" s="20" t="s">
        <v>234</v>
      </c>
      <c r="D36" s="27">
        <f>'Пр.3 Рд,пр, ЦС,ВР 20'!F756</f>
        <v>20647.399999999998</v>
      </c>
    </row>
    <row r="37" spans="1:4" ht="15.75" x14ac:dyDescent="0.25">
      <c r="A37" s="97" t="s">
        <v>313</v>
      </c>
      <c r="B37" s="24" t="s">
        <v>314</v>
      </c>
      <c r="C37" s="20"/>
      <c r="D37" s="44">
        <f t="shared" ref="D37" si="5">D38+D39</f>
        <v>72248.323000000004</v>
      </c>
    </row>
    <row r="38" spans="1:4" ht="15.75" x14ac:dyDescent="0.25">
      <c r="A38" s="96" t="s">
        <v>315</v>
      </c>
      <c r="B38" s="20" t="s">
        <v>314</v>
      </c>
      <c r="C38" s="20" t="s">
        <v>133</v>
      </c>
      <c r="D38" s="27">
        <f>'Пр.3 Рд,пр, ЦС,ВР 20'!F784</f>
        <v>54353.722999999998</v>
      </c>
    </row>
    <row r="39" spans="1:4" ht="15.75" x14ac:dyDescent="0.25">
      <c r="A39" s="96" t="s">
        <v>348</v>
      </c>
      <c r="B39" s="20" t="s">
        <v>314</v>
      </c>
      <c r="C39" s="20" t="s">
        <v>165</v>
      </c>
      <c r="D39" s="27">
        <f>'Пр.3 Рд,пр, ЦС,ВР 20'!F860</f>
        <v>17894.599999999999</v>
      </c>
    </row>
    <row r="40" spans="1:4" ht="15.75" x14ac:dyDescent="0.25">
      <c r="A40" s="47" t="s">
        <v>258</v>
      </c>
      <c r="B40" s="24" t="s">
        <v>259</v>
      </c>
      <c r="C40" s="24"/>
      <c r="D40" s="44">
        <f>SUM(D41:D44)</f>
        <v>16582.400000000001</v>
      </c>
    </row>
    <row r="41" spans="1:4" ht="15.75" x14ac:dyDescent="0.25">
      <c r="A41" s="94" t="s">
        <v>260</v>
      </c>
      <c r="B41" s="20" t="s">
        <v>259</v>
      </c>
      <c r="C41" s="20" t="s">
        <v>133</v>
      </c>
      <c r="D41" s="27">
        <f>'Пр.3 Рд,пр, ЦС,ВР 20'!F890</f>
        <v>9456</v>
      </c>
    </row>
    <row r="42" spans="1:4" ht="15.75" x14ac:dyDescent="0.25">
      <c r="A42" s="25" t="s">
        <v>267</v>
      </c>
      <c r="B42" s="20" t="s">
        <v>259</v>
      </c>
      <c r="C42" s="20" t="s">
        <v>230</v>
      </c>
      <c r="D42" s="27">
        <f>'Пр.3 Рд,пр, ЦС,ВР 20'!F896</f>
        <v>1959.2</v>
      </c>
    </row>
    <row r="43" spans="1:4" s="221" customFormat="1" ht="15.75" x14ac:dyDescent="0.25">
      <c r="A43" s="25" t="s">
        <v>415</v>
      </c>
      <c r="B43" s="20" t="s">
        <v>259</v>
      </c>
      <c r="C43" s="20" t="s">
        <v>165</v>
      </c>
      <c r="D43" s="27">
        <f>'Пр.3 Рд,пр, ЦС,ВР 20'!F929</f>
        <v>1431.2</v>
      </c>
    </row>
    <row r="44" spans="1:4" ht="15.75" x14ac:dyDescent="0.25">
      <c r="A44" s="25" t="s">
        <v>273</v>
      </c>
      <c r="B44" s="20" t="s">
        <v>259</v>
      </c>
      <c r="C44" s="20" t="s">
        <v>135</v>
      </c>
      <c r="D44" s="27">
        <f>'Пр.3 Рд,пр, ЦС,ВР 20'!F934</f>
        <v>3736</v>
      </c>
    </row>
    <row r="45" spans="1:4" ht="15.75" x14ac:dyDescent="0.25">
      <c r="A45" s="97" t="s">
        <v>505</v>
      </c>
      <c r="B45" s="24" t="s">
        <v>506</v>
      </c>
      <c r="C45" s="20"/>
      <c r="D45" s="44">
        <f t="shared" ref="D45" si="6">D46+D47</f>
        <v>66064.7304</v>
      </c>
    </row>
    <row r="46" spans="1:4" ht="15.75" x14ac:dyDescent="0.25">
      <c r="A46" s="96" t="s">
        <v>507</v>
      </c>
      <c r="B46" s="20" t="s">
        <v>506</v>
      </c>
      <c r="C46" s="20" t="s">
        <v>133</v>
      </c>
      <c r="D46" s="27">
        <f>'Пр.3 Рд,пр, ЦС,ВР 20'!F948</f>
        <v>52846.530400000003</v>
      </c>
    </row>
    <row r="47" spans="1:4" ht="15.75" x14ac:dyDescent="0.25">
      <c r="A47" s="96" t="s">
        <v>515</v>
      </c>
      <c r="B47" s="20" t="s">
        <v>506</v>
      </c>
      <c r="C47" s="20" t="s">
        <v>249</v>
      </c>
      <c r="D47" s="27">
        <f>'Пр.3 Рд,пр, ЦС,ВР 20'!F1005</f>
        <v>13218.2</v>
      </c>
    </row>
    <row r="48" spans="1:4" ht="15.75" x14ac:dyDescent="0.25">
      <c r="A48" s="19" t="s">
        <v>597</v>
      </c>
      <c r="B48" s="24" t="s">
        <v>253</v>
      </c>
      <c r="C48" s="20"/>
      <c r="D48" s="44">
        <f t="shared" ref="D48" si="7">D49</f>
        <v>6661</v>
      </c>
    </row>
    <row r="49" spans="1:5" ht="15.75" x14ac:dyDescent="0.25">
      <c r="A49" s="31" t="s">
        <v>598</v>
      </c>
      <c r="B49" s="20" t="s">
        <v>253</v>
      </c>
      <c r="C49" s="20" t="s">
        <v>228</v>
      </c>
      <c r="D49" s="27">
        <f>'Пр.3 Рд,пр, ЦС,ВР 20'!F1035</f>
        <v>6661</v>
      </c>
    </row>
    <row r="50" spans="1:5" ht="15.75" x14ac:dyDescent="0.25">
      <c r="A50" s="92" t="s">
        <v>693</v>
      </c>
      <c r="B50" s="24"/>
      <c r="C50" s="24"/>
      <c r="D50" s="44">
        <f>D10+D19+D21+D26+D31+D37+D40+D45+D48+D17</f>
        <v>760529.61239999998</v>
      </c>
      <c r="E50" s="22"/>
    </row>
    <row r="51" spans="1:5" hidden="1" x14ac:dyDescent="0.25">
      <c r="D51">
        <f>'Пр.4 ведом.20'!G1145</f>
        <v>760529.61239999998</v>
      </c>
    </row>
    <row r="52" spans="1:5" hidden="1" x14ac:dyDescent="0.25">
      <c r="D52" s="22">
        <f t="shared" ref="D52" si="8">D51-D50</f>
        <v>0</v>
      </c>
    </row>
    <row r="53" spans="1:5" hidden="1" x14ac:dyDescent="0.25">
      <c r="D53" s="253">
        <f>пр.1дох.20!C152</f>
        <v>744581.89999999991</v>
      </c>
    </row>
    <row r="54" spans="1:5" hidden="1" x14ac:dyDescent="0.25">
      <c r="D54" s="253">
        <f>D53-D50</f>
        <v>-15947.712400000077</v>
      </c>
    </row>
  </sheetData>
  <mergeCells count="7">
    <mergeCell ref="B3:D3"/>
    <mergeCell ref="B2:D2"/>
    <mergeCell ref="B1:D1"/>
    <mergeCell ref="A7:C7"/>
    <mergeCell ref="A4:D4"/>
    <mergeCell ref="A5:D5"/>
    <mergeCell ref="A6:D6"/>
  </mergeCells>
  <pageMargins left="0.25" right="0.25" top="0.75" bottom="0.75" header="0.3" footer="0.3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BreakPreview" zoomScale="60" zoomScaleNormal="100" workbookViewId="0">
      <selection activeCell="K48" sqref="K48"/>
    </sheetView>
  </sheetViews>
  <sheetFormatPr defaultRowHeight="15" x14ac:dyDescent="0.25"/>
  <cols>
    <col min="1" max="1" width="65.140625" customWidth="1"/>
    <col min="2" max="2" width="7" customWidth="1"/>
    <col min="3" max="3" width="6" customWidth="1"/>
    <col min="4" max="4" width="13.7109375" customWidth="1"/>
    <col min="5" max="5" width="15.5703125" customWidth="1"/>
  </cols>
  <sheetData>
    <row r="1" spans="1:7" ht="15.75" x14ac:dyDescent="0.25">
      <c r="A1" s="11"/>
      <c r="B1" s="221"/>
      <c r="C1" s="11"/>
      <c r="D1" s="401" t="s">
        <v>1544</v>
      </c>
      <c r="E1" s="401"/>
    </row>
    <row r="2" spans="1:7" ht="15.75" x14ac:dyDescent="0.25">
      <c r="A2" s="11"/>
      <c r="B2" s="221"/>
      <c r="C2" s="11"/>
      <c r="D2" s="401" t="s">
        <v>1543</v>
      </c>
      <c r="E2" s="401"/>
    </row>
    <row r="3" spans="1:7" ht="18.75" x14ac:dyDescent="0.3">
      <c r="A3" s="11"/>
      <c r="B3" s="155"/>
      <c r="C3" s="11"/>
      <c r="D3" s="401" t="s">
        <v>1542</v>
      </c>
      <c r="E3" s="401"/>
    </row>
    <row r="4" spans="1:7" ht="15.75" x14ac:dyDescent="0.25">
      <c r="A4" s="412" t="s">
        <v>1348</v>
      </c>
      <c r="B4" s="412"/>
      <c r="C4" s="412"/>
      <c r="D4" s="412"/>
      <c r="E4" s="412"/>
    </row>
    <row r="5" spans="1:7" ht="15.75" x14ac:dyDescent="0.25">
      <c r="A5" s="412" t="s">
        <v>1351</v>
      </c>
      <c r="B5" s="412"/>
      <c r="C5" s="412"/>
      <c r="D5" s="412"/>
      <c r="E5" s="412"/>
    </row>
    <row r="6" spans="1:7" ht="15.75" x14ac:dyDescent="0.25">
      <c r="A6" s="412" t="s">
        <v>1352</v>
      </c>
      <c r="B6" s="412"/>
      <c r="C6" s="412"/>
      <c r="D6" s="412"/>
      <c r="E6" s="412"/>
    </row>
    <row r="7" spans="1:7" ht="15.75" x14ac:dyDescent="0.25">
      <c r="A7" s="410"/>
      <c r="B7" s="411"/>
      <c r="C7" s="411"/>
      <c r="D7" s="221"/>
      <c r="E7" s="221"/>
    </row>
    <row r="8" spans="1:7" x14ac:dyDescent="0.25">
      <c r="A8" s="221"/>
      <c r="B8" s="90"/>
      <c r="C8" s="90"/>
      <c r="D8" s="221"/>
      <c r="E8" s="194" t="s">
        <v>1</v>
      </c>
    </row>
    <row r="9" spans="1:7" ht="31.5" x14ac:dyDescent="0.25">
      <c r="A9" s="91" t="s">
        <v>690</v>
      </c>
      <c r="B9" s="91" t="s">
        <v>691</v>
      </c>
      <c r="C9" s="91" t="s">
        <v>692</v>
      </c>
      <c r="D9" s="254" t="s">
        <v>1193</v>
      </c>
      <c r="E9" s="254" t="s">
        <v>1194</v>
      </c>
    </row>
    <row r="10" spans="1:7" ht="15.75" x14ac:dyDescent="0.25">
      <c r="A10" s="47" t="s">
        <v>132</v>
      </c>
      <c r="B10" s="24" t="s">
        <v>133</v>
      </c>
      <c r="C10" s="92"/>
      <c r="D10" s="93">
        <f>SUM(D11:D16)</f>
        <v>142238.12</v>
      </c>
      <c r="E10" s="93">
        <f>SUM(E11:E16)</f>
        <v>147123.02000000002</v>
      </c>
      <c r="G10" s="22"/>
    </row>
    <row r="11" spans="1:7" ht="31.5" x14ac:dyDescent="0.25">
      <c r="A11" s="31" t="s">
        <v>590</v>
      </c>
      <c r="B11" s="20" t="s">
        <v>133</v>
      </c>
      <c r="C11" s="20" t="s">
        <v>228</v>
      </c>
      <c r="D11" s="258">
        <f>'пр.3.1.рдпрцс 21-22'!F9</f>
        <v>4268.5</v>
      </c>
      <c r="E11" s="258">
        <f>'пр.3.1.рдпрцс 21-22'!G9</f>
        <v>4268.5</v>
      </c>
    </row>
    <row r="12" spans="1:7" ht="47.25" x14ac:dyDescent="0.25">
      <c r="A12" s="31" t="s">
        <v>593</v>
      </c>
      <c r="B12" s="20" t="s">
        <v>133</v>
      </c>
      <c r="C12" s="20" t="s">
        <v>230</v>
      </c>
      <c r="D12" s="258">
        <f>'пр.3.1.рдпрцс 21-22'!F28</f>
        <v>1091</v>
      </c>
      <c r="E12" s="258">
        <f>'пр.3.1.рдпрцс 21-22'!G28</f>
        <v>1091</v>
      </c>
    </row>
    <row r="13" spans="1:7" ht="47.25" x14ac:dyDescent="0.25">
      <c r="A13" s="25" t="s">
        <v>164</v>
      </c>
      <c r="B13" s="20" t="s">
        <v>133</v>
      </c>
      <c r="C13" s="20" t="s">
        <v>165</v>
      </c>
      <c r="D13" s="258">
        <f>'пр.3.1.рдпрцс 21-22'!F39</f>
        <v>62536.4</v>
      </c>
      <c r="E13" s="258">
        <f>'пр.3.1.рдпрцс 21-22'!G39</f>
        <v>62593.1</v>
      </c>
    </row>
    <row r="14" spans="1:7" ht="47.25" x14ac:dyDescent="0.25">
      <c r="A14" s="25" t="s">
        <v>134</v>
      </c>
      <c r="B14" s="20" t="s">
        <v>133</v>
      </c>
      <c r="C14" s="20" t="s">
        <v>135</v>
      </c>
      <c r="D14" s="258">
        <f>'пр.3.1.рдпрцс 21-22'!F97</f>
        <v>15283.5</v>
      </c>
      <c r="E14" s="258">
        <f>'пр.3.1.рдпрцс 21-22'!G97</f>
        <v>15283.5</v>
      </c>
    </row>
    <row r="15" spans="1:7" s="221" customFormat="1" ht="15.75" hidden="1" x14ac:dyDescent="0.25">
      <c r="A15" s="25" t="s">
        <v>1373</v>
      </c>
      <c r="B15" s="20" t="s">
        <v>133</v>
      </c>
      <c r="C15" s="20" t="s">
        <v>279</v>
      </c>
      <c r="D15" s="258">
        <f>'пр.3.1.рдпрцс 21-22'!F119</f>
        <v>0</v>
      </c>
      <c r="E15" s="258">
        <f>'пр.3.1.рдпрцс 21-22'!G119</f>
        <v>0</v>
      </c>
    </row>
    <row r="16" spans="1:7" ht="15.75" x14ac:dyDescent="0.25">
      <c r="A16" s="94" t="s">
        <v>154</v>
      </c>
      <c r="B16" s="20" t="s">
        <v>133</v>
      </c>
      <c r="C16" s="20" t="s">
        <v>155</v>
      </c>
      <c r="D16" s="258">
        <f>'пр.3.1.рдпрцс 21-22'!F127</f>
        <v>59058.720000000001</v>
      </c>
      <c r="E16" s="258">
        <f>'пр.3.1.рдпрцс 21-22'!G127</f>
        <v>63886.92</v>
      </c>
    </row>
    <row r="17" spans="1:5" ht="15.75" hidden="1" x14ac:dyDescent="0.25">
      <c r="A17" s="19" t="s">
        <v>227</v>
      </c>
      <c r="B17" s="24" t="s">
        <v>228</v>
      </c>
      <c r="C17" s="20"/>
      <c r="D17" s="93">
        <f>'пр.2 Рд,пр 20'!D17</f>
        <v>0</v>
      </c>
      <c r="E17" s="93">
        <f>'пр.2 Рд,пр 20'!E17</f>
        <v>0</v>
      </c>
    </row>
    <row r="18" spans="1:5" ht="15.75" hidden="1" x14ac:dyDescent="0.25">
      <c r="A18" s="25" t="s">
        <v>233</v>
      </c>
      <c r="B18" s="20" t="s">
        <v>228</v>
      </c>
      <c r="C18" s="20" t="s">
        <v>234</v>
      </c>
      <c r="D18" s="258">
        <f>'пр.2 Рд,пр 20'!D18</f>
        <v>0</v>
      </c>
      <c r="E18" s="258">
        <f>'пр.2 Рд,пр 20'!E18</f>
        <v>0</v>
      </c>
    </row>
    <row r="19" spans="1:5" ht="31.5" x14ac:dyDescent="0.25">
      <c r="A19" s="34" t="s">
        <v>237</v>
      </c>
      <c r="B19" s="24" t="s">
        <v>230</v>
      </c>
      <c r="C19" s="24"/>
      <c r="D19" s="93">
        <f>D20</f>
        <v>8029</v>
      </c>
      <c r="E19" s="93">
        <f>E20</f>
        <v>8029</v>
      </c>
    </row>
    <row r="20" spans="1:5" ht="31.5" x14ac:dyDescent="0.25">
      <c r="A20" s="31" t="s">
        <v>238</v>
      </c>
      <c r="B20" s="20" t="s">
        <v>230</v>
      </c>
      <c r="C20" s="20" t="s">
        <v>234</v>
      </c>
      <c r="D20" s="258">
        <f>'пр.3.1.рдпрцс 21-22'!F223</f>
        <v>8029</v>
      </c>
      <c r="E20" s="258">
        <f>'пр.3.1.рдпрцс 21-22'!G223</f>
        <v>8029</v>
      </c>
    </row>
    <row r="21" spans="1:5" ht="15.75" x14ac:dyDescent="0.25">
      <c r="A21" s="47" t="s">
        <v>247</v>
      </c>
      <c r="B21" s="24" t="s">
        <v>165</v>
      </c>
      <c r="C21" s="24"/>
      <c r="D21" s="93">
        <f>SUM(D22:D25)</f>
        <v>7611.8</v>
      </c>
      <c r="E21" s="93">
        <f>SUM(E22:E25)</f>
        <v>7579.5</v>
      </c>
    </row>
    <row r="22" spans="1:5" ht="15.75" x14ac:dyDescent="0.25">
      <c r="A22" s="95" t="s">
        <v>248</v>
      </c>
      <c r="B22" s="20" t="s">
        <v>165</v>
      </c>
      <c r="C22" s="20" t="s">
        <v>249</v>
      </c>
      <c r="D22" s="258">
        <f>'пр.3.1.рдпрцс 21-22'!F242</f>
        <v>306</v>
      </c>
      <c r="E22" s="258">
        <f>'пр.3.1.рдпрцс 21-22'!G242</f>
        <v>306</v>
      </c>
    </row>
    <row r="23" spans="1:5" ht="15.75" x14ac:dyDescent="0.25">
      <c r="A23" s="94" t="s">
        <v>520</v>
      </c>
      <c r="B23" s="20" t="s">
        <v>165</v>
      </c>
      <c r="C23" s="20" t="s">
        <v>314</v>
      </c>
      <c r="D23" s="258">
        <f>'пр.3.1.рдпрцс 21-22'!F255</f>
        <v>3258</v>
      </c>
      <c r="E23" s="258">
        <f>'пр.3.1.рдпрцс 21-22'!G255</f>
        <v>3258</v>
      </c>
    </row>
    <row r="24" spans="1:5" ht="15.75" x14ac:dyDescent="0.25">
      <c r="A24" s="94" t="s">
        <v>523</v>
      </c>
      <c r="B24" s="20" t="s">
        <v>165</v>
      </c>
      <c r="C24" s="20" t="s">
        <v>234</v>
      </c>
      <c r="D24" s="258">
        <f>'пр.3.1.рдпрцс 21-22'!F261</f>
        <v>3189</v>
      </c>
      <c r="E24" s="258">
        <f>'пр.3.1.рдпрцс 21-22'!G261</f>
        <v>3278</v>
      </c>
    </row>
    <row r="25" spans="1:5" ht="15.75" x14ac:dyDescent="0.25">
      <c r="A25" s="96" t="s">
        <v>252</v>
      </c>
      <c r="B25" s="20" t="s">
        <v>165</v>
      </c>
      <c r="C25" s="20" t="s">
        <v>253</v>
      </c>
      <c r="D25" s="258">
        <f>'пр.3.1.рдпрцс 21-22'!F273</f>
        <v>858.8</v>
      </c>
      <c r="E25" s="258">
        <f>'пр.3.1.рдпрцс 21-22'!G273</f>
        <v>737.5</v>
      </c>
    </row>
    <row r="26" spans="1:5" ht="15.75" x14ac:dyDescent="0.25">
      <c r="A26" s="47" t="s">
        <v>405</v>
      </c>
      <c r="B26" s="24" t="s">
        <v>249</v>
      </c>
      <c r="C26" s="24"/>
      <c r="D26" s="93">
        <f>SUM(D27:D30)</f>
        <v>38717.5</v>
      </c>
      <c r="E26" s="93">
        <f>SUM(E27:E30)</f>
        <v>44867.9</v>
      </c>
    </row>
    <row r="27" spans="1:5" ht="15.75" x14ac:dyDescent="0.25">
      <c r="A27" s="95" t="s">
        <v>406</v>
      </c>
      <c r="B27" s="20" t="s">
        <v>249</v>
      </c>
      <c r="C27" s="20" t="s">
        <v>133</v>
      </c>
      <c r="D27" s="258">
        <f>'пр.3.1.рдпрцс 21-22'!F317</f>
        <v>6341</v>
      </c>
      <c r="E27" s="258">
        <f>'пр.3.1.рдпрцс 21-22'!G317</f>
        <v>6341</v>
      </c>
    </row>
    <row r="28" spans="1:5" ht="15.75" x14ac:dyDescent="0.25">
      <c r="A28" s="95" t="s">
        <v>532</v>
      </c>
      <c r="B28" s="20" t="s">
        <v>249</v>
      </c>
      <c r="C28" s="20" t="s">
        <v>228</v>
      </c>
      <c r="D28" s="258">
        <f>'пр.3.1.рдпрцс 21-22'!F331</f>
        <v>5935</v>
      </c>
      <c r="E28" s="258">
        <f>'пр.3.1.рдпрцс 21-22'!G331</f>
        <v>4693.3999999999996</v>
      </c>
    </row>
    <row r="29" spans="1:5" ht="15.75" x14ac:dyDescent="0.25">
      <c r="A29" s="94" t="s">
        <v>556</v>
      </c>
      <c r="B29" s="20" t="s">
        <v>249</v>
      </c>
      <c r="C29" s="20" t="s">
        <v>230</v>
      </c>
      <c r="D29" s="258">
        <f>'пр.3.1.рдпрцс 21-22'!F395</f>
        <v>4134.5</v>
      </c>
      <c r="E29" s="258">
        <f>'пр.3.1.рдпрцс 21-22'!G395</f>
        <v>11526.5</v>
      </c>
    </row>
    <row r="30" spans="1:5" ht="15.75" x14ac:dyDescent="0.25">
      <c r="A30" s="25" t="s">
        <v>584</v>
      </c>
      <c r="B30" s="20" t="s">
        <v>249</v>
      </c>
      <c r="C30" s="20" t="s">
        <v>249</v>
      </c>
      <c r="D30" s="258">
        <f>'пр.3.1.рдпрцс 21-22'!F444</f>
        <v>22307</v>
      </c>
      <c r="E30" s="258">
        <f>'пр.3.1.рдпрцс 21-22'!G444</f>
        <v>22307</v>
      </c>
    </row>
    <row r="31" spans="1:5" ht="15.75" x14ac:dyDescent="0.25">
      <c r="A31" s="47" t="s">
        <v>278</v>
      </c>
      <c r="B31" s="24" t="s">
        <v>279</v>
      </c>
      <c r="C31" s="24"/>
      <c r="D31" s="93">
        <f>SUM(D32:D36)</f>
        <v>378623.1</v>
      </c>
      <c r="E31" s="93">
        <f>SUM(E32:E36)</f>
        <v>378631.6</v>
      </c>
    </row>
    <row r="32" spans="1:5" ht="15.75" x14ac:dyDescent="0.25">
      <c r="A32" s="94" t="s">
        <v>419</v>
      </c>
      <c r="B32" s="20" t="s">
        <v>279</v>
      </c>
      <c r="C32" s="20" t="s">
        <v>133</v>
      </c>
      <c r="D32" s="258">
        <f>'пр.3.1.рдпрцс 21-22'!F480</f>
        <v>109329.5</v>
      </c>
      <c r="E32" s="258">
        <f>'пр.3.1.рдпрцс 21-22'!G480</f>
        <v>109329.5</v>
      </c>
    </row>
    <row r="33" spans="1:7" ht="15.75" x14ac:dyDescent="0.25">
      <c r="A33" s="94" t="s">
        <v>440</v>
      </c>
      <c r="B33" s="20" t="s">
        <v>279</v>
      </c>
      <c r="C33" s="20" t="s">
        <v>228</v>
      </c>
      <c r="D33" s="258">
        <f>'пр.3.1.рдпрцс 21-22'!F551</f>
        <v>190807.1</v>
      </c>
      <c r="E33" s="258">
        <f>'пр.3.1.рдпрцс 21-22'!G551</f>
        <v>190815.6</v>
      </c>
    </row>
    <row r="34" spans="1:7" ht="15.75" x14ac:dyDescent="0.25">
      <c r="A34" s="94" t="s">
        <v>280</v>
      </c>
      <c r="B34" s="20" t="s">
        <v>279</v>
      </c>
      <c r="C34" s="20" t="s">
        <v>230</v>
      </c>
      <c r="D34" s="258">
        <f>'пр.3.1.рдпрцс 21-22'!F632</f>
        <v>52091.599999999991</v>
      </c>
      <c r="E34" s="258">
        <f>'пр.3.1.рдпрцс 21-22'!G632</f>
        <v>52091.599999999991</v>
      </c>
    </row>
    <row r="35" spans="1:7" ht="15.75" x14ac:dyDescent="0.25">
      <c r="A35" s="94" t="s">
        <v>481</v>
      </c>
      <c r="B35" s="20" t="s">
        <v>279</v>
      </c>
      <c r="C35" s="20" t="s">
        <v>279</v>
      </c>
      <c r="D35" s="258">
        <f>'пр.3.1.рдпрцс 21-22'!F706</f>
        <v>6564.9</v>
      </c>
      <c r="E35" s="258">
        <f>'пр.3.1.рдпрцс 21-22'!G706</f>
        <v>6564.9</v>
      </c>
    </row>
    <row r="36" spans="1:7" ht="15.75" x14ac:dyDescent="0.25">
      <c r="A36" s="94" t="s">
        <v>310</v>
      </c>
      <c r="B36" s="20" t="s">
        <v>279</v>
      </c>
      <c r="C36" s="20" t="s">
        <v>234</v>
      </c>
      <c r="D36" s="258">
        <f>'пр.3.1.рдпрцс 21-22'!F735</f>
        <v>19830</v>
      </c>
      <c r="E36" s="258">
        <f>'пр.3.1.рдпрцс 21-22'!G735</f>
        <v>19830</v>
      </c>
    </row>
    <row r="37" spans="1:7" ht="15.75" x14ac:dyDescent="0.25">
      <c r="A37" s="97" t="s">
        <v>313</v>
      </c>
      <c r="B37" s="24" t="s">
        <v>314</v>
      </c>
      <c r="C37" s="20"/>
      <c r="D37" s="93">
        <f>SUM(D38:D39)</f>
        <v>70268.512000000002</v>
      </c>
      <c r="E37" s="93">
        <f>SUM(E38:E39)</f>
        <v>67994.2</v>
      </c>
    </row>
    <row r="38" spans="1:7" ht="15.75" x14ac:dyDescent="0.25">
      <c r="A38" s="96" t="s">
        <v>315</v>
      </c>
      <c r="B38" s="20" t="s">
        <v>314</v>
      </c>
      <c r="C38" s="20" t="s">
        <v>133</v>
      </c>
      <c r="D38" s="258">
        <f>'пр.3.1.рдпрцс 21-22'!F763</f>
        <v>52929.512000000002</v>
      </c>
      <c r="E38" s="258">
        <f>'пр.3.1.рдпрцс 21-22'!G763</f>
        <v>50655.199999999997</v>
      </c>
    </row>
    <row r="39" spans="1:7" ht="15.75" x14ac:dyDescent="0.25">
      <c r="A39" s="96" t="s">
        <v>348</v>
      </c>
      <c r="B39" s="20" t="s">
        <v>314</v>
      </c>
      <c r="C39" s="20" t="s">
        <v>165</v>
      </c>
      <c r="D39" s="258">
        <f>'пр.3.1.рдпрцс 21-22'!F836</f>
        <v>17339</v>
      </c>
      <c r="E39" s="258">
        <f>'пр.3.1.рдпрцс 21-22'!G836</f>
        <v>17339</v>
      </c>
    </row>
    <row r="40" spans="1:7" ht="15.75" x14ac:dyDescent="0.25">
      <c r="A40" s="47" t="s">
        <v>258</v>
      </c>
      <c r="B40" s="24" t="s">
        <v>259</v>
      </c>
      <c r="C40" s="24"/>
      <c r="D40" s="93">
        <f>SUM(D41:D43)</f>
        <v>19998.400000000001</v>
      </c>
      <c r="E40" s="93">
        <f>SUM(E41:E43)</f>
        <v>15008.4</v>
      </c>
      <c r="G40" s="22"/>
    </row>
    <row r="41" spans="1:7" ht="15.75" x14ac:dyDescent="0.25">
      <c r="A41" s="94" t="s">
        <v>260</v>
      </c>
      <c r="B41" s="20" t="s">
        <v>259</v>
      </c>
      <c r="C41" s="20" t="s">
        <v>133</v>
      </c>
      <c r="D41" s="258">
        <f>'пр.3.1.рдпрцс 21-22'!F866</f>
        <v>9456</v>
      </c>
      <c r="E41" s="258">
        <f>'пр.3.1.рдпрцс 21-22'!G866</f>
        <v>9456</v>
      </c>
    </row>
    <row r="42" spans="1:7" ht="15.75" x14ac:dyDescent="0.25">
      <c r="A42" s="25" t="s">
        <v>267</v>
      </c>
      <c r="B42" s="20" t="s">
        <v>259</v>
      </c>
      <c r="C42" s="20" t="s">
        <v>230</v>
      </c>
      <c r="D42" s="258">
        <f>'пр.3.1.рдпрцс 21-22'!F872</f>
        <v>6834</v>
      </c>
      <c r="E42" s="258">
        <f>'пр.3.1.рдпрцс 21-22'!G872</f>
        <v>1844</v>
      </c>
    </row>
    <row r="43" spans="1:7" ht="15.75" x14ac:dyDescent="0.25">
      <c r="A43" s="25" t="s">
        <v>273</v>
      </c>
      <c r="B43" s="20" t="s">
        <v>259</v>
      </c>
      <c r="C43" s="20" t="s">
        <v>135</v>
      </c>
      <c r="D43" s="258">
        <f>'пр.3.1.рдпрцс 21-22'!F908</f>
        <v>3708.4</v>
      </c>
      <c r="E43" s="258">
        <f>'пр.3.1.рдпрцс 21-22'!G908</f>
        <v>3708.4</v>
      </c>
    </row>
    <row r="44" spans="1:7" ht="15.75" x14ac:dyDescent="0.25">
      <c r="A44" s="97" t="s">
        <v>505</v>
      </c>
      <c r="B44" s="24" t="s">
        <v>506</v>
      </c>
      <c r="C44" s="20"/>
      <c r="D44" s="93">
        <f>SUM(D45:D46)</f>
        <v>58483.6</v>
      </c>
      <c r="E44" s="93">
        <f>SUM(E45:E46)</f>
        <v>58483.6</v>
      </c>
      <c r="G44" s="22"/>
    </row>
    <row r="45" spans="1:7" ht="15.75" x14ac:dyDescent="0.25">
      <c r="A45" s="96" t="s">
        <v>507</v>
      </c>
      <c r="B45" s="20" t="s">
        <v>506</v>
      </c>
      <c r="C45" s="20" t="s">
        <v>133</v>
      </c>
      <c r="D45" s="258">
        <f>'пр.3.1.рдпрцс 21-22'!F922</f>
        <v>46727.6</v>
      </c>
      <c r="E45" s="258">
        <f>'пр.3.1.рдпрцс 21-22'!G922</f>
        <v>46727.6</v>
      </c>
    </row>
    <row r="46" spans="1:7" ht="15.75" x14ac:dyDescent="0.25">
      <c r="A46" s="96" t="s">
        <v>515</v>
      </c>
      <c r="B46" s="20" t="s">
        <v>506</v>
      </c>
      <c r="C46" s="20" t="s">
        <v>249</v>
      </c>
      <c r="D46" s="258">
        <f>'пр.3.1.рдпрцс 21-22'!F961</f>
        <v>11756</v>
      </c>
      <c r="E46" s="258">
        <f>'пр.3.1.рдпрцс 21-22'!G961</f>
        <v>11756</v>
      </c>
    </row>
    <row r="47" spans="1:7" ht="15.75" x14ac:dyDescent="0.25">
      <c r="A47" s="19" t="s">
        <v>597</v>
      </c>
      <c r="B47" s="24" t="s">
        <v>253</v>
      </c>
      <c r="C47" s="20"/>
      <c r="D47" s="93">
        <f>D48</f>
        <v>5479</v>
      </c>
      <c r="E47" s="93">
        <f>E48</f>
        <v>5479</v>
      </c>
    </row>
    <row r="48" spans="1:7" ht="15.75" x14ac:dyDescent="0.25">
      <c r="A48" s="31" t="s">
        <v>598</v>
      </c>
      <c r="B48" s="20" t="s">
        <v>253</v>
      </c>
      <c r="C48" s="20" t="s">
        <v>228</v>
      </c>
      <c r="D48" s="258">
        <f>'пр.3.1.рдпрцс 21-22'!F991</f>
        <v>5479</v>
      </c>
      <c r="E48" s="258">
        <f>'пр.3.1.рдпрцс 21-22'!G991</f>
        <v>5479</v>
      </c>
    </row>
    <row r="49" spans="1:7" ht="15.75" x14ac:dyDescent="0.25">
      <c r="A49" s="92" t="s">
        <v>693</v>
      </c>
      <c r="B49" s="24"/>
      <c r="C49" s="24"/>
      <c r="D49" s="93">
        <f>D10+D19+D21+D26+D31+D37+D40+D44+D47</f>
        <v>729449.03200000001</v>
      </c>
      <c r="E49" s="93">
        <f>E10+E19+E21+E26+E31+E37+E40+E44+E47</f>
        <v>733196.22</v>
      </c>
      <c r="G49" s="22"/>
    </row>
    <row r="51" spans="1:7" hidden="1" x14ac:dyDescent="0.25">
      <c r="D51" s="265">
        <f>'Пр.1.1. дох.21-22'!C147</f>
        <v>729449.03199999989</v>
      </c>
      <c r="E51">
        <f>'Пр.1.1. дох.21-22'!D147</f>
        <v>733196.22</v>
      </c>
    </row>
    <row r="52" spans="1:7" hidden="1" x14ac:dyDescent="0.25"/>
    <row r="53" spans="1:7" hidden="1" x14ac:dyDescent="0.25">
      <c r="D53" s="265">
        <f>D51-D49</f>
        <v>0</v>
      </c>
      <c r="E53" s="265">
        <f>E51-E49</f>
        <v>0</v>
      </c>
    </row>
  </sheetData>
  <mergeCells count="7">
    <mergeCell ref="A7:C7"/>
    <mergeCell ref="D3:E3"/>
    <mergeCell ref="D2:E2"/>
    <mergeCell ref="D1:E1"/>
    <mergeCell ref="A4:E4"/>
    <mergeCell ref="A5:E5"/>
    <mergeCell ref="A6:E6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5"/>
  <sheetViews>
    <sheetView view="pageBreakPreview" topLeftCell="A1046" zoomScaleNormal="100" zoomScaleSheetLayoutView="100" workbookViewId="0">
      <selection activeCell="K15" sqref="K15"/>
    </sheetView>
  </sheetViews>
  <sheetFormatPr defaultRowHeight="15" x14ac:dyDescent="0.25"/>
  <cols>
    <col min="1" max="1" width="55.140625" customWidth="1"/>
    <col min="2" max="2" width="5.85546875" customWidth="1"/>
    <col min="3" max="3" width="5.42578125" customWidth="1"/>
    <col min="4" max="4" width="15.85546875" customWidth="1"/>
    <col min="5" max="5" width="7.140625" customWidth="1"/>
    <col min="6" max="6" width="14.28515625" style="22" customWidth="1"/>
  </cols>
  <sheetData>
    <row r="1" spans="1:8" ht="15.75" x14ac:dyDescent="0.25">
      <c r="A1" s="56"/>
      <c r="B1" s="56"/>
      <c r="C1" s="56"/>
      <c r="D1" s="222"/>
      <c r="E1" s="414" t="s">
        <v>1472</v>
      </c>
      <c r="F1" s="414"/>
    </row>
    <row r="2" spans="1:8" ht="15.75" x14ac:dyDescent="0.25">
      <c r="A2" s="56"/>
      <c r="B2" s="56"/>
      <c r="C2" s="56"/>
      <c r="D2" s="222"/>
      <c r="E2" s="414" t="s">
        <v>0</v>
      </c>
      <c r="F2" s="414"/>
    </row>
    <row r="3" spans="1:8" ht="18.75" customHeight="1" x14ac:dyDescent="0.25">
      <c r="A3" s="56"/>
      <c r="B3" s="56"/>
      <c r="C3" s="56"/>
      <c r="D3" s="222"/>
      <c r="E3" s="414" t="s">
        <v>1531</v>
      </c>
      <c r="F3" s="414"/>
    </row>
    <row r="4" spans="1:8" x14ac:dyDescent="0.25">
      <c r="A4" s="56"/>
      <c r="B4" s="56"/>
      <c r="C4" s="56"/>
      <c r="D4" s="56"/>
      <c r="E4" s="56"/>
      <c r="F4" s="116"/>
    </row>
    <row r="5" spans="1:8" ht="63.75" customHeight="1" x14ac:dyDescent="0.25">
      <c r="A5" s="413" t="s">
        <v>1353</v>
      </c>
      <c r="B5" s="413"/>
      <c r="C5" s="413"/>
      <c r="D5" s="413"/>
      <c r="E5" s="413"/>
      <c r="F5" s="413"/>
    </row>
    <row r="6" spans="1:8" x14ac:dyDescent="0.25">
      <c r="A6" s="56"/>
      <c r="B6" s="56"/>
      <c r="C6" s="56"/>
      <c r="D6" s="56"/>
      <c r="E6" s="56"/>
      <c r="F6" s="336" t="s">
        <v>1</v>
      </c>
    </row>
    <row r="7" spans="1:8" ht="30.2" customHeight="1" x14ac:dyDescent="0.25">
      <c r="A7" s="255" t="s">
        <v>607</v>
      </c>
      <c r="B7" s="256" t="s">
        <v>127</v>
      </c>
      <c r="C7" s="256" t="s">
        <v>128</v>
      </c>
      <c r="D7" s="256" t="s">
        <v>129</v>
      </c>
      <c r="E7" s="256" t="s">
        <v>130</v>
      </c>
      <c r="F7" s="337" t="s">
        <v>1275</v>
      </c>
    </row>
    <row r="8" spans="1:8" ht="15.75" x14ac:dyDescent="0.25">
      <c r="A8" s="41" t="s">
        <v>132</v>
      </c>
      <c r="B8" s="7" t="s">
        <v>133</v>
      </c>
      <c r="C8" s="7"/>
      <c r="D8" s="7"/>
      <c r="E8" s="7"/>
      <c r="F8" s="4">
        <f>F9+F28+F39+F102+F132+F124</f>
        <v>138218</v>
      </c>
      <c r="G8" s="22"/>
      <c r="H8" s="22"/>
    </row>
    <row r="9" spans="1:8" ht="47.25" x14ac:dyDescent="0.25">
      <c r="A9" s="41" t="s">
        <v>590</v>
      </c>
      <c r="B9" s="7" t="s">
        <v>133</v>
      </c>
      <c r="C9" s="7" t="s">
        <v>228</v>
      </c>
      <c r="D9" s="7"/>
      <c r="E9" s="7"/>
      <c r="F9" s="4">
        <f>F10+F20</f>
        <v>4354.7</v>
      </c>
    </row>
    <row r="10" spans="1:8" ht="31.5" x14ac:dyDescent="0.25">
      <c r="A10" s="23" t="s">
        <v>988</v>
      </c>
      <c r="B10" s="7" t="s">
        <v>133</v>
      </c>
      <c r="C10" s="7" t="s">
        <v>228</v>
      </c>
      <c r="D10" s="7" t="s">
        <v>902</v>
      </c>
      <c r="E10" s="7"/>
      <c r="F10" s="4">
        <f t="shared" ref="F10" si="0">F11</f>
        <v>4328.7</v>
      </c>
    </row>
    <row r="11" spans="1:8" ht="31.5" x14ac:dyDescent="0.25">
      <c r="A11" s="23" t="s">
        <v>1132</v>
      </c>
      <c r="B11" s="7" t="s">
        <v>133</v>
      </c>
      <c r="C11" s="7" t="s">
        <v>228</v>
      </c>
      <c r="D11" s="7" t="s">
        <v>1133</v>
      </c>
      <c r="E11" s="7"/>
      <c r="F11" s="4">
        <f>F12+F17</f>
        <v>4328.7</v>
      </c>
    </row>
    <row r="12" spans="1:8" ht="31.5" x14ac:dyDescent="0.25">
      <c r="A12" s="29" t="s">
        <v>591</v>
      </c>
      <c r="B12" s="40" t="s">
        <v>133</v>
      </c>
      <c r="C12" s="40" t="s">
        <v>228</v>
      </c>
      <c r="D12" s="40" t="s">
        <v>1134</v>
      </c>
      <c r="E12" s="40"/>
      <c r="F12" s="6">
        <f t="shared" ref="F12" si="1">F13+F15</f>
        <v>4328.7</v>
      </c>
    </row>
    <row r="13" spans="1:8" ht="78.75" x14ac:dyDescent="0.25">
      <c r="A13" s="29" t="s">
        <v>142</v>
      </c>
      <c r="B13" s="40" t="s">
        <v>133</v>
      </c>
      <c r="C13" s="40" t="s">
        <v>228</v>
      </c>
      <c r="D13" s="40" t="s">
        <v>1134</v>
      </c>
      <c r="E13" s="40" t="s">
        <v>143</v>
      </c>
      <c r="F13" s="338">
        <f t="shared" ref="F13" si="2">F14</f>
        <v>4238.7</v>
      </c>
    </row>
    <row r="14" spans="1:8" ht="31.5" x14ac:dyDescent="0.25">
      <c r="A14" s="29" t="s">
        <v>144</v>
      </c>
      <c r="B14" s="40" t="s">
        <v>133</v>
      </c>
      <c r="C14" s="40" t="s">
        <v>228</v>
      </c>
      <c r="D14" s="40" t="s">
        <v>1134</v>
      </c>
      <c r="E14" s="40" t="s">
        <v>145</v>
      </c>
      <c r="F14" s="338">
        <f>'Пр.4 ведом.20'!G1109</f>
        <v>4238.7</v>
      </c>
    </row>
    <row r="15" spans="1:8" ht="31.5" x14ac:dyDescent="0.25">
      <c r="A15" s="29" t="s">
        <v>146</v>
      </c>
      <c r="B15" s="40" t="s">
        <v>133</v>
      </c>
      <c r="C15" s="40" t="s">
        <v>228</v>
      </c>
      <c r="D15" s="40" t="s">
        <v>1134</v>
      </c>
      <c r="E15" s="40" t="s">
        <v>147</v>
      </c>
      <c r="F15" s="28">
        <f t="shared" ref="F15" si="3">F16</f>
        <v>90</v>
      </c>
    </row>
    <row r="16" spans="1:8" ht="31.5" x14ac:dyDescent="0.25">
      <c r="A16" s="29" t="s">
        <v>148</v>
      </c>
      <c r="B16" s="40" t="s">
        <v>133</v>
      </c>
      <c r="C16" s="40" t="s">
        <v>228</v>
      </c>
      <c r="D16" s="40" t="s">
        <v>1134</v>
      </c>
      <c r="E16" s="40" t="s">
        <v>149</v>
      </c>
      <c r="F16" s="28">
        <f>'Пр.4 ведом.20'!G1111</f>
        <v>90</v>
      </c>
    </row>
    <row r="17" spans="1:6" s="221" customFormat="1" ht="47.25" hidden="1" x14ac:dyDescent="0.25">
      <c r="A17" s="25" t="s">
        <v>883</v>
      </c>
      <c r="B17" s="40" t="s">
        <v>133</v>
      </c>
      <c r="C17" s="40" t="s">
        <v>228</v>
      </c>
      <c r="D17" s="40" t="s">
        <v>1135</v>
      </c>
      <c r="E17" s="40"/>
      <c r="F17" s="28">
        <f>F18</f>
        <v>0</v>
      </c>
    </row>
    <row r="18" spans="1:6" s="221" customFormat="1" ht="78.75" hidden="1" x14ac:dyDescent="0.25">
      <c r="A18" s="25" t="s">
        <v>142</v>
      </c>
      <c r="B18" s="40" t="s">
        <v>133</v>
      </c>
      <c r="C18" s="40" t="s">
        <v>228</v>
      </c>
      <c r="D18" s="40" t="s">
        <v>1135</v>
      </c>
      <c r="E18" s="40" t="s">
        <v>143</v>
      </c>
      <c r="F18" s="28">
        <f>F19</f>
        <v>0</v>
      </c>
    </row>
    <row r="19" spans="1:6" s="221" customFormat="1" ht="31.5" hidden="1" x14ac:dyDescent="0.25">
      <c r="A19" s="25" t="s">
        <v>144</v>
      </c>
      <c r="B19" s="40" t="s">
        <v>133</v>
      </c>
      <c r="C19" s="40" t="s">
        <v>228</v>
      </c>
      <c r="D19" s="40" t="s">
        <v>1135</v>
      </c>
      <c r="E19" s="40" t="s">
        <v>145</v>
      </c>
      <c r="F19" s="28">
        <f>'Пр.4 ведом.20'!G1114</f>
        <v>0</v>
      </c>
    </row>
    <row r="20" spans="1:6" s="221" customFormat="1" ht="47.25" x14ac:dyDescent="0.25">
      <c r="A20" s="23" t="s">
        <v>818</v>
      </c>
      <c r="B20" s="24" t="s">
        <v>133</v>
      </c>
      <c r="C20" s="7" t="s">
        <v>228</v>
      </c>
      <c r="D20" s="24" t="s">
        <v>177</v>
      </c>
      <c r="E20" s="7"/>
      <c r="F20" s="339">
        <f>F21</f>
        <v>26</v>
      </c>
    </row>
    <row r="21" spans="1:6" s="221" customFormat="1" ht="63" x14ac:dyDescent="0.25">
      <c r="A21" s="247" t="s">
        <v>887</v>
      </c>
      <c r="B21" s="24" t="s">
        <v>133</v>
      </c>
      <c r="C21" s="7" t="s">
        <v>228</v>
      </c>
      <c r="D21" s="7" t="s">
        <v>894</v>
      </c>
      <c r="E21" s="7"/>
      <c r="F21" s="339">
        <f>F22+F25</f>
        <v>26</v>
      </c>
    </row>
    <row r="22" spans="1:6" s="221" customFormat="1" ht="47.25" x14ac:dyDescent="0.25">
      <c r="A22" s="31" t="s">
        <v>710</v>
      </c>
      <c r="B22" s="20" t="s">
        <v>133</v>
      </c>
      <c r="C22" s="20" t="s">
        <v>228</v>
      </c>
      <c r="D22" s="40" t="s">
        <v>1140</v>
      </c>
      <c r="E22" s="20"/>
      <c r="F22" s="6">
        <f>F23</f>
        <v>1</v>
      </c>
    </row>
    <row r="23" spans="1:6" s="221" customFormat="1" ht="31.5" x14ac:dyDescent="0.25">
      <c r="A23" s="25" t="s">
        <v>146</v>
      </c>
      <c r="B23" s="20" t="s">
        <v>133</v>
      </c>
      <c r="C23" s="20" t="s">
        <v>228</v>
      </c>
      <c r="D23" s="40" t="s">
        <v>1140</v>
      </c>
      <c r="E23" s="20" t="s">
        <v>147</v>
      </c>
      <c r="F23" s="6">
        <f>F24</f>
        <v>1</v>
      </c>
    </row>
    <row r="24" spans="1:6" s="221" customFormat="1" ht="31.5" x14ac:dyDescent="0.25">
      <c r="A24" s="25" t="s">
        <v>148</v>
      </c>
      <c r="B24" s="20" t="s">
        <v>133</v>
      </c>
      <c r="C24" s="20" t="s">
        <v>228</v>
      </c>
      <c r="D24" s="40" t="s">
        <v>711</v>
      </c>
      <c r="E24" s="20" t="s">
        <v>149</v>
      </c>
      <c r="F24" s="6">
        <f>'Пр.4 ведом.20'!G1119</f>
        <v>1</v>
      </c>
    </row>
    <row r="25" spans="1:6" s="221" customFormat="1" ht="47.25" x14ac:dyDescent="0.25">
      <c r="A25" s="31" t="s">
        <v>710</v>
      </c>
      <c r="B25" s="20" t="s">
        <v>133</v>
      </c>
      <c r="C25" s="20" t="s">
        <v>228</v>
      </c>
      <c r="D25" s="20" t="s">
        <v>1139</v>
      </c>
      <c r="E25" s="20"/>
      <c r="F25" s="6">
        <f>F26</f>
        <v>25</v>
      </c>
    </row>
    <row r="26" spans="1:6" s="221" customFormat="1" ht="31.5" x14ac:dyDescent="0.25">
      <c r="A26" s="25" t="s">
        <v>146</v>
      </c>
      <c r="B26" s="20" t="s">
        <v>133</v>
      </c>
      <c r="C26" s="20" t="s">
        <v>228</v>
      </c>
      <c r="D26" s="20" t="s">
        <v>1139</v>
      </c>
      <c r="E26" s="20" t="s">
        <v>147</v>
      </c>
      <c r="F26" s="6">
        <f>F27</f>
        <v>25</v>
      </c>
    </row>
    <row r="27" spans="1:6" s="221" customFormat="1" ht="31.5" x14ac:dyDescent="0.25">
      <c r="A27" s="25" t="s">
        <v>148</v>
      </c>
      <c r="B27" s="20" t="s">
        <v>133</v>
      </c>
      <c r="C27" s="20" t="s">
        <v>228</v>
      </c>
      <c r="D27" s="20" t="s">
        <v>1139</v>
      </c>
      <c r="E27" s="20" t="s">
        <v>149</v>
      </c>
      <c r="F27" s="6">
        <f>'Пр.4 ведом.20'!G1122</f>
        <v>25</v>
      </c>
    </row>
    <row r="28" spans="1:6" ht="63" x14ac:dyDescent="0.25">
      <c r="A28" s="41" t="s">
        <v>593</v>
      </c>
      <c r="B28" s="7" t="s">
        <v>133</v>
      </c>
      <c r="C28" s="7" t="s">
        <v>230</v>
      </c>
      <c r="D28" s="7"/>
      <c r="E28" s="7"/>
      <c r="F28" s="4">
        <f t="shared" ref="F28:F29" si="4">F29</f>
        <v>1143</v>
      </c>
    </row>
    <row r="29" spans="1:6" ht="31.5" x14ac:dyDescent="0.25">
      <c r="A29" s="23" t="s">
        <v>988</v>
      </c>
      <c r="B29" s="7" t="s">
        <v>133</v>
      </c>
      <c r="C29" s="7" t="s">
        <v>230</v>
      </c>
      <c r="D29" s="7" t="s">
        <v>902</v>
      </c>
      <c r="E29" s="7"/>
      <c r="F29" s="4">
        <f t="shared" si="4"/>
        <v>1143</v>
      </c>
    </row>
    <row r="30" spans="1:6" ht="31.5" x14ac:dyDescent="0.25">
      <c r="A30" s="23" t="s">
        <v>1132</v>
      </c>
      <c r="B30" s="7" t="s">
        <v>133</v>
      </c>
      <c r="C30" s="7" t="s">
        <v>230</v>
      </c>
      <c r="D30" s="7" t="s">
        <v>1133</v>
      </c>
      <c r="E30" s="7"/>
      <c r="F30" s="4">
        <f>F31+F36</f>
        <v>1143</v>
      </c>
    </row>
    <row r="31" spans="1:6" ht="31.5" x14ac:dyDescent="0.25">
      <c r="A31" s="25" t="s">
        <v>1136</v>
      </c>
      <c r="B31" s="40" t="s">
        <v>133</v>
      </c>
      <c r="C31" s="40" t="s">
        <v>230</v>
      </c>
      <c r="D31" s="40" t="s">
        <v>1137</v>
      </c>
      <c r="E31" s="40"/>
      <c r="F31" s="6">
        <f t="shared" ref="F31" si="5">F32+F34</f>
        <v>1143</v>
      </c>
    </row>
    <row r="32" spans="1:6" ht="78.75" x14ac:dyDescent="0.25">
      <c r="A32" s="29" t="s">
        <v>142</v>
      </c>
      <c r="B32" s="40" t="s">
        <v>133</v>
      </c>
      <c r="C32" s="40" t="s">
        <v>230</v>
      </c>
      <c r="D32" s="40" t="s">
        <v>1137</v>
      </c>
      <c r="E32" s="40" t="s">
        <v>143</v>
      </c>
      <c r="F32" s="338">
        <f t="shared" ref="F32" si="6">F33</f>
        <v>1050</v>
      </c>
    </row>
    <row r="33" spans="1:8" ht="31.5" x14ac:dyDescent="0.25">
      <c r="A33" s="29" t="s">
        <v>144</v>
      </c>
      <c r="B33" s="40" t="s">
        <v>133</v>
      </c>
      <c r="C33" s="40" t="s">
        <v>230</v>
      </c>
      <c r="D33" s="40" t="s">
        <v>1137</v>
      </c>
      <c r="E33" s="40" t="s">
        <v>145</v>
      </c>
      <c r="F33" s="338">
        <f>'Пр.4 ведом.20'!G1128</f>
        <v>1050</v>
      </c>
    </row>
    <row r="34" spans="1:8" ht="31.5" x14ac:dyDescent="0.25">
      <c r="A34" s="29" t="s">
        <v>146</v>
      </c>
      <c r="B34" s="40" t="s">
        <v>133</v>
      </c>
      <c r="C34" s="40" t="s">
        <v>230</v>
      </c>
      <c r="D34" s="40" t="s">
        <v>1137</v>
      </c>
      <c r="E34" s="40" t="s">
        <v>147</v>
      </c>
      <c r="F34" s="6">
        <f t="shared" ref="F34" si="7">F35</f>
        <v>93</v>
      </c>
    </row>
    <row r="35" spans="1:8" ht="31.5" x14ac:dyDescent="0.25">
      <c r="A35" s="29" t="s">
        <v>148</v>
      </c>
      <c r="B35" s="40" t="s">
        <v>133</v>
      </c>
      <c r="C35" s="40" t="s">
        <v>230</v>
      </c>
      <c r="D35" s="40" t="s">
        <v>1137</v>
      </c>
      <c r="E35" s="40" t="s">
        <v>149</v>
      </c>
      <c r="F35" s="6">
        <f>'Пр.4 ведом.20'!G1130</f>
        <v>93</v>
      </c>
    </row>
    <row r="36" spans="1:8" s="221" customFormat="1" ht="30.2" hidden="1" customHeight="1" x14ac:dyDescent="0.25">
      <c r="A36" s="25" t="s">
        <v>883</v>
      </c>
      <c r="B36" s="40" t="s">
        <v>133</v>
      </c>
      <c r="C36" s="40" t="s">
        <v>230</v>
      </c>
      <c r="D36" s="40" t="s">
        <v>1135</v>
      </c>
      <c r="E36" s="40"/>
      <c r="F36" s="28">
        <f>F37</f>
        <v>0</v>
      </c>
    </row>
    <row r="37" spans="1:8" s="221" customFormat="1" ht="85.7" hidden="1" customHeight="1" x14ac:dyDescent="0.25">
      <c r="A37" s="25" t="s">
        <v>142</v>
      </c>
      <c r="B37" s="40" t="s">
        <v>133</v>
      </c>
      <c r="C37" s="40" t="s">
        <v>230</v>
      </c>
      <c r="D37" s="40" t="s">
        <v>1135</v>
      </c>
      <c r="E37" s="40" t="s">
        <v>143</v>
      </c>
      <c r="F37" s="28">
        <f>F38</f>
        <v>0</v>
      </c>
    </row>
    <row r="38" spans="1:8" s="221" customFormat="1" ht="38.25" hidden="1" customHeight="1" x14ac:dyDescent="0.25">
      <c r="A38" s="25" t="s">
        <v>144</v>
      </c>
      <c r="B38" s="40" t="s">
        <v>133</v>
      </c>
      <c r="C38" s="40" t="s">
        <v>230</v>
      </c>
      <c r="D38" s="40" t="s">
        <v>1135</v>
      </c>
      <c r="E38" s="40" t="s">
        <v>145</v>
      </c>
      <c r="F38" s="28">
        <f>'Пр.4 ведом.20'!G1133</f>
        <v>0</v>
      </c>
    </row>
    <row r="39" spans="1:8" ht="70.5" customHeight="1" x14ac:dyDescent="0.25">
      <c r="A39" s="41" t="s">
        <v>164</v>
      </c>
      <c r="B39" s="7" t="s">
        <v>133</v>
      </c>
      <c r="C39" s="7" t="s">
        <v>165</v>
      </c>
      <c r="D39" s="7"/>
      <c r="E39" s="7"/>
      <c r="F39" s="4">
        <f>F40+F84</f>
        <v>65474.1</v>
      </c>
      <c r="H39" s="22"/>
    </row>
    <row r="40" spans="1:8" ht="31.5" x14ac:dyDescent="0.25">
      <c r="A40" s="23" t="s">
        <v>988</v>
      </c>
      <c r="B40" s="7" t="s">
        <v>133</v>
      </c>
      <c r="C40" s="7" t="s">
        <v>165</v>
      </c>
      <c r="D40" s="7" t="s">
        <v>902</v>
      </c>
      <c r="E40" s="7"/>
      <c r="F40" s="4">
        <f>F41+F57</f>
        <v>64951.1</v>
      </c>
    </row>
    <row r="41" spans="1:8" ht="15.75" x14ac:dyDescent="0.25">
      <c r="A41" s="23" t="s">
        <v>989</v>
      </c>
      <c r="B41" s="7" t="s">
        <v>133</v>
      </c>
      <c r="C41" s="7" t="s">
        <v>165</v>
      </c>
      <c r="D41" s="7" t="s">
        <v>903</v>
      </c>
      <c r="E41" s="7"/>
      <c r="F41" s="4">
        <f>F42+F51+F54</f>
        <v>61676.5</v>
      </c>
    </row>
    <row r="42" spans="1:8" ht="31.5" x14ac:dyDescent="0.25">
      <c r="A42" s="29" t="s">
        <v>965</v>
      </c>
      <c r="B42" s="40" t="s">
        <v>133</v>
      </c>
      <c r="C42" s="40" t="s">
        <v>165</v>
      </c>
      <c r="D42" s="40" t="s">
        <v>904</v>
      </c>
      <c r="E42" s="40"/>
      <c r="F42" s="6">
        <f>F43+F45+F49+F47</f>
        <v>56782.3</v>
      </c>
    </row>
    <row r="43" spans="1:8" ht="78.75" x14ac:dyDescent="0.25">
      <c r="A43" s="29" t="s">
        <v>142</v>
      </c>
      <c r="B43" s="40" t="s">
        <v>133</v>
      </c>
      <c r="C43" s="40" t="s">
        <v>165</v>
      </c>
      <c r="D43" s="40" t="s">
        <v>904</v>
      </c>
      <c r="E43" s="40" t="s">
        <v>143</v>
      </c>
      <c r="F43" s="338">
        <f t="shared" ref="F43" si="8">F44</f>
        <v>50224.3</v>
      </c>
    </row>
    <row r="44" spans="1:8" ht="31.5" x14ac:dyDescent="0.25">
      <c r="A44" s="29" t="s">
        <v>144</v>
      </c>
      <c r="B44" s="40" t="s">
        <v>133</v>
      </c>
      <c r="C44" s="40" t="s">
        <v>165</v>
      </c>
      <c r="D44" s="40" t="s">
        <v>904</v>
      </c>
      <c r="E44" s="40" t="s">
        <v>145</v>
      </c>
      <c r="F44" s="338">
        <f>'Пр.4 ведом.20'!G498+'Пр.4 ведом.20'!G31</f>
        <v>50224.3</v>
      </c>
    </row>
    <row r="45" spans="1:8" ht="31.5" x14ac:dyDescent="0.25">
      <c r="A45" s="29" t="s">
        <v>146</v>
      </c>
      <c r="B45" s="40" t="s">
        <v>133</v>
      </c>
      <c r="C45" s="40" t="s">
        <v>165</v>
      </c>
      <c r="D45" s="40" t="s">
        <v>904</v>
      </c>
      <c r="E45" s="40" t="s">
        <v>147</v>
      </c>
      <c r="F45" s="6">
        <f t="shared" ref="F45" si="9">F46</f>
        <v>6352</v>
      </c>
    </row>
    <row r="46" spans="1:8" ht="31.5" x14ac:dyDescent="0.25">
      <c r="A46" s="29" t="s">
        <v>148</v>
      </c>
      <c r="B46" s="40" t="s">
        <v>133</v>
      </c>
      <c r="C46" s="40" t="s">
        <v>165</v>
      </c>
      <c r="D46" s="40" t="s">
        <v>904</v>
      </c>
      <c r="E46" s="40" t="s">
        <v>149</v>
      </c>
      <c r="F46" s="6">
        <f>'Пр.4 ведом.20'!G33+'Пр.4 ведом.20'!G500</f>
        <v>6352</v>
      </c>
    </row>
    <row r="47" spans="1:8" s="221" customFormat="1" ht="21.2" customHeight="1" x14ac:dyDescent="0.25">
      <c r="A47" s="25" t="s">
        <v>263</v>
      </c>
      <c r="B47" s="40" t="s">
        <v>133</v>
      </c>
      <c r="C47" s="40" t="s">
        <v>165</v>
      </c>
      <c r="D47" s="40" t="s">
        <v>904</v>
      </c>
      <c r="E47" s="40" t="s">
        <v>264</v>
      </c>
      <c r="F47" s="6">
        <f>F48</f>
        <v>0</v>
      </c>
    </row>
    <row r="48" spans="1:8" s="221" customFormat="1" ht="31.5" x14ac:dyDescent="0.25">
      <c r="A48" s="25" t="s">
        <v>265</v>
      </c>
      <c r="B48" s="40" t="s">
        <v>133</v>
      </c>
      <c r="C48" s="40" t="s">
        <v>165</v>
      </c>
      <c r="D48" s="40" t="s">
        <v>904</v>
      </c>
      <c r="E48" s="40" t="s">
        <v>266</v>
      </c>
      <c r="F48" s="6">
        <f>'Пр.4 ведом.20'!G35</f>
        <v>0</v>
      </c>
    </row>
    <row r="49" spans="1:6" ht="15.75" x14ac:dyDescent="0.25">
      <c r="A49" s="29" t="s">
        <v>150</v>
      </c>
      <c r="B49" s="40" t="s">
        <v>133</v>
      </c>
      <c r="C49" s="40" t="s">
        <v>165</v>
      </c>
      <c r="D49" s="40" t="s">
        <v>904</v>
      </c>
      <c r="E49" s="40" t="s">
        <v>160</v>
      </c>
      <c r="F49" s="6">
        <f t="shared" ref="F49" si="10">F50</f>
        <v>206</v>
      </c>
    </row>
    <row r="50" spans="1:6" ht="15.75" x14ac:dyDescent="0.25">
      <c r="A50" s="29" t="s">
        <v>583</v>
      </c>
      <c r="B50" s="40" t="s">
        <v>133</v>
      </c>
      <c r="C50" s="40" t="s">
        <v>165</v>
      </c>
      <c r="D50" s="40" t="s">
        <v>904</v>
      </c>
      <c r="E50" s="40" t="s">
        <v>153</v>
      </c>
      <c r="F50" s="6">
        <f>'Пр.4 ведом.20'!G502+'Пр.4 ведом.20'!G37</f>
        <v>206</v>
      </c>
    </row>
    <row r="51" spans="1:6" ht="31.5" x14ac:dyDescent="0.25">
      <c r="A51" s="25" t="s">
        <v>168</v>
      </c>
      <c r="B51" s="20" t="s">
        <v>133</v>
      </c>
      <c r="C51" s="20" t="s">
        <v>165</v>
      </c>
      <c r="D51" s="40" t="s">
        <v>905</v>
      </c>
      <c r="E51" s="20"/>
      <c r="F51" s="338">
        <f>F52</f>
        <v>3004.2</v>
      </c>
    </row>
    <row r="52" spans="1:6" ht="78.75" x14ac:dyDescent="0.25">
      <c r="A52" s="25" t="s">
        <v>142</v>
      </c>
      <c r="B52" s="20" t="s">
        <v>133</v>
      </c>
      <c r="C52" s="20" t="s">
        <v>165</v>
      </c>
      <c r="D52" s="40" t="s">
        <v>905</v>
      </c>
      <c r="E52" s="20" t="s">
        <v>143</v>
      </c>
      <c r="F52" s="338">
        <f>F53</f>
        <v>3004.2</v>
      </c>
    </row>
    <row r="53" spans="1:6" ht="31.5" x14ac:dyDescent="0.25">
      <c r="A53" s="25" t="s">
        <v>144</v>
      </c>
      <c r="B53" s="20" t="s">
        <v>133</v>
      </c>
      <c r="C53" s="20" t="s">
        <v>165</v>
      </c>
      <c r="D53" s="40" t="s">
        <v>905</v>
      </c>
      <c r="E53" s="20" t="s">
        <v>145</v>
      </c>
      <c r="F53" s="338">
        <f>'Пр.4 ведом.20'!G40</f>
        <v>3004.2</v>
      </c>
    </row>
    <row r="54" spans="1:6" s="221" customFormat="1" ht="47.25" x14ac:dyDescent="0.25">
      <c r="A54" s="25" t="s">
        <v>883</v>
      </c>
      <c r="B54" s="40" t="s">
        <v>133</v>
      </c>
      <c r="C54" s="20" t="s">
        <v>165</v>
      </c>
      <c r="D54" s="40" t="s">
        <v>906</v>
      </c>
      <c r="E54" s="40"/>
      <c r="F54" s="28">
        <f>F55</f>
        <v>1890</v>
      </c>
    </row>
    <row r="55" spans="1:6" s="221" customFormat="1" ht="78.75" x14ac:dyDescent="0.25">
      <c r="A55" s="25" t="s">
        <v>142</v>
      </c>
      <c r="B55" s="40" t="s">
        <v>133</v>
      </c>
      <c r="C55" s="20" t="s">
        <v>165</v>
      </c>
      <c r="D55" s="40" t="s">
        <v>906</v>
      </c>
      <c r="E55" s="40" t="s">
        <v>143</v>
      </c>
      <c r="F55" s="28">
        <f>F56</f>
        <v>1890</v>
      </c>
    </row>
    <row r="56" spans="1:6" s="221" customFormat="1" ht="31.5" x14ac:dyDescent="0.25">
      <c r="A56" s="25" t="s">
        <v>144</v>
      </c>
      <c r="B56" s="40" t="s">
        <v>133</v>
      </c>
      <c r="C56" s="20" t="s">
        <v>165</v>
      </c>
      <c r="D56" s="40" t="s">
        <v>906</v>
      </c>
      <c r="E56" s="40" t="s">
        <v>145</v>
      </c>
      <c r="F56" s="28">
        <f>'Пр.4 ведом.20'!G505+'Пр.4 ведом.20'!G43</f>
        <v>1890</v>
      </c>
    </row>
    <row r="57" spans="1:6" s="221" customFormat="1" ht="31.5" x14ac:dyDescent="0.25">
      <c r="A57" s="23" t="s">
        <v>930</v>
      </c>
      <c r="B57" s="7" t="s">
        <v>133</v>
      </c>
      <c r="C57" s="24" t="s">
        <v>165</v>
      </c>
      <c r="D57" s="7" t="s">
        <v>907</v>
      </c>
      <c r="E57" s="7"/>
      <c r="F57" s="4">
        <f>F58+F66+F71+F76+F61+F81</f>
        <v>3274.6</v>
      </c>
    </row>
    <row r="58" spans="1:6" s="221" customFormat="1" ht="47.25" x14ac:dyDescent="0.25">
      <c r="A58" s="25" t="s">
        <v>202</v>
      </c>
      <c r="B58" s="40" t="s">
        <v>133</v>
      </c>
      <c r="C58" s="20" t="s">
        <v>165</v>
      </c>
      <c r="D58" s="40" t="s">
        <v>1258</v>
      </c>
      <c r="E58" s="7"/>
      <c r="F58" s="10">
        <f>F59</f>
        <v>6</v>
      </c>
    </row>
    <row r="59" spans="1:6" s="221" customFormat="1" ht="31.5" x14ac:dyDescent="0.25">
      <c r="A59" s="25" t="s">
        <v>146</v>
      </c>
      <c r="B59" s="40" t="s">
        <v>133</v>
      </c>
      <c r="C59" s="20" t="s">
        <v>165</v>
      </c>
      <c r="D59" s="40" t="s">
        <v>1258</v>
      </c>
      <c r="E59" s="40" t="s">
        <v>147</v>
      </c>
      <c r="F59" s="10">
        <f t="shared" ref="F59" si="11">F60</f>
        <v>6</v>
      </c>
    </row>
    <row r="60" spans="1:6" s="221" customFormat="1" ht="31.5" x14ac:dyDescent="0.25">
      <c r="A60" s="25" t="s">
        <v>148</v>
      </c>
      <c r="B60" s="40" t="s">
        <v>133</v>
      </c>
      <c r="C60" s="20" t="s">
        <v>165</v>
      </c>
      <c r="D60" s="40" t="s">
        <v>1258</v>
      </c>
      <c r="E60" s="40" t="s">
        <v>149</v>
      </c>
      <c r="F60" s="10">
        <f>'Пр.4 ведом.20'!G47</f>
        <v>6</v>
      </c>
    </row>
    <row r="61" spans="1:6" s="221" customFormat="1" ht="47.25" x14ac:dyDescent="0.25">
      <c r="A61" s="31" t="s">
        <v>1420</v>
      </c>
      <c r="B61" s="20" t="s">
        <v>133</v>
      </c>
      <c r="C61" s="20" t="s">
        <v>165</v>
      </c>
      <c r="D61" s="20" t="s">
        <v>1419</v>
      </c>
      <c r="E61" s="20"/>
      <c r="F61" s="26">
        <f>F62+F64</f>
        <v>92.6</v>
      </c>
    </row>
    <row r="62" spans="1:6" s="221" customFormat="1" ht="78.75" hidden="1" x14ac:dyDescent="0.25">
      <c r="A62" s="25" t="s">
        <v>142</v>
      </c>
      <c r="B62" s="20" t="s">
        <v>133</v>
      </c>
      <c r="C62" s="20" t="s">
        <v>165</v>
      </c>
      <c r="D62" s="20" t="s">
        <v>1419</v>
      </c>
      <c r="E62" s="20" t="s">
        <v>143</v>
      </c>
      <c r="F62" s="26">
        <f>F63</f>
        <v>0</v>
      </c>
    </row>
    <row r="63" spans="1:6" s="221" customFormat="1" ht="31.5" hidden="1" x14ac:dyDescent="0.25">
      <c r="A63" s="25" t="s">
        <v>144</v>
      </c>
      <c r="B63" s="20" t="s">
        <v>133</v>
      </c>
      <c r="C63" s="20" t="s">
        <v>165</v>
      </c>
      <c r="D63" s="20" t="s">
        <v>1419</v>
      </c>
      <c r="E63" s="20" t="s">
        <v>145</v>
      </c>
      <c r="F63" s="26">
        <f>'Пр.4 ведом.20'!G50</f>
        <v>0</v>
      </c>
    </row>
    <row r="64" spans="1:6" s="361" customFormat="1" ht="31.5" x14ac:dyDescent="0.25">
      <c r="A64" s="372" t="s">
        <v>146</v>
      </c>
      <c r="B64" s="368" t="s">
        <v>133</v>
      </c>
      <c r="C64" s="368" t="s">
        <v>165</v>
      </c>
      <c r="D64" s="368" t="s">
        <v>1419</v>
      </c>
      <c r="E64" s="368" t="s">
        <v>147</v>
      </c>
      <c r="F64" s="373">
        <f>F65</f>
        <v>92.6</v>
      </c>
    </row>
    <row r="65" spans="1:6" s="361" customFormat="1" ht="31.5" x14ac:dyDescent="0.25">
      <c r="A65" s="372" t="s">
        <v>148</v>
      </c>
      <c r="B65" s="368" t="s">
        <v>133</v>
      </c>
      <c r="C65" s="368" t="s">
        <v>165</v>
      </c>
      <c r="D65" s="368" t="s">
        <v>1419</v>
      </c>
      <c r="E65" s="368" t="s">
        <v>149</v>
      </c>
      <c r="F65" s="373">
        <f>'Пр.4 ведом.20'!G52</f>
        <v>92.6</v>
      </c>
    </row>
    <row r="66" spans="1:6" s="221" customFormat="1" ht="47.25" x14ac:dyDescent="0.25">
      <c r="A66" s="45" t="s">
        <v>204</v>
      </c>
      <c r="B66" s="40" t="s">
        <v>133</v>
      </c>
      <c r="C66" s="20" t="s">
        <v>165</v>
      </c>
      <c r="D66" s="40" t="s">
        <v>991</v>
      </c>
      <c r="E66" s="40"/>
      <c r="F66" s="6">
        <f>F67+F69</f>
        <v>604.80000000000007</v>
      </c>
    </row>
    <row r="67" spans="1:6" s="221" customFormat="1" ht="78.75" x14ac:dyDescent="0.25">
      <c r="A67" s="29" t="s">
        <v>142</v>
      </c>
      <c r="B67" s="40" t="s">
        <v>133</v>
      </c>
      <c r="C67" s="20" t="s">
        <v>165</v>
      </c>
      <c r="D67" s="40" t="s">
        <v>991</v>
      </c>
      <c r="E67" s="40" t="s">
        <v>143</v>
      </c>
      <c r="F67" s="6">
        <f t="shared" ref="F67" si="12">F68</f>
        <v>528.70000000000005</v>
      </c>
    </row>
    <row r="68" spans="1:6" s="221" customFormat="1" ht="31.5" x14ac:dyDescent="0.25">
      <c r="A68" s="29" t="s">
        <v>144</v>
      </c>
      <c r="B68" s="40" t="s">
        <v>133</v>
      </c>
      <c r="C68" s="20" t="s">
        <v>165</v>
      </c>
      <c r="D68" s="40" t="s">
        <v>991</v>
      </c>
      <c r="E68" s="40" t="s">
        <v>145</v>
      </c>
      <c r="F68" s="6">
        <f>'Пр.4 ведом.20'!G55</f>
        <v>528.70000000000005</v>
      </c>
    </row>
    <row r="69" spans="1:6" s="221" customFormat="1" ht="31.5" x14ac:dyDescent="0.25">
      <c r="A69" s="25" t="s">
        <v>146</v>
      </c>
      <c r="B69" s="40" t="s">
        <v>133</v>
      </c>
      <c r="C69" s="20" t="s">
        <v>165</v>
      </c>
      <c r="D69" s="40" t="s">
        <v>991</v>
      </c>
      <c r="E69" s="40" t="s">
        <v>147</v>
      </c>
      <c r="F69" s="6">
        <f>F70</f>
        <v>76.099999999999994</v>
      </c>
    </row>
    <row r="70" spans="1:6" s="221" customFormat="1" ht="31.5" x14ac:dyDescent="0.25">
      <c r="A70" s="25" t="s">
        <v>148</v>
      </c>
      <c r="B70" s="40" t="s">
        <v>133</v>
      </c>
      <c r="C70" s="20" t="s">
        <v>165</v>
      </c>
      <c r="D70" s="40" t="s">
        <v>991</v>
      </c>
      <c r="E70" s="40" t="s">
        <v>149</v>
      </c>
      <c r="F70" s="6">
        <f>'Пр.4 ведом.20'!G57</f>
        <v>76.099999999999994</v>
      </c>
    </row>
    <row r="71" spans="1:6" s="221" customFormat="1" ht="47.25" x14ac:dyDescent="0.25">
      <c r="A71" s="31" t="s">
        <v>209</v>
      </c>
      <c r="B71" s="40" t="s">
        <v>133</v>
      </c>
      <c r="C71" s="20" t="s">
        <v>165</v>
      </c>
      <c r="D71" s="40" t="s">
        <v>1195</v>
      </c>
      <c r="E71" s="40"/>
      <c r="F71" s="6">
        <f>F72+F74</f>
        <v>1433.3</v>
      </c>
    </row>
    <row r="72" spans="1:6" s="221" customFormat="1" ht="78.75" x14ac:dyDescent="0.25">
      <c r="A72" s="29" t="s">
        <v>142</v>
      </c>
      <c r="B72" s="40" t="s">
        <v>133</v>
      </c>
      <c r="C72" s="20" t="s">
        <v>165</v>
      </c>
      <c r="D72" s="40" t="s">
        <v>1195</v>
      </c>
      <c r="E72" s="40" t="s">
        <v>143</v>
      </c>
      <c r="F72" s="6">
        <f t="shared" ref="F72" si="13">F73</f>
        <v>1372.1</v>
      </c>
    </row>
    <row r="73" spans="1:6" s="221" customFormat="1" ht="31.5" x14ac:dyDescent="0.25">
      <c r="A73" s="29" t="s">
        <v>144</v>
      </c>
      <c r="B73" s="40" t="s">
        <v>133</v>
      </c>
      <c r="C73" s="20" t="s">
        <v>165</v>
      </c>
      <c r="D73" s="40" t="s">
        <v>1195</v>
      </c>
      <c r="E73" s="40" t="s">
        <v>145</v>
      </c>
      <c r="F73" s="6">
        <f>'Пр.4 ведом.20'!G60</f>
        <v>1372.1</v>
      </c>
    </row>
    <row r="74" spans="1:6" s="221" customFormat="1" ht="31.5" x14ac:dyDescent="0.25">
      <c r="A74" s="25" t="s">
        <v>146</v>
      </c>
      <c r="B74" s="40" t="s">
        <v>133</v>
      </c>
      <c r="C74" s="20" t="s">
        <v>165</v>
      </c>
      <c r="D74" s="40" t="s">
        <v>1195</v>
      </c>
      <c r="E74" s="40" t="s">
        <v>147</v>
      </c>
      <c r="F74" s="6">
        <f>F75</f>
        <v>61.2</v>
      </c>
    </row>
    <row r="75" spans="1:6" s="221" customFormat="1" ht="31.5" x14ac:dyDescent="0.25">
      <c r="A75" s="25" t="s">
        <v>148</v>
      </c>
      <c r="B75" s="40" t="s">
        <v>133</v>
      </c>
      <c r="C75" s="20" t="s">
        <v>165</v>
      </c>
      <c r="D75" s="40" t="s">
        <v>1195</v>
      </c>
      <c r="E75" s="40" t="s">
        <v>149</v>
      </c>
      <c r="F75" s="6">
        <f>'Пр.4 ведом.20'!G62</f>
        <v>61.2</v>
      </c>
    </row>
    <row r="76" spans="1:6" ht="47.25" x14ac:dyDescent="0.25">
      <c r="A76" s="45" t="s">
        <v>211</v>
      </c>
      <c r="B76" s="40" t="s">
        <v>133</v>
      </c>
      <c r="C76" s="20" t="s">
        <v>165</v>
      </c>
      <c r="D76" s="40" t="s">
        <v>992</v>
      </c>
      <c r="E76" s="40"/>
      <c r="F76" s="6">
        <f t="shared" ref="F76" si="14">F77+F79</f>
        <v>1115.9000000000001</v>
      </c>
    </row>
    <row r="77" spans="1:6" ht="81.75" customHeight="1" x14ac:dyDescent="0.25">
      <c r="A77" s="29" t="s">
        <v>142</v>
      </c>
      <c r="B77" s="40" t="s">
        <v>133</v>
      </c>
      <c r="C77" s="20" t="s">
        <v>165</v>
      </c>
      <c r="D77" s="40" t="s">
        <v>992</v>
      </c>
      <c r="E77" s="40" t="s">
        <v>143</v>
      </c>
      <c r="F77" s="6">
        <f t="shared" ref="F77" si="15">F78</f>
        <v>1081.9000000000001</v>
      </c>
    </row>
    <row r="78" spans="1:6" ht="36" customHeight="1" x14ac:dyDescent="0.25">
      <c r="A78" s="29" t="s">
        <v>144</v>
      </c>
      <c r="B78" s="40" t="s">
        <v>133</v>
      </c>
      <c r="C78" s="20" t="s">
        <v>165</v>
      </c>
      <c r="D78" s="40" t="s">
        <v>992</v>
      </c>
      <c r="E78" s="40" t="s">
        <v>145</v>
      </c>
      <c r="F78" s="6">
        <f>'Пр.4 ведом.20'!G65</f>
        <v>1081.9000000000001</v>
      </c>
    </row>
    <row r="79" spans="1:6" ht="31.5" x14ac:dyDescent="0.25">
      <c r="A79" s="29" t="s">
        <v>146</v>
      </c>
      <c r="B79" s="40" t="s">
        <v>133</v>
      </c>
      <c r="C79" s="20" t="s">
        <v>165</v>
      </c>
      <c r="D79" s="40" t="s">
        <v>992</v>
      </c>
      <c r="E79" s="40" t="s">
        <v>147</v>
      </c>
      <c r="F79" s="6">
        <f t="shared" ref="F79" si="16">F80</f>
        <v>34.000000000000007</v>
      </c>
    </row>
    <row r="80" spans="1:6" ht="31.5" x14ac:dyDescent="0.25">
      <c r="A80" s="29" t="s">
        <v>148</v>
      </c>
      <c r="B80" s="40" t="s">
        <v>133</v>
      </c>
      <c r="C80" s="20" t="s">
        <v>165</v>
      </c>
      <c r="D80" s="40" t="s">
        <v>992</v>
      </c>
      <c r="E80" s="40" t="s">
        <v>149</v>
      </c>
      <c r="F80" s="6">
        <f>'Пр.4 ведом.20'!G67</f>
        <v>34.000000000000007</v>
      </c>
    </row>
    <row r="81" spans="1:6" s="221" customFormat="1" ht="94.5" x14ac:dyDescent="0.25">
      <c r="A81" s="31" t="s">
        <v>1413</v>
      </c>
      <c r="B81" s="20" t="s">
        <v>133</v>
      </c>
      <c r="C81" s="20" t="s">
        <v>165</v>
      </c>
      <c r="D81" s="20" t="s">
        <v>1412</v>
      </c>
      <c r="E81" s="20"/>
      <c r="F81" s="26">
        <f>F82</f>
        <v>22</v>
      </c>
    </row>
    <row r="82" spans="1:6" s="221" customFormat="1" ht="78.75" x14ac:dyDescent="0.25">
      <c r="A82" s="25" t="s">
        <v>142</v>
      </c>
      <c r="B82" s="20" t="s">
        <v>133</v>
      </c>
      <c r="C82" s="20" t="s">
        <v>165</v>
      </c>
      <c r="D82" s="20" t="s">
        <v>1412</v>
      </c>
      <c r="E82" s="20" t="s">
        <v>143</v>
      </c>
      <c r="F82" s="26">
        <f>F83</f>
        <v>22</v>
      </c>
    </row>
    <row r="83" spans="1:6" s="221" customFormat="1" ht="31.5" x14ac:dyDescent="0.25">
      <c r="A83" s="25" t="s">
        <v>144</v>
      </c>
      <c r="B83" s="20" t="s">
        <v>133</v>
      </c>
      <c r="C83" s="20" t="s">
        <v>165</v>
      </c>
      <c r="D83" s="20" t="s">
        <v>1412</v>
      </c>
      <c r="E83" s="20" t="s">
        <v>145</v>
      </c>
      <c r="F83" s="26">
        <f>'Пр.4 ведом.20'!G509</f>
        <v>22</v>
      </c>
    </row>
    <row r="84" spans="1:6" s="221" customFormat="1" ht="47.25" x14ac:dyDescent="0.25">
      <c r="A84" s="23" t="s">
        <v>818</v>
      </c>
      <c r="B84" s="24" t="s">
        <v>133</v>
      </c>
      <c r="C84" s="24" t="s">
        <v>165</v>
      </c>
      <c r="D84" s="24" t="s">
        <v>177</v>
      </c>
      <c r="E84" s="24"/>
      <c r="F84" s="4">
        <f>F85+F89+F95</f>
        <v>523</v>
      </c>
    </row>
    <row r="85" spans="1:6" s="221" customFormat="1" ht="63" x14ac:dyDescent="0.25">
      <c r="A85" s="248" t="s">
        <v>1153</v>
      </c>
      <c r="B85" s="24" t="s">
        <v>133</v>
      </c>
      <c r="C85" s="24" t="s">
        <v>165</v>
      </c>
      <c r="D85" s="7" t="s">
        <v>893</v>
      </c>
      <c r="E85" s="24"/>
      <c r="F85" s="4">
        <f>F86</f>
        <v>446</v>
      </c>
    </row>
    <row r="86" spans="1:6" s="221" customFormat="1" ht="31.5" x14ac:dyDescent="0.25">
      <c r="A86" s="29" t="s">
        <v>1152</v>
      </c>
      <c r="B86" s="20" t="s">
        <v>133</v>
      </c>
      <c r="C86" s="20" t="s">
        <v>165</v>
      </c>
      <c r="D86" s="40" t="s">
        <v>885</v>
      </c>
      <c r="E86" s="20"/>
      <c r="F86" s="6">
        <f>F87</f>
        <v>446</v>
      </c>
    </row>
    <row r="87" spans="1:6" s="221" customFormat="1" ht="31.5" x14ac:dyDescent="0.25">
      <c r="A87" s="25" t="s">
        <v>146</v>
      </c>
      <c r="B87" s="20" t="s">
        <v>133</v>
      </c>
      <c r="C87" s="20" t="s">
        <v>165</v>
      </c>
      <c r="D87" s="40" t="s">
        <v>885</v>
      </c>
      <c r="E87" s="20" t="s">
        <v>147</v>
      </c>
      <c r="F87" s="6">
        <f>F88</f>
        <v>446</v>
      </c>
    </row>
    <row r="88" spans="1:6" s="221" customFormat="1" ht="31.5" x14ac:dyDescent="0.25">
      <c r="A88" s="25" t="s">
        <v>148</v>
      </c>
      <c r="B88" s="20" t="s">
        <v>133</v>
      </c>
      <c r="C88" s="20" t="s">
        <v>165</v>
      </c>
      <c r="D88" s="40" t="s">
        <v>885</v>
      </c>
      <c r="E88" s="20" t="s">
        <v>149</v>
      </c>
      <c r="F88" s="6">
        <f>'Пр.4 ведом.20'!G72</f>
        <v>446</v>
      </c>
    </row>
    <row r="89" spans="1:6" s="221" customFormat="1" ht="63" x14ac:dyDescent="0.25">
      <c r="A89" s="247" t="s">
        <v>887</v>
      </c>
      <c r="B89" s="24" t="s">
        <v>133</v>
      </c>
      <c r="C89" s="24" t="s">
        <v>165</v>
      </c>
      <c r="D89" s="7" t="s">
        <v>894</v>
      </c>
      <c r="E89" s="24"/>
      <c r="F89" s="4">
        <f>F90</f>
        <v>76.5</v>
      </c>
    </row>
    <row r="90" spans="1:6" s="221" customFormat="1" ht="47.25" x14ac:dyDescent="0.25">
      <c r="A90" s="178" t="s">
        <v>180</v>
      </c>
      <c r="B90" s="20" t="s">
        <v>133</v>
      </c>
      <c r="C90" s="20" t="s">
        <v>165</v>
      </c>
      <c r="D90" s="40" t="s">
        <v>886</v>
      </c>
      <c r="E90" s="20"/>
      <c r="F90" s="6">
        <f>F91+F93</f>
        <v>76.5</v>
      </c>
    </row>
    <row r="91" spans="1:6" s="221" customFormat="1" ht="78.75" x14ac:dyDescent="0.25">
      <c r="A91" s="25" t="s">
        <v>142</v>
      </c>
      <c r="B91" s="20" t="s">
        <v>133</v>
      </c>
      <c r="C91" s="20" t="s">
        <v>165</v>
      </c>
      <c r="D91" s="40" t="s">
        <v>886</v>
      </c>
      <c r="E91" s="20" t="s">
        <v>143</v>
      </c>
      <c r="F91" s="6">
        <f>F92</f>
        <v>37</v>
      </c>
    </row>
    <row r="92" spans="1:6" s="221" customFormat="1" ht="31.5" x14ac:dyDescent="0.25">
      <c r="A92" s="25" t="s">
        <v>144</v>
      </c>
      <c r="B92" s="20" t="s">
        <v>133</v>
      </c>
      <c r="C92" s="20" t="s">
        <v>165</v>
      </c>
      <c r="D92" s="40" t="s">
        <v>886</v>
      </c>
      <c r="E92" s="20" t="s">
        <v>145</v>
      </c>
      <c r="F92" s="6">
        <f>'Пр.4 ведом.20'!G76</f>
        <v>37</v>
      </c>
    </row>
    <row r="93" spans="1:6" s="221" customFormat="1" ht="31.5" x14ac:dyDescent="0.25">
      <c r="A93" s="25" t="s">
        <v>146</v>
      </c>
      <c r="B93" s="20" t="s">
        <v>133</v>
      </c>
      <c r="C93" s="20" t="s">
        <v>165</v>
      </c>
      <c r="D93" s="40" t="s">
        <v>886</v>
      </c>
      <c r="E93" s="20" t="s">
        <v>147</v>
      </c>
      <c r="F93" s="6">
        <f>F94</f>
        <v>39.5</v>
      </c>
    </row>
    <row r="94" spans="1:6" s="221" customFormat="1" ht="31.5" x14ac:dyDescent="0.25">
      <c r="A94" s="25" t="s">
        <v>148</v>
      </c>
      <c r="B94" s="20" t="s">
        <v>133</v>
      </c>
      <c r="C94" s="20" t="s">
        <v>165</v>
      </c>
      <c r="D94" s="40" t="s">
        <v>886</v>
      </c>
      <c r="E94" s="20" t="s">
        <v>149</v>
      </c>
      <c r="F94" s="6">
        <f>'Пр.4 ведом.20'!G78</f>
        <v>39.5</v>
      </c>
    </row>
    <row r="95" spans="1:6" s="221" customFormat="1" ht="63" x14ac:dyDescent="0.25">
      <c r="A95" s="249" t="s">
        <v>1154</v>
      </c>
      <c r="B95" s="24" t="s">
        <v>133</v>
      </c>
      <c r="C95" s="24" t="s">
        <v>165</v>
      </c>
      <c r="D95" s="7" t="s">
        <v>895</v>
      </c>
      <c r="E95" s="24"/>
      <c r="F95" s="4">
        <f>F96+F99</f>
        <v>0.5</v>
      </c>
    </row>
    <row r="96" spans="1:6" s="221" customFormat="1" ht="47.25" x14ac:dyDescent="0.25">
      <c r="A96" s="33" t="s">
        <v>206</v>
      </c>
      <c r="B96" s="20" t="s">
        <v>133</v>
      </c>
      <c r="C96" s="20" t="s">
        <v>165</v>
      </c>
      <c r="D96" s="40" t="s">
        <v>888</v>
      </c>
      <c r="E96" s="20"/>
      <c r="F96" s="6">
        <f>F97</f>
        <v>0.5</v>
      </c>
    </row>
    <row r="97" spans="1:6" s="221" customFormat="1" ht="31.5" x14ac:dyDescent="0.25">
      <c r="A97" s="25" t="s">
        <v>146</v>
      </c>
      <c r="B97" s="20" t="s">
        <v>133</v>
      </c>
      <c r="C97" s="20" t="s">
        <v>165</v>
      </c>
      <c r="D97" s="40" t="s">
        <v>888</v>
      </c>
      <c r="E97" s="20" t="s">
        <v>147</v>
      </c>
      <c r="F97" s="6">
        <f>F98</f>
        <v>0.5</v>
      </c>
    </row>
    <row r="98" spans="1:6" s="221" customFormat="1" ht="31.5" x14ac:dyDescent="0.25">
      <c r="A98" s="25" t="s">
        <v>148</v>
      </c>
      <c r="B98" s="20" t="s">
        <v>133</v>
      </c>
      <c r="C98" s="20" t="s">
        <v>165</v>
      </c>
      <c r="D98" s="40" t="s">
        <v>888</v>
      </c>
      <c r="E98" s="20" t="s">
        <v>149</v>
      </c>
      <c r="F98" s="6">
        <f>'Пр.4 ведом.20'!G82</f>
        <v>0.5</v>
      </c>
    </row>
    <row r="99" spans="1:6" s="221" customFormat="1" ht="47.25" hidden="1" x14ac:dyDescent="0.25">
      <c r="A99" s="33" t="s">
        <v>206</v>
      </c>
      <c r="B99" s="20" t="s">
        <v>133</v>
      </c>
      <c r="C99" s="20" t="s">
        <v>165</v>
      </c>
      <c r="D99" s="20" t="s">
        <v>889</v>
      </c>
      <c r="E99" s="20"/>
      <c r="F99" s="6">
        <f>F100</f>
        <v>0</v>
      </c>
    </row>
    <row r="100" spans="1:6" s="221" customFormat="1" ht="31.5" hidden="1" x14ac:dyDescent="0.25">
      <c r="A100" s="25" t="s">
        <v>146</v>
      </c>
      <c r="B100" s="20" t="s">
        <v>133</v>
      </c>
      <c r="C100" s="20" t="s">
        <v>165</v>
      </c>
      <c r="D100" s="20" t="s">
        <v>889</v>
      </c>
      <c r="E100" s="20" t="s">
        <v>147</v>
      </c>
      <c r="F100" s="6">
        <f>F101</f>
        <v>0</v>
      </c>
    </row>
    <row r="101" spans="1:6" s="221" customFormat="1" ht="31.5" hidden="1" x14ac:dyDescent="0.25">
      <c r="A101" s="25" t="s">
        <v>148</v>
      </c>
      <c r="B101" s="20" t="s">
        <v>133</v>
      </c>
      <c r="C101" s="20" t="s">
        <v>165</v>
      </c>
      <c r="D101" s="20" t="s">
        <v>889</v>
      </c>
      <c r="E101" s="20" t="s">
        <v>149</v>
      </c>
      <c r="F101" s="6">
        <f>'Пр.4 ведом.20'!G85</f>
        <v>0</v>
      </c>
    </row>
    <row r="102" spans="1:6" ht="47.25" x14ac:dyDescent="0.25">
      <c r="A102" s="41" t="s">
        <v>134</v>
      </c>
      <c r="B102" s="7" t="s">
        <v>133</v>
      </c>
      <c r="C102" s="7" t="s">
        <v>135</v>
      </c>
      <c r="D102" s="7"/>
      <c r="E102" s="7"/>
      <c r="F102" s="4">
        <f t="shared" ref="F102" si="17">F103</f>
        <v>16220.2</v>
      </c>
    </row>
    <row r="103" spans="1:6" ht="31.5" x14ac:dyDescent="0.25">
      <c r="A103" s="23" t="s">
        <v>988</v>
      </c>
      <c r="B103" s="7" t="s">
        <v>133</v>
      </c>
      <c r="C103" s="7" t="s">
        <v>135</v>
      </c>
      <c r="D103" s="7" t="s">
        <v>902</v>
      </c>
      <c r="E103" s="7"/>
      <c r="F103" s="4">
        <f>F113+F104</f>
        <v>16220.2</v>
      </c>
    </row>
    <row r="104" spans="1:6" s="221" customFormat="1" ht="31.5" x14ac:dyDescent="0.25">
      <c r="A104" s="23" t="s">
        <v>1132</v>
      </c>
      <c r="B104" s="7" t="s">
        <v>133</v>
      </c>
      <c r="C104" s="7" t="s">
        <v>135</v>
      </c>
      <c r="D104" s="7" t="s">
        <v>1133</v>
      </c>
      <c r="E104" s="7"/>
      <c r="F104" s="4">
        <f>F105+F110</f>
        <v>1733.1</v>
      </c>
    </row>
    <row r="105" spans="1:6" s="221" customFormat="1" ht="31.5" x14ac:dyDescent="0.25">
      <c r="A105" s="25" t="s">
        <v>965</v>
      </c>
      <c r="B105" s="20" t="s">
        <v>133</v>
      </c>
      <c r="C105" s="20" t="s">
        <v>135</v>
      </c>
      <c r="D105" s="20" t="s">
        <v>1137</v>
      </c>
      <c r="E105" s="20"/>
      <c r="F105" s="6">
        <f>F106+F108</f>
        <v>1691.1</v>
      </c>
    </row>
    <row r="106" spans="1:6" s="221" customFormat="1" ht="78.75" x14ac:dyDescent="0.25">
      <c r="A106" s="25" t="s">
        <v>142</v>
      </c>
      <c r="B106" s="20" t="s">
        <v>133</v>
      </c>
      <c r="C106" s="20" t="s">
        <v>135</v>
      </c>
      <c r="D106" s="20" t="s">
        <v>1137</v>
      </c>
      <c r="E106" s="20" t="s">
        <v>143</v>
      </c>
      <c r="F106" s="6">
        <f>F107</f>
        <v>1673.1</v>
      </c>
    </row>
    <row r="107" spans="1:6" s="221" customFormat="1" ht="31.5" x14ac:dyDescent="0.25">
      <c r="A107" s="25" t="s">
        <v>144</v>
      </c>
      <c r="B107" s="20" t="s">
        <v>133</v>
      </c>
      <c r="C107" s="20" t="s">
        <v>135</v>
      </c>
      <c r="D107" s="20" t="s">
        <v>1137</v>
      </c>
      <c r="E107" s="20" t="s">
        <v>145</v>
      </c>
      <c r="F107" s="6">
        <f>'Пр.4 ведом.20'!G1139</f>
        <v>1673.1</v>
      </c>
    </row>
    <row r="108" spans="1:6" s="221" customFormat="1" ht="31.5" x14ac:dyDescent="0.25">
      <c r="A108" s="25" t="s">
        <v>213</v>
      </c>
      <c r="B108" s="20" t="s">
        <v>133</v>
      </c>
      <c r="C108" s="20" t="s">
        <v>135</v>
      </c>
      <c r="D108" s="20" t="s">
        <v>1137</v>
      </c>
      <c r="E108" s="20" t="s">
        <v>147</v>
      </c>
      <c r="F108" s="6">
        <f>F109</f>
        <v>18</v>
      </c>
    </row>
    <row r="109" spans="1:6" s="221" customFormat="1" ht="31.5" x14ac:dyDescent="0.25">
      <c r="A109" s="25" t="s">
        <v>148</v>
      </c>
      <c r="B109" s="20" t="s">
        <v>133</v>
      </c>
      <c r="C109" s="20" t="s">
        <v>135</v>
      </c>
      <c r="D109" s="20" t="s">
        <v>1137</v>
      </c>
      <c r="E109" s="20" t="s">
        <v>149</v>
      </c>
      <c r="F109" s="6">
        <f>'Пр.4 ведом.20'!G1141</f>
        <v>18</v>
      </c>
    </row>
    <row r="110" spans="1:6" s="221" customFormat="1" ht="47.25" x14ac:dyDescent="0.25">
      <c r="A110" s="25" t="s">
        <v>883</v>
      </c>
      <c r="B110" s="20" t="s">
        <v>133</v>
      </c>
      <c r="C110" s="20" t="s">
        <v>135</v>
      </c>
      <c r="D110" s="20" t="s">
        <v>1135</v>
      </c>
      <c r="E110" s="20"/>
      <c r="F110" s="6">
        <f>F111</f>
        <v>42</v>
      </c>
    </row>
    <row r="111" spans="1:6" s="221" customFormat="1" ht="78.75" x14ac:dyDescent="0.25">
      <c r="A111" s="25" t="s">
        <v>142</v>
      </c>
      <c r="B111" s="20" t="s">
        <v>133</v>
      </c>
      <c r="C111" s="20" t="s">
        <v>135</v>
      </c>
      <c r="D111" s="20" t="s">
        <v>1135</v>
      </c>
      <c r="E111" s="20" t="s">
        <v>143</v>
      </c>
      <c r="F111" s="6">
        <f>F112</f>
        <v>42</v>
      </c>
    </row>
    <row r="112" spans="1:6" s="221" customFormat="1" ht="31.5" x14ac:dyDescent="0.25">
      <c r="A112" s="25" t="s">
        <v>144</v>
      </c>
      <c r="B112" s="20" t="s">
        <v>133</v>
      </c>
      <c r="C112" s="20" t="s">
        <v>135</v>
      </c>
      <c r="D112" s="20" t="s">
        <v>1135</v>
      </c>
      <c r="E112" s="20" t="s">
        <v>145</v>
      </c>
      <c r="F112" s="6">
        <f>'Пр.4 ведом.20'!G1144</f>
        <v>42</v>
      </c>
    </row>
    <row r="113" spans="1:6" ht="15.75" x14ac:dyDescent="0.25">
      <c r="A113" s="23" t="s">
        <v>989</v>
      </c>
      <c r="B113" s="7" t="s">
        <v>133</v>
      </c>
      <c r="C113" s="7" t="s">
        <v>135</v>
      </c>
      <c r="D113" s="7" t="s">
        <v>903</v>
      </c>
      <c r="E113" s="7"/>
      <c r="F113" s="4">
        <f>F114+F121</f>
        <v>14487.1</v>
      </c>
    </row>
    <row r="114" spans="1:6" ht="37.5" customHeight="1" x14ac:dyDescent="0.25">
      <c r="A114" s="29" t="s">
        <v>965</v>
      </c>
      <c r="B114" s="40" t="s">
        <v>133</v>
      </c>
      <c r="C114" s="40" t="s">
        <v>135</v>
      </c>
      <c r="D114" s="40" t="s">
        <v>904</v>
      </c>
      <c r="E114" s="40"/>
      <c r="F114" s="6">
        <f t="shared" ref="F114" si="18">F115+F117+F119</f>
        <v>14152.1</v>
      </c>
    </row>
    <row r="115" spans="1:6" ht="78.75" x14ac:dyDescent="0.25">
      <c r="A115" s="29" t="s">
        <v>142</v>
      </c>
      <c r="B115" s="40" t="s">
        <v>133</v>
      </c>
      <c r="C115" s="40" t="s">
        <v>135</v>
      </c>
      <c r="D115" s="40" t="s">
        <v>904</v>
      </c>
      <c r="E115" s="40" t="s">
        <v>143</v>
      </c>
      <c r="F115" s="6">
        <f t="shared" ref="F115" si="19">F116</f>
        <v>13147.1</v>
      </c>
    </row>
    <row r="116" spans="1:6" ht="31.5" x14ac:dyDescent="0.25">
      <c r="A116" s="29" t="s">
        <v>144</v>
      </c>
      <c r="B116" s="40" t="s">
        <v>133</v>
      </c>
      <c r="C116" s="40" t="s">
        <v>135</v>
      </c>
      <c r="D116" s="40" t="s">
        <v>904</v>
      </c>
      <c r="E116" s="40" t="s">
        <v>145</v>
      </c>
      <c r="F116" s="338">
        <f>'Пр.4 ведом.20'!G16+'Пр.4 ведом.20'!G91</f>
        <v>13147.1</v>
      </c>
    </row>
    <row r="117" spans="1:6" ht="31.5" x14ac:dyDescent="0.25">
      <c r="A117" s="29" t="s">
        <v>146</v>
      </c>
      <c r="B117" s="40" t="s">
        <v>133</v>
      </c>
      <c r="C117" s="40" t="s">
        <v>135</v>
      </c>
      <c r="D117" s="40" t="s">
        <v>904</v>
      </c>
      <c r="E117" s="40" t="s">
        <v>147</v>
      </c>
      <c r="F117" s="6">
        <f t="shared" ref="F117" si="20">F118</f>
        <v>977</v>
      </c>
    </row>
    <row r="118" spans="1:6" ht="31.5" x14ac:dyDescent="0.25">
      <c r="A118" s="29" t="s">
        <v>148</v>
      </c>
      <c r="B118" s="40" t="s">
        <v>133</v>
      </c>
      <c r="C118" s="40" t="s">
        <v>135</v>
      </c>
      <c r="D118" s="40" t="s">
        <v>904</v>
      </c>
      <c r="E118" s="40" t="s">
        <v>149</v>
      </c>
      <c r="F118" s="6">
        <f>'Пр.4 ведом.20'!G18</f>
        <v>977</v>
      </c>
    </row>
    <row r="119" spans="1:6" ht="15.75" x14ac:dyDescent="0.25">
      <c r="A119" s="29" t="s">
        <v>150</v>
      </c>
      <c r="B119" s="40" t="s">
        <v>133</v>
      </c>
      <c r="C119" s="40" t="s">
        <v>135</v>
      </c>
      <c r="D119" s="40" t="s">
        <v>904</v>
      </c>
      <c r="E119" s="40" t="s">
        <v>160</v>
      </c>
      <c r="F119" s="6">
        <f t="shared" ref="F119" si="21">F120</f>
        <v>28</v>
      </c>
    </row>
    <row r="120" spans="1:6" ht="15.75" x14ac:dyDescent="0.25">
      <c r="A120" s="29" t="s">
        <v>583</v>
      </c>
      <c r="B120" s="40" t="s">
        <v>133</v>
      </c>
      <c r="C120" s="40" t="s">
        <v>135</v>
      </c>
      <c r="D120" s="40" t="s">
        <v>904</v>
      </c>
      <c r="E120" s="40" t="s">
        <v>153</v>
      </c>
      <c r="F120" s="6">
        <f>'Пр.4 ведом.20'!G20</f>
        <v>28</v>
      </c>
    </row>
    <row r="121" spans="1:6" s="221" customFormat="1" ht="54" customHeight="1" x14ac:dyDescent="0.25">
      <c r="A121" s="25" t="s">
        <v>883</v>
      </c>
      <c r="B121" s="20" t="s">
        <v>133</v>
      </c>
      <c r="C121" s="20" t="s">
        <v>135</v>
      </c>
      <c r="D121" s="20" t="s">
        <v>906</v>
      </c>
      <c r="E121" s="20"/>
      <c r="F121" s="6">
        <f>F122</f>
        <v>335</v>
      </c>
    </row>
    <row r="122" spans="1:6" s="221" customFormat="1" ht="80.45" customHeight="1" x14ac:dyDescent="0.25">
      <c r="A122" s="25" t="s">
        <v>142</v>
      </c>
      <c r="B122" s="20" t="s">
        <v>133</v>
      </c>
      <c r="C122" s="20" t="s">
        <v>135</v>
      </c>
      <c r="D122" s="20" t="s">
        <v>906</v>
      </c>
      <c r="E122" s="20" t="s">
        <v>143</v>
      </c>
      <c r="F122" s="6">
        <f>F123</f>
        <v>335</v>
      </c>
    </row>
    <row r="123" spans="1:6" s="221" customFormat="1" ht="36" customHeight="1" x14ac:dyDescent="0.25">
      <c r="A123" s="25" t="s">
        <v>144</v>
      </c>
      <c r="B123" s="20" t="s">
        <v>133</v>
      </c>
      <c r="C123" s="20" t="s">
        <v>135</v>
      </c>
      <c r="D123" s="20" t="s">
        <v>906</v>
      </c>
      <c r="E123" s="20" t="s">
        <v>145</v>
      </c>
      <c r="F123" s="6">
        <f>'Пр.4 ведом.20'!G23+'Пр.4 ведом.20'!G94</f>
        <v>335</v>
      </c>
    </row>
    <row r="124" spans="1:6" s="221" customFormat="1" ht="20.25" customHeight="1" x14ac:dyDescent="0.25">
      <c r="A124" s="23" t="s">
        <v>1373</v>
      </c>
      <c r="B124" s="24" t="s">
        <v>133</v>
      </c>
      <c r="C124" s="24" t="s">
        <v>279</v>
      </c>
      <c r="D124" s="24"/>
      <c r="E124" s="20"/>
      <c r="F124" s="21">
        <f>F125</f>
        <v>158.38</v>
      </c>
    </row>
    <row r="125" spans="1:6" s="221" customFormat="1" ht="23.25" customHeight="1" x14ac:dyDescent="0.25">
      <c r="A125" s="23" t="s">
        <v>156</v>
      </c>
      <c r="B125" s="24" t="s">
        <v>133</v>
      </c>
      <c r="C125" s="24" t="s">
        <v>279</v>
      </c>
      <c r="D125" s="24" t="s">
        <v>910</v>
      </c>
      <c r="E125" s="20"/>
      <c r="F125" s="21">
        <f>F126</f>
        <v>158.38</v>
      </c>
    </row>
    <row r="126" spans="1:6" s="221" customFormat="1" ht="36" customHeight="1" x14ac:dyDescent="0.25">
      <c r="A126" s="23" t="s">
        <v>914</v>
      </c>
      <c r="B126" s="24" t="s">
        <v>133</v>
      </c>
      <c r="C126" s="24" t="s">
        <v>279</v>
      </c>
      <c r="D126" s="24" t="s">
        <v>909</v>
      </c>
      <c r="E126" s="20"/>
      <c r="F126" s="21">
        <f>F127</f>
        <v>158.38</v>
      </c>
    </row>
    <row r="127" spans="1:6" s="221" customFormat="1" ht="24" customHeight="1" x14ac:dyDescent="0.25">
      <c r="A127" s="45" t="s">
        <v>214</v>
      </c>
      <c r="B127" s="20" t="s">
        <v>133</v>
      </c>
      <c r="C127" s="20" t="s">
        <v>279</v>
      </c>
      <c r="D127" s="20" t="s">
        <v>1372</v>
      </c>
      <c r="E127" s="20"/>
      <c r="F127" s="26">
        <f>F128+F130</f>
        <v>158.38</v>
      </c>
    </row>
    <row r="128" spans="1:6" s="221" customFormat="1" ht="78.75" customHeight="1" x14ac:dyDescent="0.25">
      <c r="A128" s="25" t="s">
        <v>142</v>
      </c>
      <c r="B128" s="20" t="s">
        <v>133</v>
      </c>
      <c r="C128" s="20" t="s">
        <v>279</v>
      </c>
      <c r="D128" s="20" t="s">
        <v>1372</v>
      </c>
      <c r="E128" s="20" t="s">
        <v>143</v>
      </c>
      <c r="F128" s="26">
        <f>F129</f>
        <v>158.38</v>
      </c>
    </row>
    <row r="129" spans="1:10" s="221" customFormat="1" ht="36" customHeight="1" x14ac:dyDescent="0.25">
      <c r="A129" s="25" t="s">
        <v>144</v>
      </c>
      <c r="B129" s="20" t="s">
        <v>133</v>
      </c>
      <c r="C129" s="20" t="s">
        <v>279</v>
      </c>
      <c r="D129" s="20" t="s">
        <v>1372</v>
      </c>
      <c r="E129" s="20" t="s">
        <v>145</v>
      </c>
      <c r="F129" s="26">
        <f>'Пр.4 ведом.20'!G100</f>
        <v>158.38</v>
      </c>
    </row>
    <row r="130" spans="1:10" s="221" customFormat="1" ht="36" hidden="1" customHeight="1" x14ac:dyDescent="0.25">
      <c r="A130" s="25" t="s">
        <v>213</v>
      </c>
      <c r="B130" s="20" t="s">
        <v>133</v>
      </c>
      <c r="C130" s="20" t="s">
        <v>279</v>
      </c>
      <c r="D130" s="20" t="s">
        <v>1372</v>
      </c>
      <c r="E130" s="20" t="s">
        <v>147</v>
      </c>
      <c r="F130" s="26">
        <f>F131</f>
        <v>0</v>
      </c>
    </row>
    <row r="131" spans="1:10" s="221" customFormat="1" ht="36" hidden="1" customHeight="1" x14ac:dyDescent="0.25">
      <c r="A131" s="25" t="s">
        <v>148</v>
      </c>
      <c r="B131" s="20" t="s">
        <v>133</v>
      </c>
      <c r="C131" s="20" t="s">
        <v>279</v>
      </c>
      <c r="D131" s="20" t="s">
        <v>1372</v>
      </c>
      <c r="E131" s="20" t="s">
        <v>149</v>
      </c>
      <c r="F131" s="26">
        <f>'Пр.4 ведом.20'!G102</f>
        <v>0</v>
      </c>
    </row>
    <row r="132" spans="1:10" ht="15.75" x14ac:dyDescent="0.25">
      <c r="A132" s="41" t="s">
        <v>154</v>
      </c>
      <c r="B132" s="7" t="s">
        <v>133</v>
      </c>
      <c r="C132" s="7" t="s">
        <v>155</v>
      </c>
      <c r="D132" s="7"/>
      <c r="E132" s="7"/>
      <c r="F132" s="4">
        <f>F133+F161+F170+F193+F202+F207+F212</f>
        <v>50867.619999999995</v>
      </c>
      <c r="H132" s="22"/>
      <c r="J132" s="22"/>
    </row>
    <row r="133" spans="1:10" s="221" customFormat="1" ht="15.75" x14ac:dyDescent="0.25">
      <c r="A133" s="23" t="s">
        <v>156</v>
      </c>
      <c r="B133" s="24" t="s">
        <v>133</v>
      </c>
      <c r="C133" s="24" t="s">
        <v>155</v>
      </c>
      <c r="D133" s="24" t="s">
        <v>910</v>
      </c>
      <c r="E133" s="24"/>
      <c r="F133" s="4">
        <f>F134+F145+F152</f>
        <v>50106.1</v>
      </c>
      <c r="H133" s="22"/>
      <c r="J133" s="22"/>
    </row>
    <row r="134" spans="1:10" s="221" customFormat="1" ht="15.75" x14ac:dyDescent="0.25">
      <c r="A134" s="23" t="s">
        <v>1088</v>
      </c>
      <c r="B134" s="24" t="s">
        <v>133</v>
      </c>
      <c r="C134" s="24" t="s">
        <v>155</v>
      </c>
      <c r="D134" s="24" t="s">
        <v>1087</v>
      </c>
      <c r="E134" s="24"/>
      <c r="F134" s="340">
        <f>F138+F135</f>
        <v>38291.599999999999</v>
      </c>
      <c r="H134" s="22"/>
      <c r="J134" s="22"/>
    </row>
    <row r="135" spans="1:10" s="221" customFormat="1" ht="47.25" x14ac:dyDescent="0.25">
      <c r="A135" s="25" t="s">
        <v>883</v>
      </c>
      <c r="B135" s="20" t="s">
        <v>133</v>
      </c>
      <c r="C135" s="20" t="s">
        <v>155</v>
      </c>
      <c r="D135" s="20" t="s">
        <v>1090</v>
      </c>
      <c r="E135" s="20"/>
      <c r="F135" s="6">
        <f>F136</f>
        <v>1072</v>
      </c>
      <c r="H135" s="22"/>
      <c r="J135" s="22"/>
    </row>
    <row r="136" spans="1:10" s="221" customFormat="1" ht="78.75" x14ac:dyDescent="0.25">
      <c r="A136" s="25" t="s">
        <v>142</v>
      </c>
      <c r="B136" s="20" t="s">
        <v>133</v>
      </c>
      <c r="C136" s="20" t="s">
        <v>155</v>
      </c>
      <c r="D136" s="20" t="s">
        <v>1090</v>
      </c>
      <c r="E136" s="20" t="s">
        <v>143</v>
      </c>
      <c r="F136" s="6">
        <f>F137</f>
        <v>1072</v>
      </c>
      <c r="H136" s="22"/>
      <c r="J136" s="22"/>
    </row>
    <row r="137" spans="1:10" s="221" customFormat="1" ht="31.5" x14ac:dyDescent="0.25">
      <c r="A137" s="25" t="s">
        <v>144</v>
      </c>
      <c r="B137" s="20" t="s">
        <v>133</v>
      </c>
      <c r="C137" s="20" t="s">
        <v>155</v>
      </c>
      <c r="D137" s="20" t="s">
        <v>1090</v>
      </c>
      <c r="E137" s="20" t="s">
        <v>224</v>
      </c>
      <c r="F137" s="6">
        <f>'Пр.4 ведом.20'!G884</f>
        <v>1072</v>
      </c>
      <c r="H137" s="22"/>
      <c r="J137" s="22"/>
    </row>
    <row r="138" spans="1:10" s="221" customFormat="1" ht="15.75" x14ac:dyDescent="0.25">
      <c r="A138" s="25" t="s">
        <v>832</v>
      </c>
      <c r="B138" s="20" t="s">
        <v>133</v>
      </c>
      <c r="C138" s="20" t="s">
        <v>155</v>
      </c>
      <c r="D138" s="20" t="s">
        <v>1089</v>
      </c>
      <c r="E138" s="20"/>
      <c r="F138" s="338">
        <f t="shared" ref="F138" si="22">F139+F141+F143</f>
        <v>37219.599999999999</v>
      </c>
      <c r="H138" s="22"/>
      <c r="J138" s="22"/>
    </row>
    <row r="139" spans="1:10" s="221" customFormat="1" ht="78.75" x14ac:dyDescent="0.25">
      <c r="A139" s="25" t="s">
        <v>142</v>
      </c>
      <c r="B139" s="20" t="s">
        <v>133</v>
      </c>
      <c r="C139" s="20" t="s">
        <v>155</v>
      </c>
      <c r="D139" s="20" t="s">
        <v>1089</v>
      </c>
      <c r="E139" s="20" t="s">
        <v>143</v>
      </c>
      <c r="F139" s="338">
        <f t="shared" ref="F139" si="23">F140</f>
        <v>30152.400000000001</v>
      </c>
      <c r="H139" s="22"/>
      <c r="J139" s="22"/>
    </row>
    <row r="140" spans="1:10" s="221" customFormat="1" ht="31.5" x14ac:dyDescent="0.25">
      <c r="A140" s="46" t="s">
        <v>357</v>
      </c>
      <c r="B140" s="20" t="s">
        <v>133</v>
      </c>
      <c r="C140" s="20" t="s">
        <v>155</v>
      </c>
      <c r="D140" s="20" t="s">
        <v>1089</v>
      </c>
      <c r="E140" s="20" t="s">
        <v>224</v>
      </c>
      <c r="F140" s="338">
        <f>'Пр.4 ведом.20'!G887</f>
        <v>30152.400000000001</v>
      </c>
      <c r="H140" s="22"/>
      <c r="J140" s="22"/>
    </row>
    <row r="141" spans="1:10" s="221" customFormat="1" ht="31.5" x14ac:dyDescent="0.25">
      <c r="A141" s="25" t="s">
        <v>146</v>
      </c>
      <c r="B141" s="20" t="s">
        <v>133</v>
      </c>
      <c r="C141" s="20" t="s">
        <v>155</v>
      </c>
      <c r="D141" s="20" t="s">
        <v>1089</v>
      </c>
      <c r="E141" s="20" t="s">
        <v>147</v>
      </c>
      <c r="F141" s="338">
        <f t="shared" ref="F141" si="24">F142</f>
        <v>6566.2</v>
      </c>
      <c r="H141" s="22"/>
      <c r="J141" s="22"/>
    </row>
    <row r="142" spans="1:10" s="221" customFormat="1" ht="31.5" x14ac:dyDescent="0.25">
      <c r="A142" s="25" t="s">
        <v>148</v>
      </c>
      <c r="B142" s="20" t="s">
        <v>133</v>
      </c>
      <c r="C142" s="20" t="s">
        <v>155</v>
      </c>
      <c r="D142" s="20" t="s">
        <v>1089</v>
      </c>
      <c r="E142" s="20" t="s">
        <v>149</v>
      </c>
      <c r="F142" s="338">
        <f>'Пр.4 ведом.20'!G889</f>
        <v>6566.2</v>
      </c>
      <c r="H142" s="22"/>
      <c r="J142" s="22"/>
    </row>
    <row r="143" spans="1:10" s="221" customFormat="1" ht="15.75" x14ac:dyDescent="0.25">
      <c r="A143" s="25" t="s">
        <v>150</v>
      </c>
      <c r="B143" s="20" t="s">
        <v>133</v>
      </c>
      <c r="C143" s="20" t="s">
        <v>155</v>
      </c>
      <c r="D143" s="20" t="s">
        <v>1089</v>
      </c>
      <c r="E143" s="20" t="s">
        <v>160</v>
      </c>
      <c r="F143" s="338">
        <f t="shared" ref="F143" si="25">F144</f>
        <v>501</v>
      </c>
      <c r="H143" s="22"/>
      <c r="J143" s="22"/>
    </row>
    <row r="144" spans="1:10" s="221" customFormat="1" ht="15.75" x14ac:dyDescent="0.25">
      <c r="A144" s="25" t="s">
        <v>725</v>
      </c>
      <c r="B144" s="20" t="s">
        <v>133</v>
      </c>
      <c r="C144" s="20" t="s">
        <v>155</v>
      </c>
      <c r="D144" s="20" t="s">
        <v>1089</v>
      </c>
      <c r="E144" s="20" t="s">
        <v>153</v>
      </c>
      <c r="F144" s="338">
        <f>'Пр.4 ведом.20'!G891</f>
        <v>501</v>
      </c>
      <c r="H144" s="22"/>
      <c r="J144" s="22"/>
    </row>
    <row r="145" spans="1:10" s="221" customFormat="1" ht="31.5" x14ac:dyDescent="0.25">
      <c r="A145" s="23" t="s">
        <v>914</v>
      </c>
      <c r="B145" s="24" t="s">
        <v>133</v>
      </c>
      <c r="C145" s="24" t="s">
        <v>155</v>
      </c>
      <c r="D145" s="24" t="s">
        <v>909</v>
      </c>
      <c r="E145" s="24"/>
      <c r="F145" s="4">
        <f>F146+F149</f>
        <v>5057.3999999999996</v>
      </c>
      <c r="H145" s="22"/>
      <c r="J145" s="22"/>
    </row>
    <row r="146" spans="1:10" s="221" customFormat="1" ht="47.25" x14ac:dyDescent="0.25">
      <c r="A146" s="25" t="s">
        <v>403</v>
      </c>
      <c r="B146" s="20" t="s">
        <v>133</v>
      </c>
      <c r="C146" s="20" t="s">
        <v>155</v>
      </c>
      <c r="D146" s="20" t="s">
        <v>1167</v>
      </c>
      <c r="E146" s="20"/>
      <c r="F146" s="6">
        <f>F147</f>
        <v>5057.3999999999996</v>
      </c>
      <c r="H146" s="22"/>
      <c r="J146" s="22"/>
    </row>
    <row r="147" spans="1:10" s="221" customFormat="1" ht="31.5" x14ac:dyDescent="0.25">
      <c r="A147" s="25" t="s">
        <v>146</v>
      </c>
      <c r="B147" s="20" t="s">
        <v>133</v>
      </c>
      <c r="C147" s="20" t="s">
        <v>155</v>
      </c>
      <c r="D147" s="20" t="s">
        <v>1167</v>
      </c>
      <c r="E147" s="20" t="s">
        <v>147</v>
      </c>
      <c r="F147" s="6">
        <f>F148</f>
        <v>5057.3999999999996</v>
      </c>
      <c r="H147" s="22"/>
      <c r="J147" s="22"/>
    </row>
    <row r="148" spans="1:10" s="221" customFormat="1" ht="31.5" x14ac:dyDescent="0.25">
      <c r="A148" s="25" t="s">
        <v>148</v>
      </c>
      <c r="B148" s="20" t="s">
        <v>133</v>
      </c>
      <c r="C148" s="20" t="s">
        <v>155</v>
      </c>
      <c r="D148" s="20" t="s">
        <v>1167</v>
      </c>
      <c r="E148" s="20" t="s">
        <v>149</v>
      </c>
      <c r="F148" s="6">
        <f>'Пр.4 ведом.20'!G515</f>
        <v>5057.3999999999996</v>
      </c>
      <c r="H148" s="22"/>
      <c r="J148" s="22"/>
    </row>
    <row r="149" spans="1:10" s="221" customFormat="1" ht="31.5" hidden="1" x14ac:dyDescent="0.25">
      <c r="A149" s="25" t="s">
        <v>1002</v>
      </c>
      <c r="B149" s="20" t="s">
        <v>133</v>
      </c>
      <c r="C149" s="20" t="s">
        <v>155</v>
      </c>
      <c r="D149" s="20" t="s">
        <v>1168</v>
      </c>
      <c r="E149" s="20"/>
      <c r="F149" s="6">
        <f>F150</f>
        <v>0</v>
      </c>
      <c r="H149" s="22"/>
      <c r="J149" s="22"/>
    </row>
    <row r="150" spans="1:10" s="221" customFormat="1" ht="31.5" hidden="1" x14ac:dyDescent="0.25">
      <c r="A150" s="25" t="s">
        <v>146</v>
      </c>
      <c r="B150" s="20" t="s">
        <v>133</v>
      </c>
      <c r="C150" s="20" t="s">
        <v>155</v>
      </c>
      <c r="D150" s="20" t="s">
        <v>1168</v>
      </c>
      <c r="E150" s="20" t="s">
        <v>147</v>
      </c>
      <c r="F150" s="6">
        <f>F151</f>
        <v>0</v>
      </c>
      <c r="H150" s="22"/>
      <c r="J150" s="22"/>
    </row>
    <row r="151" spans="1:10" s="221" customFormat="1" ht="31.5" hidden="1" x14ac:dyDescent="0.25">
      <c r="A151" s="25" t="s">
        <v>148</v>
      </c>
      <c r="B151" s="20" t="s">
        <v>133</v>
      </c>
      <c r="C151" s="20" t="s">
        <v>155</v>
      </c>
      <c r="D151" s="20" t="s">
        <v>1168</v>
      </c>
      <c r="E151" s="20" t="s">
        <v>149</v>
      </c>
      <c r="F151" s="6">
        <f>'Пр.4 ведом.20'!G518</f>
        <v>0</v>
      </c>
      <c r="H151" s="22"/>
      <c r="J151" s="22"/>
    </row>
    <row r="152" spans="1:10" s="221" customFormat="1" ht="31.5" x14ac:dyDescent="0.25">
      <c r="A152" s="23" t="s">
        <v>993</v>
      </c>
      <c r="B152" s="24" t="s">
        <v>133</v>
      </c>
      <c r="C152" s="24" t="s">
        <v>155</v>
      </c>
      <c r="D152" s="24" t="s">
        <v>911</v>
      </c>
      <c r="E152" s="24"/>
      <c r="F152" s="4">
        <f>F153+F158</f>
        <v>6757.1</v>
      </c>
      <c r="H152" s="22"/>
      <c r="J152" s="22"/>
    </row>
    <row r="153" spans="1:10" s="221" customFormat="1" ht="31.5" x14ac:dyDescent="0.25">
      <c r="A153" s="25" t="s">
        <v>999</v>
      </c>
      <c r="B153" s="20" t="s">
        <v>133</v>
      </c>
      <c r="C153" s="20" t="s">
        <v>155</v>
      </c>
      <c r="D153" s="20" t="s">
        <v>912</v>
      </c>
      <c r="E153" s="20"/>
      <c r="F153" s="6">
        <f>F154+F156</f>
        <v>6631.1</v>
      </c>
      <c r="H153" s="22"/>
      <c r="J153" s="22"/>
    </row>
    <row r="154" spans="1:10" s="221" customFormat="1" ht="78.75" x14ac:dyDescent="0.25">
      <c r="A154" s="25" t="s">
        <v>142</v>
      </c>
      <c r="B154" s="20" t="s">
        <v>133</v>
      </c>
      <c r="C154" s="20" t="s">
        <v>155</v>
      </c>
      <c r="D154" s="20" t="s">
        <v>912</v>
      </c>
      <c r="E154" s="20" t="s">
        <v>143</v>
      </c>
      <c r="F154" s="6">
        <f>F155</f>
        <v>5420.1</v>
      </c>
      <c r="H154" s="22"/>
      <c r="J154" s="22"/>
    </row>
    <row r="155" spans="1:10" s="221" customFormat="1" ht="15.75" x14ac:dyDescent="0.25">
      <c r="A155" s="25" t="s">
        <v>223</v>
      </c>
      <c r="B155" s="20" t="s">
        <v>133</v>
      </c>
      <c r="C155" s="20" t="s">
        <v>155</v>
      </c>
      <c r="D155" s="20" t="s">
        <v>912</v>
      </c>
      <c r="E155" s="20" t="s">
        <v>224</v>
      </c>
      <c r="F155" s="6">
        <f>'Пр.4 ведом.20'!G108</f>
        <v>5420.1</v>
      </c>
      <c r="H155" s="22"/>
      <c r="J155" s="22"/>
    </row>
    <row r="156" spans="1:10" s="221" customFormat="1" ht="31.5" x14ac:dyDescent="0.25">
      <c r="A156" s="25" t="s">
        <v>213</v>
      </c>
      <c r="B156" s="20" t="s">
        <v>133</v>
      </c>
      <c r="C156" s="20" t="s">
        <v>155</v>
      </c>
      <c r="D156" s="20" t="s">
        <v>912</v>
      </c>
      <c r="E156" s="20" t="s">
        <v>147</v>
      </c>
      <c r="F156" s="6">
        <f>F157</f>
        <v>1211</v>
      </c>
      <c r="H156" s="22"/>
      <c r="J156" s="22"/>
    </row>
    <row r="157" spans="1:10" s="221" customFormat="1" ht="31.5" x14ac:dyDescent="0.25">
      <c r="A157" s="25" t="s">
        <v>148</v>
      </c>
      <c r="B157" s="20" t="s">
        <v>133</v>
      </c>
      <c r="C157" s="20" t="s">
        <v>155</v>
      </c>
      <c r="D157" s="20" t="s">
        <v>912</v>
      </c>
      <c r="E157" s="20" t="s">
        <v>149</v>
      </c>
      <c r="F157" s="6">
        <f>'Пр.4 ведом.20'!G110</f>
        <v>1211</v>
      </c>
      <c r="H157" s="22"/>
      <c r="J157" s="22"/>
    </row>
    <row r="158" spans="1:10" s="221" customFormat="1" ht="47.25" x14ac:dyDescent="0.25">
      <c r="A158" s="25" t="s">
        <v>883</v>
      </c>
      <c r="B158" s="20" t="s">
        <v>133</v>
      </c>
      <c r="C158" s="20" t="s">
        <v>155</v>
      </c>
      <c r="D158" s="20" t="s">
        <v>913</v>
      </c>
      <c r="E158" s="20"/>
      <c r="F158" s="6">
        <f>F159</f>
        <v>126</v>
      </c>
      <c r="H158" s="22"/>
      <c r="J158" s="22"/>
    </row>
    <row r="159" spans="1:10" s="221" customFormat="1" ht="78.75" x14ac:dyDescent="0.25">
      <c r="A159" s="25" t="s">
        <v>142</v>
      </c>
      <c r="B159" s="20" t="s">
        <v>133</v>
      </c>
      <c r="C159" s="20" t="s">
        <v>155</v>
      </c>
      <c r="D159" s="20" t="s">
        <v>913</v>
      </c>
      <c r="E159" s="20" t="s">
        <v>143</v>
      </c>
      <c r="F159" s="6">
        <f>F160</f>
        <v>126</v>
      </c>
      <c r="H159" s="22"/>
      <c r="J159" s="22"/>
    </row>
    <row r="160" spans="1:10" s="221" customFormat="1" ht="31.5" x14ac:dyDescent="0.25">
      <c r="A160" s="25" t="s">
        <v>144</v>
      </c>
      <c r="B160" s="20" t="s">
        <v>133</v>
      </c>
      <c r="C160" s="20" t="s">
        <v>155</v>
      </c>
      <c r="D160" s="20" t="s">
        <v>913</v>
      </c>
      <c r="E160" s="20" t="s">
        <v>145</v>
      </c>
      <c r="F160" s="6">
        <f>'Пр.4 ведом.20'!G113</f>
        <v>126</v>
      </c>
      <c r="H160" s="22"/>
      <c r="J160" s="22"/>
    </row>
    <row r="161" spans="1:10" ht="47.25" x14ac:dyDescent="0.25">
      <c r="A161" s="23" t="s">
        <v>358</v>
      </c>
      <c r="B161" s="7" t="s">
        <v>133</v>
      </c>
      <c r="C161" s="7" t="s">
        <v>155</v>
      </c>
      <c r="D161" s="7" t="s">
        <v>359</v>
      </c>
      <c r="E161" s="7"/>
      <c r="F161" s="4">
        <f>F162</f>
        <v>188.7</v>
      </c>
      <c r="G161" s="22"/>
    </row>
    <row r="162" spans="1:10" ht="94.5" x14ac:dyDescent="0.25">
      <c r="A162" s="41" t="s">
        <v>395</v>
      </c>
      <c r="B162" s="7" t="s">
        <v>133</v>
      </c>
      <c r="C162" s="7" t="s">
        <v>155</v>
      </c>
      <c r="D162" s="7" t="s">
        <v>396</v>
      </c>
      <c r="E162" s="7"/>
      <c r="F162" s="4">
        <f>F163</f>
        <v>188.7</v>
      </c>
      <c r="G162" s="22"/>
    </row>
    <row r="163" spans="1:10" s="221" customFormat="1" ht="63" x14ac:dyDescent="0.25">
      <c r="A163" s="284" t="s">
        <v>1219</v>
      </c>
      <c r="B163" s="7" t="s">
        <v>133</v>
      </c>
      <c r="C163" s="7" t="s">
        <v>155</v>
      </c>
      <c r="D163" s="7" t="s">
        <v>931</v>
      </c>
      <c r="E163" s="7"/>
      <c r="F163" s="4">
        <f>F164+F167</f>
        <v>188.7</v>
      </c>
      <c r="G163" s="22"/>
    </row>
    <row r="164" spans="1:10" ht="31.5" x14ac:dyDescent="0.25">
      <c r="A164" s="99" t="s">
        <v>1220</v>
      </c>
      <c r="B164" s="40" t="s">
        <v>133</v>
      </c>
      <c r="C164" s="40" t="s">
        <v>155</v>
      </c>
      <c r="D164" s="40" t="s">
        <v>932</v>
      </c>
      <c r="E164" s="40"/>
      <c r="F164" s="6">
        <f t="shared" ref="F164:F165" si="26">F165</f>
        <v>188.7</v>
      </c>
    </row>
    <row r="165" spans="1:10" ht="31.5" x14ac:dyDescent="0.25">
      <c r="A165" s="29" t="s">
        <v>146</v>
      </c>
      <c r="B165" s="40" t="s">
        <v>133</v>
      </c>
      <c r="C165" s="40" t="s">
        <v>155</v>
      </c>
      <c r="D165" s="40" t="s">
        <v>932</v>
      </c>
      <c r="E165" s="40" t="s">
        <v>147</v>
      </c>
      <c r="F165" s="6">
        <f t="shared" si="26"/>
        <v>188.7</v>
      </c>
    </row>
    <row r="166" spans="1:10" ht="31.5" x14ac:dyDescent="0.25">
      <c r="A166" s="29" t="s">
        <v>148</v>
      </c>
      <c r="B166" s="40" t="s">
        <v>133</v>
      </c>
      <c r="C166" s="40" t="s">
        <v>155</v>
      </c>
      <c r="D166" s="40" t="s">
        <v>932</v>
      </c>
      <c r="E166" s="40" t="s">
        <v>149</v>
      </c>
      <c r="F166" s="6">
        <f>'Пр.4 ведом.20'!G218</f>
        <v>188.7</v>
      </c>
    </row>
    <row r="167" spans="1:10" ht="47.25" hidden="1" x14ac:dyDescent="0.25">
      <c r="A167" s="35" t="s">
        <v>934</v>
      </c>
      <c r="B167" s="20" t="s">
        <v>133</v>
      </c>
      <c r="C167" s="20" t="s">
        <v>155</v>
      </c>
      <c r="D167" s="20" t="s">
        <v>933</v>
      </c>
      <c r="E167" s="24"/>
      <c r="F167" s="6">
        <f>F168</f>
        <v>0</v>
      </c>
    </row>
    <row r="168" spans="1:10" ht="31.5" hidden="1" x14ac:dyDescent="0.25">
      <c r="A168" s="25" t="s">
        <v>146</v>
      </c>
      <c r="B168" s="20" t="s">
        <v>133</v>
      </c>
      <c r="C168" s="20" t="s">
        <v>155</v>
      </c>
      <c r="D168" s="20" t="s">
        <v>933</v>
      </c>
      <c r="E168" s="20" t="s">
        <v>147</v>
      </c>
      <c r="F168" s="6">
        <f>F169</f>
        <v>0</v>
      </c>
      <c r="J168" s="22"/>
    </row>
    <row r="169" spans="1:10" ht="31.5" hidden="1" x14ac:dyDescent="0.25">
      <c r="A169" s="25" t="s">
        <v>148</v>
      </c>
      <c r="B169" s="20" t="s">
        <v>133</v>
      </c>
      <c r="C169" s="20" t="s">
        <v>155</v>
      </c>
      <c r="D169" s="20" t="s">
        <v>933</v>
      </c>
      <c r="E169" s="20" t="s">
        <v>149</v>
      </c>
      <c r="F169" s="6">
        <f>'Пр.4 ведом.20'!G221</f>
        <v>0</v>
      </c>
    </row>
    <row r="170" spans="1:10" ht="47.25" x14ac:dyDescent="0.25">
      <c r="A170" s="23" t="s">
        <v>349</v>
      </c>
      <c r="B170" s="24" t="s">
        <v>133</v>
      </c>
      <c r="C170" s="24" t="s">
        <v>155</v>
      </c>
      <c r="D170" s="24" t="s">
        <v>350</v>
      </c>
      <c r="E170" s="24"/>
      <c r="F170" s="59">
        <f>F171</f>
        <v>175</v>
      </c>
    </row>
    <row r="171" spans="1:10" ht="31.5" x14ac:dyDescent="0.25">
      <c r="A171" s="23" t="s">
        <v>1225</v>
      </c>
      <c r="B171" s="24" t="s">
        <v>133</v>
      </c>
      <c r="C171" s="24" t="s">
        <v>155</v>
      </c>
      <c r="D171" s="24" t="s">
        <v>1226</v>
      </c>
      <c r="E171" s="24"/>
      <c r="F171" s="59">
        <f>F172+F178+F181+F184+F190+F175+F187</f>
        <v>175</v>
      </c>
    </row>
    <row r="172" spans="1:10" ht="31.5" x14ac:dyDescent="0.25">
      <c r="A172" s="98" t="s">
        <v>351</v>
      </c>
      <c r="B172" s="20" t="s">
        <v>133</v>
      </c>
      <c r="C172" s="20" t="s">
        <v>155</v>
      </c>
      <c r="D172" s="20" t="s">
        <v>1227</v>
      </c>
      <c r="E172" s="20"/>
      <c r="F172" s="10">
        <f t="shared" ref="F172" si="27">F173</f>
        <v>120</v>
      </c>
    </row>
    <row r="173" spans="1:10" ht="31.5" x14ac:dyDescent="0.25">
      <c r="A173" s="25" t="s">
        <v>146</v>
      </c>
      <c r="B173" s="20" t="s">
        <v>133</v>
      </c>
      <c r="C173" s="20" t="s">
        <v>155</v>
      </c>
      <c r="D173" s="20" t="s">
        <v>1227</v>
      </c>
      <c r="E173" s="20" t="s">
        <v>147</v>
      </c>
      <c r="F173" s="10">
        <f>F174</f>
        <v>120</v>
      </c>
    </row>
    <row r="174" spans="1:10" ht="31.5" x14ac:dyDescent="0.25">
      <c r="A174" s="25" t="s">
        <v>148</v>
      </c>
      <c r="B174" s="20" t="s">
        <v>133</v>
      </c>
      <c r="C174" s="20" t="s">
        <v>155</v>
      </c>
      <c r="D174" s="20" t="s">
        <v>1227</v>
      </c>
      <c r="E174" s="20" t="s">
        <v>149</v>
      </c>
      <c r="F174" s="10">
        <f>'Пр.4 ведом.20'!G547+'Пр.4 ведом.20'!G226+'Пр.4 ведом.20'!G789</f>
        <v>120</v>
      </c>
    </row>
    <row r="175" spans="1:10" s="221" customFormat="1" ht="47.25" x14ac:dyDescent="0.25">
      <c r="A175" s="98" t="s">
        <v>831</v>
      </c>
      <c r="B175" s="20" t="s">
        <v>133</v>
      </c>
      <c r="C175" s="20" t="s">
        <v>155</v>
      </c>
      <c r="D175" s="20" t="s">
        <v>1232</v>
      </c>
      <c r="E175" s="20"/>
      <c r="F175" s="10">
        <f>F176</f>
        <v>0</v>
      </c>
    </row>
    <row r="176" spans="1:10" s="221" customFormat="1" ht="31.5" x14ac:dyDescent="0.25">
      <c r="A176" s="25" t="s">
        <v>146</v>
      </c>
      <c r="B176" s="20" t="s">
        <v>133</v>
      </c>
      <c r="C176" s="20" t="s">
        <v>155</v>
      </c>
      <c r="D176" s="20" t="s">
        <v>1232</v>
      </c>
      <c r="E176" s="20" t="s">
        <v>147</v>
      </c>
      <c r="F176" s="10">
        <f>F177</f>
        <v>0</v>
      </c>
    </row>
    <row r="177" spans="1:6" s="221" customFormat="1" ht="37.5" customHeight="1" x14ac:dyDescent="0.25">
      <c r="A177" s="25" t="s">
        <v>148</v>
      </c>
      <c r="B177" s="20" t="s">
        <v>133</v>
      </c>
      <c r="C177" s="20" t="s">
        <v>155</v>
      </c>
      <c r="D177" s="20" t="s">
        <v>1232</v>
      </c>
      <c r="E177" s="20" t="s">
        <v>149</v>
      </c>
      <c r="F177" s="10">
        <v>0</v>
      </c>
    </row>
    <row r="178" spans="1:6" ht="31.5" x14ac:dyDescent="0.25">
      <c r="A178" s="25" t="s">
        <v>353</v>
      </c>
      <c r="B178" s="20" t="s">
        <v>133</v>
      </c>
      <c r="C178" s="20" t="s">
        <v>155</v>
      </c>
      <c r="D178" s="20" t="s">
        <v>1228</v>
      </c>
      <c r="E178" s="20"/>
      <c r="F178" s="10">
        <f>F179</f>
        <v>25</v>
      </c>
    </row>
    <row r="179" spans="1:6" ht="31.5" x14ac:dyDescent="0.25">
      <c r="A179" s="25" t="s">
        <v>146</v>
      </c>
      <c r="B179" s="20" t="s">
        <v>133</v>
      </c>
      <c r="C179" s="20" t="s">
        <v>155</v>
      </c>
      <c r="D179" s="20" t="s">
        <v>1228</v>
      </c>
      <c r="E179" s="20" t="s">
        <v>147</v>
      </c>
      <c r="F179" s="10">
        <f>F180</f>
        <v>25</v>
      </c>
    </row>
    <row r="180" spans="1:6" ht="39.200000000000003" customHeight="1" x14ac:dyDescent="0.25">
      <c r="A180" s="25" t="s">
        <v>148</v>
      </c>
      <c r="B180" s="20" t="s">
        <v>133</v>
      </c>
      <c r="C180" s="20" t="s">
        <v>155</v>
      </c>
      <c r="D180" s="20" t="s">
        <v>1228</v>
      </c>
      <c r="E180" s="20" t="s">
        <v>149</v>
      </c>
      <c r="F180" s="10">
        <f>'Пр.4 ведом.20'!G229</f>
        <v>25</v>
      </c>
    </row>
    <row r="181" spans="1:6" ht="47.25" x14ac:dyDescent="0.25">
      <c r="A181" s="31" t="s">
        <v>792</v>
      </c>
      <c r="B181" s="20" t="s">
        <v>133</v>
      </c>
      <c r="C181" s="20" t="s">
        <v>155</v>
      </c>
      <c r="D181" s="20" t="s">
        <v>1229</v>
      </c>
      <c r="E181" s="20"/>
      <c r="F181" s="10">
        <f t="shared" ref="F181" si="28">F182</f>
        <v>10</v>
      </c>
    </row>
    <row r="182" spans="1:6" ht="31.5" x14ac:dyDescent="0.25">
      <c r="A182" s="25" t="s">
        <v>146</v>
      </c>
      <c r="B182" s="20" t="s">
        <v>133</v>
      </c>
      <c r="C182" s="20" t="s">
        <v>155</v>
      </c>
      <c r="D182" s="20" t="s">
        <v>1229</v>
      </c>
      <c r="E182" s="20" t="s">
        <v>147</v>
      </c>
      <c r="F182" s="10">
        <f>F183</f>
        <v>10</v>
      </c>
    </row>
    <row r="183" spans="1:6" ht="31.5" x14ac:dyDescent="0.25">
      <c r="A183" s="25" t="s">
        <v>148</v>
      </c>
      <c r="B183" s="20" t="s">
        <v>133</v>
      </c>
      <c r="C183" s="20" t="s">
        <v>155</v>
      </c>
      <c r="D183" s="20" t="s">
        <v>1229</v>
      </c>
      <c r="E183" s="20" t="s">
        <v>149</v>
      </c>
      <c r="F183" s="10">
        <f>'Пр.4 ведом.20'!G232</f>
        <v>10</v>
      </c>
    </row>
    <row r="184" spans="1:6" ht="15.75" hidden="1" x14ac:dyDescent="0.25">
      <c r="A184" s="25" t="s">
        <v>1142</v>
      </c>
      <c r="B184" s="20" t="s">
        <v>133</v>
      </c>
      <c r="C184" s="20" t="s">
        <v>155</v>
      </c>
      <c r="D184" s="20" t="s">
        <v>1230</v>
      </c>
      <c r="E184" s="20"/>
      <c r="F184" s="10">
        <f t="shared" ref="F184" si="29">F185</f>
        <v>0</v>
      </c>
    </row>
    <row r="185" spans="1:6" ht="31.5" hidden="1" x14ac:dyDescent="0.25">
      <c r="A185" s="25" t="s">
        <v>146</v>
      </c>
      <c r="B185" s="20" t="s">
        <v>133</v>
      </c>
      <c r="C185" s="20" t="s">
        <v>155</v>
      </c>
      <c r="D185" s="20" t="s">
        <v>1230</v>
      </c>
      <c r="E185" s="20" t="s">
        <v>147</v>
      </c>
      <c r="F185" s="10">
        <f>F186</f>
        <v>0</v>
      </c>
    </row>
    <row r="186" spans="1:6" ht="31.5" hidden="1" x14ac:dyDescent="0.25">
      <c r="A186" s="25" t="s">
        <v>148</v>
      </c>
      <c r="B186" s="20" t="s">
        <v>133</v>
      </c>
      <c r="C186" s="20" t="s">
        <v>155</v>
      </c>
      <c r="D186" s="20" t="s">
        <v>1230</v>
      </c>
      <c r="E186" s="20" t="s">
        <v>149</v>
      </c>
      <c r="F186" s="10">
        <f>'Пр.4 ведом.20'!G235</f>
        <v>0</v>
      </c>
    </row>
    <row r="187" spans="1:6" s="221" customFormat="1" ht="21.75" hidden="1" customHeight="1" x14ac:dyDescent="0.25">
      <c r="A187" s="31" t="s">
        <v>1259</v>
      </c>
      <c r="B187" s="20" t="s">
        <v>133</v>
      </c>
      <c r="C187" s="20" t="s">
        <v>155</v>
      </c>
      <c r="D187" s="20" t="s">
        <v>1260</v>
      </c>
      <c r="E187" s="20"/>
      <c r="F187" s="10">
        <f>F188</f>
        <v>0</v>
      </c>
    </row>
    <row r="188" spans="1:6" s="221" customFormat="1" ht="31.5" hidden="1" x14ac:dyDescent="0.25">
      <c r="A188" s="25" t="s">
        <v>146</v>
      </c>
      <c r="B188" s="20" t="s">
        <v>133</v>
      </c>
      <c r="C188" s="20" t="s">
        <v>155</v>
      </c>
      <c r="D188" s="20" t="s">
        <v>1260</v>
      </c>
      <c r="E188" s="20" t="s">
        <v>147</v>
      </c>
      <c r="F188" s="10">
        <f>F189</f>
        <v>0</v>
      </c>
    </row>
    <row r="189" spans="1:6" s="221" customFormat="1" ht="31.5" hidden="1" x14ac:dyDescent="0.25">
      <c r="A189" s="25" t="s">
        <v>148</v>
      </c>
      <c r="B189" s="20" t="s">
        <v>133</v>
      </c>
      <c r="C189" s="20" t="s">
        <v>155</v>
      </c>
      <c r="D189" s="20" t="s">
        <v>1260</v>
      </c>
      <c r="E189" s="20" t="s">
        <v>149</v>
      </c>
      <c r="F189" s="10">
        <v>0</v>
      </c>
    </row>
    <row r="190" spans="1:6" ht="31.5" x14ac:dyDescent="0.25">
      <c r="A190" s="31" t="s">
        <v>793</v>
      </c>
      <c r="B190" s="20" t="s">
        <v>133</v>
      </c>
      <c r="C190" s="20" t="s">
        <v>155</v>
      </c>
      <c r="D190" s="20" t="s">
        <v>1231</v>
      </c>
      <c r="E190" s="20"/>
      <c r="F190" s="10">
        <f>F191</f>
        <v>20</v>
      </c>
    </row>
    <row r="191" spans="1:6" ht="31.5" x14ac:dyDescent="0.25">
      <c r="A191" s="25" t="s">
        <v>146</v>
      </c>
      <c r="B191" s="20" t="s">
        <v>133</v>
      </c>
      <c r="C191" s="20" t="s">
        <v>155</v>
      </c>
      <c r="D191" s="20" t="s">
        <v>1231</v>
      </c>
      <c r="E191" s="20" t="s">
        <v>147</v>
      </c>
      <c r="F191" s="10">
        <f>F192</f>
        <v>20</v>
      </c>
    </row>
    <row r="192" spans="1:6" ht="31.5" x14ac:dyDescent="0.25">
      <c r="A192" s="25" t="s">
        <v>148</v>
      </c>
      <c r="B192" s="20" t="s">
        <v>133</v>
      </c>
      <c r="C192" s="20" t="s">
        <v>155</v>
      </c>
      <c r="D192" s="20" t="s">
        <v>1231</v>
      </c>
      <c r="E192" s="20" t="s">
        <v>149</v>
      </c>
      <c r="F192" s="10">
        <f>'Пр.4 ведом.20'!G238</f>
        <v>20</v>
      </c>
    </row>
    <row r="193" spans="1:6" ht="63" x14ac:dyDescent="0.25">
      <c r="A193" s="41" t="s">
        <v>728</v>
      </c>
      <c r="B193" s="8" t="s">
        <v>133</v>
      </c>
      <c r="C193" s="8" t="s">
        <v>155</v>
      </c>
      <c r="D193" s="24" t="s">
        <v>726</v>
      </c>
      <c r="E193" s="250"/>
      <c r="F193" s="59">
        <f>F194+F198</f>
        <v>48</v>
      </c>
    </row>
    <row r="194" spans="1:6" s="221" customFormat="1" ht="47.25" x14ac:dyDescent="0.25">
      <c r="A194" s="238" t="s">
        <v>890</v>
      </c>
      <c r="B194" s="24" t="s">
        <v>133</v>
      </c>
      <c r="C194" s="24" t="s">
        <v>155</v>
      </c>
      <c r="D194" s="24" t="s">
        <v>896</v>
      </c>
      <c r="E194" s="24"/>
      <c r="F194" s="59">
        <f>F195</f>
        <v>33</v>
      </c>
    </row>
    <row r="195" spans="1:6" ht="39.75" customHeight="1" x14ac:dyDescent="0.25">
      <c r="A195" s="99" t="s">
        <v>797</v>
      </c>
      <c r="B195" s="20" t="s">
        <v>133</v>
      </c>
      <c r="C195" s="20" t="s">
        <v>155</v>
      </c>
      <c r="D195" s="20" t="s">
        <v>891</v>
      </c>
      <c r="E195" s="20"/>
      <c r="F195" s="10">
        <f t="shared" ref="F195:F196" si="30">F196</f>
        <v>33</v>
      </c>
    </row>
    <row r="196" spans="1:6" ht="31.5" x14ac:dyDescent="0.25">
      <c r="A196" s="25" t="s">
        <v>146</v>
      </c>
      <c r="B196" s="20" t="s">
        <v>133</v>
      </c>
      <c r="C196" s="20" t="s">
        <v>155</v>
      </c>
      <c r="D196" s="20" t="s">
        <v>891</v>
      </c>
      <c r="E196" s="20" t="s">
        <v>147</v>
      </c>
      <c r="F196" s="10">
        <f t="shared" si="30"/>
        <v>33</v>
      </c>
    </row>
    <row r="197" spans="1:6" ht="31.5" x14ac:dyDescent="0.25">
      <c r="A197" s="25" t="s">
        <v>148</v>
      </c>
      <c r="B197" s="20" t="s">
        <v>133</v>
      </c>
      <c r="C197" s="20" t="s">
        <v>155</v>
      </c>
      <c r="D197" s="20" t="s">
        <v>891</v>
      </c>
      <c r="E197" s="20" t="s">
        <v>149</v>
      </c>
      <c r="F197" s="10">
        <f>'Пр.4 ведом.20'!G243+'Пр.4 ведом.20'!G118</f>
        <v>33</v>
      </c>
    </row>
    <row r="198" spans="1:6" s="221" customFormat="1" ht="31.5" x14ac:dyDescent="0.25">
      <c r="A198" s="239" t="s">
        <v>1186</v>
      </c>
      <c r="B198" s="24" t="s">
        <v>133</v>
      </c>
      <c r="C198" s="24" t="s">
        <v>155</v>
      </c>
      <c r="D198" s="24" t="s">
        <v>897</v>
      </c>
      <c r="E198" s="250"/>
      <c r="F198" s="59">
        <f>F199</f>
        <v>15</v>
      </c>
    </row>
    <row r="199" spans="1:6" ht="33" customHeight="1" x14ac:dyDescent="0.25">
      <c r="A199" s="99" t="s">
        <v>798</v>
      </c>
      <c r="B199" s="20" t="s">
        <v>133</v>
      </c>
      <c r="C199" s="20" t="s">
        <v>155</v>
      </c>
      <c r="D199" s="20" t="s">
        <v>892</v>
      </c>
      <c r="E199" s="32"/>
      <c r="F199" s="10">
        <f t="shared" ref="F199:F200" si="31">F200</f>
        <v>15</v>
      </c>
    </row>
    <row r="200" spans="1:6" ht="31.7" customHeight="1" x14ac:dyDescent="0.25">
      <c r="A200" s="25" t="s">
        <v>146</v>
      </c>
      <c r="B200" s="20" t="s">
        <v>133</v>
      </c>
      <c r="C200" s="20" t="s">
        <v>155</v>
      </c>
      <c r="D200" s="20" t="s">
        <v>892</v>
      </c>
      <c r="E200" s="32" t="s">
        <v>147</v>
      </c>
      <c r="F200" s="10">
        <f t="shared" si="31"/>
        <v>15</v>
      </c>
    </row>
    <row r="201" spans="1:6" ht="40.700000000000003" customHeight="1" x14ac:dyDescent="0.25">
      <c r="A201" s="25" t="s">
        <v>148</v>
      </c>
      <c r="B201" s="20" t="s">
        <v>133</v>
      </c>
      <c r="C201" s="20" t="s">
        <v>155</v>
      </c>
      <c r="D201" s="20" t="s">
        <v>892</v>
      </c>
      <c r="E201" s="32" t="s">
        <v>149</v>
      </c>
      <c r="F201" s="10">
        <f>'Пр.4 ведом.20'!G122</f>
        <v>15</v>
      </c>
    </row>
    <row r="202" spans="1:6" ht="63" x14ac:dyDescent="0.25">
      <c r="A202" s="244" t="s">
        <v>802</v>
      </c>
      <c r="B202" s="24" t="s">
        <v>133</v>
      </c>
      <c r="C202" s="24" t="s">
        <v>155</v>
      </c>
      <c r="D202" s="24" t="s">
        <v>804</v>
      </c>
      <c r="E202" s="250"/>
      <c r="F202" s="59">
        <f>F204</f>
        <v>239.82</v>
      </c>
    </row>
    <row r="203" spans="1:6" s="221" customFormat="1" ht="31.5" x14ac:dyDescent="0.25">
      <c r="A203" s="23" t="s">
        <v>1001</v>
      </c>
      <c r="B203" s="24" t="s">
        <v>133</v>
      </c>
      <c r="C203" s="24" t="s">
        <v>155</v>
      </c>
      <c r="D203" s="24" t="s">
        <v>1180</v>
      </c>
      <c r="E203" s="250"/>
      <c r="F203" s="59">
        <f>F204</f>
        <v>239.82</v>
      </c>
    </row>
    <row r="204" spans="1:6" ht="31.5" x14ac:dyDescent="0.25">
      <c r="A204" s="193" t="s">
        <v>814</v>
      </c>
      <c r="B204" s="20" t="s">
        <v>133</v>
      </c>
      <c r="C204" s="20" t="s">
        <v>155</v>
      </c>
      <c r="D204" s="20" t="s">
        <v>1181</v>
      </c>
      <c r="E204" s="32"/>
      <c r="F204" s="10">
        <f>F205</f>
        <v>239.82</v>
      </c>
    </row>
    <row r="205" spans="1:6" ht="31.5" x14ac:dyDescent="0.25">
      <c r="A205" s="193" t="s">
        <v>146</v>
      </c>
      <c r="B205" s="20" t="s">
        <v>133</v>
      </c>
      <c r="C205" s="20" t="s">
        <v>155</v>
      </c>
      <c r="D205" s="20" t="s">
        <v>1181</v>
      </c>
      <c r="E205" s="32" t="s">
        <v>147</v>
      </c>
      <c r="F205" s="10">
        <f>F206</f>
        <v>239.82</v>
      </c>
    </row>
    <row r="206" spans="1:6" ht="31.5" x14ac:dyDescent="0.25">
      <c r="A206" s="193" t="s">
        <v>148</v>
      </c>
      <c r="B206" s="20" t="s">
        <v>133</v>
      </c>
      <c r="C206" s="20" t="s">
        <v>155</v>
      </c>
      <c r="D206" s="20" t="s">
        <v>1181</v>
      </c>
      <c r="E206" s="32" t="s">
        <v>149</v>
      </c>
      <c r="F206" s="10">
        <f>'Пр.4 ведом.20'!G523</f>
        <v>239.82</v>
      </c>
    </row>
    <row r="207" spans="1:6" ht="78.75" x14ac:dyDescent="0.25">
      <c r="A207" s="41" t="s">
        <v>861</v>
      </c>
      <c r="B207" s="8" t="s">
        <v>133</v>
      </c>
      <c r="C207" s="8" t="s">
        <v>155</v>
      </c>
      <c r="D207" s="275" t="s">
        <v>859</v>
      </c>
      <c r="E207" s="8"/>
      <c r="F207" s="59">
        <f>F208</f>
        <v>30</v>
      </c>
    </row>
    <row r="208" spans="1:6" s="221" customFormat="1" ht="47.25" x14ac:dyDescent="0.25">
      <c r="A208" s="240" t="s">
        <v>898</v>
      </c>
      <c r="B208" s="8" t="s">
        <v>133</v>
      </c>
      <c r="C208" s="8" t="s">
        <v>155</v>
      </c>
      <c r="D208" s="210" t="s">
        <v>1262</v>
      </c>
      <c r="E208" s="8"/>
      <c r="F208" s="59">
        <f>F209</f>
        <v>30</v>
      </c>
    </row>
    <row r="209" spans="1:7" ht="31.5" x14ac:dyDescent="0.25">
      <c r="A209" s="98" t="s">
        <v>186</v>
      </c>
      <c r="B209" s="9" t="s">
        <v>133</v>
      </c>
      <c r="C209" s="9" t="s">
        <v>155</v>
      </c>
      <c r="D209" s="5" t="s">
        <v>899</v>
      </c>
      <c r="E209" s="9"/>
      <c r="F209" s="10">
        <f>F210</f>
        <v>30</v>
      </c>
    </row>
    <row r="210" spans="1:7" ht="31.5" x14ac:dyDescent="0.25">
      <c r="A210" s="25" t="s">
        <v>146</v>
      </c>
      <c r="B210" s="9" t="s">
        <v>133</v>
      </c>
      <c r="C210" s="9" t="s">
        <v>155</v>
      </c>
      <c r="D210" s="5" t="s">
        <v>899</v>
      </c>
      <c r="E210" s="9" t="s">
        <v>147</v>
      </c>
      <c r="F210" s="10">
        <f>F211</f>
        <v>30</v>
      </c>
    </row>
    <row r="211" spans="1:7" ht="31.5" x14ac:dyDescent="0.25">
      <c r="A211" s="25" t="s">
        <v>148</v>
      </c>
      <c r="B211" s="9" t="s">
        <v>133</v>
      </c>
      <c r="C211" s="9" t="s">
        <v>155</v>
      </c>
      <c r="D211" s="5" t="s">
        <v>899</v>
      </c>
      <c r="E211" s="9" t="s">
        <v>149</v>
      </c>
      <c r="F211" s="10">
        <f>'Пр.4 ведом.20'!G127</f>
        <v>30</v>
      </c>
    </row>
    <row r="212" spans="1:7" ht="63" x14ac:dyDescent="0.25">
      <c r="A212" s="41" t="s">
        <v>1184</v>
      </c>
      <c r="B212" s="8" t="s">
        <v>133</v>
      </c>
      <c r="C212" s="8" t="s">
        <v>155</v>
      </c>
      <c r="D212" s="210" t="s">
        <v>860</v>
      </c>
      <c r="E212" s="8"/>
      <c r="F212" s="4">
        <f>F213</f>
        <v>80</v>
      </c>
    </row>
    <row r="213" spans="1:7" ht="31.5" x14ac:dyDescent="0.25">
      <c r="A213" s="58" t="s">
        <v>900</v>
      </c>
      <c r="B213" s="8" t="s">
        <v>133</v>
      </c>
      <c r="C213" s="8" t="s">
        <v>155</v>
      </c>
      <c r="D213" s="210" t="s">
        <v>908</v>
      </c>
      <c r="E213" s="8"/>
      <c r="F213" s="4">
        <f t="shared" ref="F213:F214" si="32">F214</f>
        <v>80</v>
      </c>
    </row>
    <row r="214" spans="1:7" ht="15.75" x14ac:dyDescent="0.25">
      <c r="A214" s="45" t="s">
        <v>865</v>
      </c>
      <c r="B214" s="9" t="s">
        <v>133</v>
      </c>
      <c r="C214" s="9" t="s">
        <v>155</v>
      </c>
      <c r="D214" s="5" t="s">
        <v>901</v>
      </c>
      <c r="E214" s="9"/>
      <c r="F214" s="338">
        <f t="shared" si="32"/>
        <v>80</v>
      </c>
    </row>
    <row r="215" spans="1:7" ht="48.2" customHeight="1" x14ac:dyDescent="0.25">
      <c r="A215" s="25" t="s">
        <v>146</v>
      </c>
      <c r="B215" s="9" t="s">
        <v>133</v>
      </c>
      <c r="C215" s="9" t="s">
        <v>155</v>
      </c>
      <c r="D215" s="5" t="s">
        <v>901</v>
      </c>
      <c r="E215" s="9" t="s">
        <v>147</v>
      </c>
      <c r="F215" s="338">
        <f>F216</f>
        <v>80</v>
      </c>
      <c r="G215" s="22"/>
    </row>
    <row r="216" spans="1:7" ht="31.5" x14ac:dyDescent="0.25">
      <c r="A216" s="25" t="s">
        <v>148</v>
      </c>
      <c r="B216" s="9" t="s">
        <v>133</v>
      </c>
      <c r="C216" s="9" t="s">
        <v>155</v>
      </c>
      <c r="D216" s="5" t="s">
        <v>901</v>
      </c>
      <c r="E216" s="9" t="s">
        <v>149</v>
      </c>
      <c r="F216" s="6">
        <f>'Пр.4 ведом.20'!G132</f>
        <v>80</v>
      </c>
    </row>
    <row r="217" spans="1:7" s="221" customFormat="1" ht="15.75" hidden="1" x14ac:dyDescent="0.25">
      <c r="A217" s="23" t="s">
        <v>227</v>
      </c>
      <c r="B217" s="24" t="s">
        <v>228</v>
      </c>
      <c r="C217" s="24"/>
      <c r="D217" s="24"/>
      <c r="E217" s="24"/>
      <c r="F217" s="4">
        <f t="shared" ref="F217:F222" si="33">F218</f>
        <v>0</v>
      </c>
    </row>
    <row r="218" spans="1:7" s="221" customFormat="1" ht="19.5" hidden="1" customHeight="1" x14ac:dyDescent="0.25">
      <c r="A218" s="23" t="s">
        <v>233</v>
      </c>
      <c r="B218" s="24" t="s">
        <v>228</v>
      </c>
      <c r="C218" s="24" t="s">
        <v>234</v>
      </c>
      <c r="D218" s="24"/>
      <c r="E218" s="24"/>
      <c r="F218" s="4">
        <f t="shared" si="33"/>
        <v>0</v>
      </c>
    </row>
    <row r="219" spans="1:7" s="221" customFormat="1" ht="15.75" hidden="1" x14ac:dyDescent="0.25">
      <c r="A219" s="23" t="s">
        <v>156</v>
      </c>
      <c r="B219" s="24" t="s">
        <v>228</v>
      </c>
      <c r="C219" s="24" t="s">
        <v>234</v>
      </c>
      <c r="D219" s="24" t="s">
        <v>910</v>
      </c>
      <c r="E219" s="24"/>
      <c r="F219" s="4">
        <f t="shared" si="33"/>
        <v>0</v>
      </c>
    </row>
    <row r="220" spans="1:7" s="221" customFormat="1" ht="31.5" hidden="1" x14ac:dyDescent="0.25">
      <c r="A220" s="23" t="s">
        <v>914</v>
      </c>
      <c r="B220" s="24" t="s">
        <v>228</v>
      </c>
      <c r="C220" s="24" t="s">
        <v>234</v>
      </c>
      <c r="D220" s="24" t="s">
        <v>909</v>
      </c>
      <c r="E220" s="24"/>
      <c r="F220" s="4">
        <f t="shared" si="33"/>
        <v>0</v>
      </c>
    </row>
    <row r="221" spans="1:7" s="221" customFormat="1" ht="15.75" hidden="1" x14ac:dyDescent="0.25">
      <c r="A221" s="25" t="s">
        <v>235</v>
      </c>
      <c r="B221" s="20" t="s">
        <v>228</v>
      </c>
      <c r="C221" s="20" t="s">
        <v>234</v>
      </c>
      <c r="D221" s="20" t="s">
        <v>915</v>
      </c>
      <c r="E221" s="20"/>
      <c r="F221" s="6">
        <f t="shared" si="33"/>
        <v>0</v>
      </c>
    </row>
    <row r="222" spans="1:7" s="221" customFormat="1" ht="31.5" hidden="1" x14ac:dyDescent="0.25">
      <c r="A222" s="25" t="s">
        <v>213</v>
      </c>
      <c r="B222" s="20" t="s">
        <v>228</v>
      </c>
      <c r="C222" s="20" t="s">
        <v>234</v>
      </c>
      <c r="D222" s="20" t="s">
        <v>915</v>
      </c>
      <c r="E222" s="20" t="s">
        <v>147</v>
      </c>
      <c r="F222" s="6">
        <f t="shared" si="33"/>
        <v>0</v>
      </c>
    </row>
    <row r="223" spans="1:7" s="221" customFormat="1" ht="31.5" hidden="1" x14ac:dyDescent="0.25">
      <c r="A223" s="25" t="s">
        <v>148</v>
      </c>
      <c r="B223" s="20" t="s">
        <v>228</v>
      </c>
      <c r="C223" s="20" t="s">
        <v>234</v>
      </c>
      <c r="D223" s="20" t="s">
        <v>915</v>
      </c>
      <c r="E223" s="20" t="s">
        <v>149</v>
      </c>
      <c r="F223" s="6">
        <f>'Пр.4 ведом.20'!G139</f>
        <v>0</v>
      </c>
    </row>
    <row r="224" spans="1:7" ht="31.5" x14ac:dyDescent="0.25">
      <c r="A224" s="23" t="s">
        <v>237</v>
      </c>
      <c r="B224" s="24" t="s">
        <v>230</v>
      </c>
      <c r="C224" s="24"/>
      <c r="D224" s="24"/>
      <c r="E224" s="24"/>
      <c r="F224" s="4">
        <f t="shared" ref="F224:F225" si="34">F225</f>
        <v>8119.5999999999995</v>
      </c>
    </row>
    <row r="225" spans="1:10" ht="47.25" x14ac:dyDescent="0.25">
      <c r="A225" s="23" t="s">
        <v>238</v>
      </c>
      <c r="B225" s="24" t="s">
        <v>230</v>
      </c>
      <c r="C225" s="24" t="s">
        <v>234</v>
      </c>
      <c r="D225" s="20"/>
      <c r="E225" s="20"/>
      <c r="F225" s="4">
        <f t="shared" si="34"/>
        <v>8119.5999999999995</v>
      </c>
      <c r="G225" s="22"/>
      <c r="H225" s="22"/>
      <c r="I225" s="22"/>
      <c r="J225" s="22"/>
    </row>
    <row r="226" spans="1:10" ht="15.75" x14ac:dyDescent="0.25">
      <c r="A226" s="23" t="s">
        <v>156</v>
      </c>
      <c r="B226" s="24" t="s">
        <v>230</v>
      </c>
      <c r="C226" s="24" t="s">
        <v>234</v>
      </c>
      <c r="D226" s="24" t="s">
        <v>910</v>
      </c>
      <c r="E226" s="24"/>
      <c r="F226" s="4">
        <f>F227+F234</f>
        <v>8119.5999999999995</v>
      </c>
    </row>
    <row r="227" spans="1:10" ht="31.5" x14ac:dyDescent="0.25">
      <c r="A227" s="23" t="s">
        <v>914</v>
      </c>
      <c r="B227" s="24" t="s">
        <v>230</v>
      </c>
      <c r="C227" s="24" t="s">
        <v>234</v>
      </c>
      <c r="D227" s="24" t="s">
        <v>909</v>
      </c>
      <c r="E227" s="24"/>
      <c r="F227" s="4">
        <f>F228+F231</f>
        <v>2089</v>
      </c>
    </row>
    <row r="228" spans="1:10" ht="47.25" x14ac:dyDescent="0.25">
      <c r="A228" s="25" t="s">
        <v>239</v>
      </c>
      <c r="B228" s="20" t="s">
        <v>230</v>
      </c>
      <c r="C228" s="20" t="s">
        <v>234</v>
      </c>
      <c r="D228" s="20" t="s">
        <v>919</v>
      </c>
      <c r="E228" s="20"/>
      <c r="F228" s="6">
        <f t="shared" ref="F228:F229" si="35">F229</f>
        <v>1785</v>
      </c>
    </row>
    <row r="229" spans="1:10" ht="31.5" x14ac:dyDescent="0.25">
      <c r="A229" s="25" t="s">
        <v>213</v>
      </c>
      <c r="B229" s="20" t="s">
        <v>230</v>
      </c>
      <c r="C229" s="20" t="s">
        <v>234</v>
      </c>
      <c r="D229" s="20" t="s">
        <v>919</v>
      </c>
      <c r="E229" s="20" t="s">
        <v>147</v>
      </c>
      <c r="F229" s="6">
        <f t="shared" si="35"/>
        <v>1785</v>
      </c>
    </row>
    <row r="230" spans="1:10" ht="31.5" x14ac:dyDescent="0.25">
      <c r="A230" s="25" t="s">
        <v>148</v>
      </c>
      <c r="B230" s="20" t="s">
        <v>230</v>
      </c>
      <c r="C230" s="20" t="s">
        <v>234</v>
      </c>
      <c r="D230" s="20" t="s">
        <v>919</v>
      </c>
      <c r="E230" s="20" t="s">
        <v>149</v>
      </c>
      <c r="F230" s="341">
        <f>'Пр.4 ведом.20'!G146</f>
        <v>1785</v>
      </c>
    </row>
    <row r="231" spans="1:10" ht="15.75" x14ac:dyDescent="0.25">
      <c r="A231" s="25" t="s">
        <v>245</v>
      </c>
      <c r="B231" s="20" t="s">
        <v>230</v>
      </c>
      <c r="C231" s="20" t="s">
        <v>234</v>
      </c>
      <c r="D231" s="20" t="s">
        <v>920</v>
      </c>
      <c r="E231" s="20"/>
      <c r="F231" s="341">
        <f t="shared" ref="F231:F232" si="36">F232</f>
        <v>304</v>
      </c>
    </row>
    <row r="232" spans="1:10" ht="31.5" x14ac:dyDescent="0.25">
      <c r="A232" s="25" t="s">
        <v>213</v>
      </c>
      <c r="B232" s="20" t="s">
        <v>230</v>
      </c>
      <c r="C232" s="20" t="s">
        <v>234</v>
      </c>
      <c r="D232" s="20" t="s">
        <v>920</v>
      </c>
      <c r="E232" s="20" t="s">
        <v>147</v>
      </c>
      <c r="F232" s="341">
        <f t="shared" si="36"/>
        <v>304</v>
      </c>
    </row>
    <row r="233" spans="1:10" ht="31.5" x14ac:dyDescent="0.25">
      <c r="A233" s="25" t="s">
        <v>148</v>
      </c>
      <c r="B233" s="20" t="s">
        <v>230</v>
      </c>
      <c r="C233" s="20" t="s">
        <v>234</v>
      </c>
      <c r="D233" s="20" t="s">
        <v>920</v>
      </c>
      <c r="E233" s="20" t="s">
        <v>149</v>
      </c>
      <c r="F233" s="341">
        <f>'Пр.4 ведом.20'!G149+'Пр.4 ведом.20'!G898</f>
        <v>304</v>
      </c>
    </row>
    <row r="234" spans="1:10" ht="31.5" x14ac:dyDescent="0.25">
      <c r="A234" s="23" t="s">
        <v>994</v>
      </c>
      <c r="B234" s="24" t="s">
        <v>230</v>
      </c>
      <c r="C234" s="24" t="s">
        <v>234</v>
      </c>
      <c r="D234" s="24" t="s">
        <v>916</v>
      </c>
      <c r="E234" s="24"/>
      <c r="F234" s="4">
        <f>F235+F240</f>
        <v>6030.5999999999995</v>
      </c>
    </row>
    <row r="235" spans="1:10" ht="31.5" x14ac:dyDescent="0.25">
      <c r="A235" s="25" t="s">
        <v>998</v>
      </c>
      <c r="B235" s="20" t="s">
        <v>230</v>
      </c>
      <c r="C235" s="20" t="s">
        <v>234</v>
      </c>
      <c r="D235" s="20" t="s">
        <v>917</v>
      </c>
      <c r="E235" s="20"/>
      <c r="F235" s="338">
        <f>F236+F238</f>
        <v>5778.5999999999995</v>
      </c>
    </row>
    <row r="236" spans="1:10" ht="78.75" x14ac:dyDescent="0.25">
      <c r="A236" s="25" t="s">
        <v>142</v>
      </c>
      <c r="B236" s="20" t="s">
        <v>230</v>
      </c>
      <c r="C236" s="20" t="s">
        <v>234</v>
      </c>
      <c r="D236" s="20" t="s">
        <v>917</v>
      </c>
      <c r="E236" s="20" t="s">
        <v>143</v>
      </c>
      <c r="F236" s="338">
        <f>'Пр.4 ведом.20'!G153</f>
        <v>5615.5999999999995</v>
      </c>
    </row>
    <row r="237" spans="1:10" ht="15.75" x14ac:dyDescent="0.25">
      <c r="A237" s="25" t="s">
        <v>223</v>
      </c>
      <c r="B237" s="20" t="s">
        <v>230</v>
      </c>
      <c r="C237" s="20" t="s">
        <v>234</v>
      </c>
      <c r="D237" s="20" t="s">
        <v>917</v>
      </c>
      <c r="E237" s="20" t="s">
        <v>224</v>
      </c>
      <c r="F237" s="6">
        <f>'Пр.4 ведом.20'!G153</f>
        <v>5615.5999999999995</v>
      </c>
    </row>
    <row r="238" spans="1:10" ht="31.5" x14ac:dyDescent="0.25">
      <c r="A238" s="25" t="s">
        <v>213</v>
      </c>
      <c r="B238" s="20" t="s">
        <v>230</v>
      </c>
      <c r="C238" s="20" t="s">
        <v>234</v>
      </c>
      <c r="D238" s="20" t="s">
        <v>917</v>
      </c>
      <c r="E238" s="20" t="s">
        <v>147</v>
      </c>
      <c r="F238" s="6">
        <f>'Пр.4 ведом.20'!G155</f>
        <v>163</v>
      </c>
    </row>
    <row r="239" spans="1:10" ht="31.5" x14ac:dyDescent="0.25">
      <c r="A239" s="25" t="s">
        <v>148</v>
      </c>
      <c r="B239" s="20" t="s">
        <v>230</v>
      </c>
      <c r="C239" s="20" t="s">
        <v>234</v>
      </c>
      <c r="D239" s="20" t="s">
        <v>917</v>
      </c>
      <c r="E239" s="20" t="s">
        <v>149</v>
      </c>
      <c r="F239" s="6">
        <f>'Пр.4 ведом.20'!G155</f>
        <v>163</v>
      </c>
    </row>
    <row r="240" spans="1:10" ht="47.25" x14ac:dyDescent="0.25">
      <c r="A240" s="25" t="s">
        <v>883</v>
      </c>
      <c r="B240" s="20" t="s">
        <v>230</v>
      </c>
      <c r="C240" s="20" t="s">
        <v>234</v>
      </c>
      <c r="D240" s="20" t="s">
        <v>918</v>
      </c>
      <c r="E240" s="20"/>
      <c r="F240" s="6">
        <f t="shared" ref="F240" si="37">F241</f>
        <v>252</v>
      </c>
    </row>
    <row r="241" spans="1:6" ht="78.75" x14ac:dyDescent="0.25">
      <c r="A241" s="25" t="s">
        <v>142</v>
      </c>
      <c r="B241" s="20" t="s">
        <v>230</v>
      </c>
      <c r="C241" s="20" t="s">
        <v>234</v>
      </c>
      <c r="D241" s="20" t="s">
        <v>918</v>
      </c>
      <c r="E241" s="20" t="s">
        <v>143</v>
      </c>
      <c r="F241" s="6">
        <f>F242</f>
        <v>252</v>
      </c>
    </row>
    <row r="242" spans="1:6" s="221" customFormat="1" ht="31.5" x14ac:dyDescent="0.25">
      <c r="A242" s="25" t="s">
        <v>144</v>
      </c>
      <c r="B242" s="20" t="s">
        <v>230</v>
      </c>
      <c r="C242" s="20" t="s">
        <v>234</v>
      </c>
      <c r="D242" s="20" t="s">
        <v>918</v>
      </c>
      <c r="E242" s="20" t="s">
        <v>145</v>
      </c>
      <c r="F242" s="6">
        <f>'Пр.4 ведом.20'!G158</f>
        <v>252</v>
      </c>
    </row>
    <row r="243" spans="1:6" ht="15.75" x14ac:dyDescent="0.25">
      <c r="A243" s="23" t="s">
        <v>247</v>
      </c>
      <c r="B243" s="24" t="s">
        <v>165</v>
      </c>
      <c r="C243" s="24"/>
      <c r="D243" s="24"/>
      <c r="E243" s="20"/>
      <c r="F243" s="4">
        <f t="shared" ref="F243" si="38">F257+F263+F277+F244</f>
        <v>7918.8</v>
      </c>
    </row>
    <row r="244" spans="1:6" ht="15.75" x14ac:dyDescent="0.25">
      <c r="A244" s="23" t="s">
        <v>248</v>
      </c>
      <c r="B244" s="24" t="s">
        <v>165</v>
      </c>
      <c r="C244" s="24" t="s">
        <v>249</v>
      </c>
      <c r="D244" s="24"/>
      <c r="E244" s="20"/>
      <c r="F244" s="4">
        <f>F245</f>
        <v>306</v>
      </c>
    </row>
    <row r="245" spans="1:6" ht="47.25" x14ac:dyDescent="0.25">
      <c r="A245" s="34" t="s">
        <v>196</v>
      </c>
      <c r="B245" s="24" t="s">
        <v>165</v>
      </c>
      <c r="C245" s="24" t="s">
        <v>249</v>
      </c>
      <c r="D245" s="210" t="s">
        <v>197</v>
      </c>
      <c r="E245" s="250"/>
      <c r="F245" s="4">
        <f>F246+F253</f>
        <v>306</v>
      </c>
    </row>
    <row r="246" spans="1:6" ht="31.5" x14ac:dyDescent="0.25">
      <c r="A246" s="34" t="s">
        <v>1157</v>
      </c>
      <c r="B246" s="24" t="s">
        <v>165</v>
      </c>
      <c r="C246" s="24" t="s">
        <v>249</v>
      </c>
      <c r="D246" s="285" t="s">
        <v>921</v>
      </c>
      <c r="E246" s="250"/>
      <c r="F246" s="4">
        <f>F247+F250</f>
        <v>285</v>
      </c>
    </row>
    <row r="247" spans="1:6" ht="15.75" x14ac:dyDescent="0.25">
      <c r="A247" s="25" t="s">
        <v>922</v>
      </c>
      <c r="B247" s="20" t="s">
        <v>165</v>
      </c>
      <c r="C247" s="20" t="s">
        <v>249</v>
      </c>
      <c r="D247" s="20" t="s">
        <v>966</v>
      </c>
      <c r="E247" s="32"/>
      <c r="F247" s="6">
        <f>F248</f>
        <v>30</v>
      </c>
    </row>
    <row r="248" spans="1:6" ht="15.75" x14ac:dyDescent="0.25">
      <c r="A248" s="29" t="s">
        <v>150</v>
      </c>
      <c r="B248" s="20" t="s">
        <v>165</v>
      </c>
      <c r="C248" s="20" t="s">
        <v>249</v>
      </c>
      <c r="D248" s="20" t="s">
        <v>966</v>
      </c>
      <c r="E248" s="32" t="s">
        <v>160</v>
      </c>
      <c r="F248" s="6">
        <f>F249</f>
        <v>30</v>
      </c>
    </row>
    <row r="249" spans="1:6" ht="47.25" x14ac:dyDescent="0.25">
      <c r="A249" s="29" t="s">
        <v>199</v>
      </c>
      <c r="B249" s="20" t="s">
        <v>165</v>
      </c>
      <c r="C249" s="20" t="s">
        <v>249</v>
      </c>
      <c r="D249" s="20" t="s">
        <v>966</v>
      </c>
      <c r="E249" s="32" t="s">
        <v>175</v>
      </c>
      <c r="F249" s="6">
        <f>'Пр.4 ведом.20'!G165</f>
        <v>30</v>
      </c>
    </row>
    <row r="250" spans="1:6" ht="31.5" x14ac:dyDescent="0.25">
      <c r="A250" s="25" t="s">
        <v>250</v>
      </c>
      <c r="B250" s="20" t="s">
        <v>165</v>
      </c>
      <c r="C250" s="20" t="s">
        <v>249</v>
      </c>
      <c r="D250" s="20" t="s">
        <v>925</v>
      </c>
      <c r="E250" s="20"/>
      <c r="F250" s="6">
        <f t="shared" ref="F250" si="39">F251</f>
        <v>255</v>
      </c>
    </row>
    <row r="251" spans="1:6" ht="15.75" x14ac:dyDescent="0.25">
      <c r="A251" s="25" t="s">
        <v>150</v>
      </c>
      <c r="B251" s="20" t="s">
        <v>165</v>
      </c>
      <c r="C251" s="20" t="s">
        <v>249</v>
      </c>
      <c r="D251" s="20" t="s">
        <v>925</v>
      </c>
      <c r="E251" s="20" t="s">
        <v>160</v>
      </c>
      <c r="F251" s="6">
        <f>F252</f>
        <v>255</v>
      </c>
    </row>
    <row r="252" spans="1:6" ht="47.25" x14ac:dyDescent="0.25">
      <c r="A252" s="25" t="s">
        <v>199</v>
      </c>
      <c r="B252" s="20" t="s">
        <v>165</v>
      </c>
      <c r="C252" s="20" t="s">
        <v>249</v>
      </c>
      <c r="D252" s="20" t="s">
        <v>925</v>
      </c>
      <c r="E252" s="20" t="s">
        <v>175</v>
      </c>
      <c r="F252" s="6">
        <f>'Пр.4 ведом.20'!G168</f>
        <v>255</v>
      </c>
    </row>
    <row r="253" spans="1:6" ht="47.25" x14ac:dyDescent="0.25">
      <c r="A253" s="241" t="s">
        <v>1158</v>
      </c>
      <c r="B253" s="24" t="s">
        <v>165</v>
      </c>
      <c r="C253" s="24" t="s">
        <v>249</v>
      </c>
      <c r="D253" s="210" t="s">
        <v>924</v>
      </c>
      <c r="E253" s="250"/>
      <c r="F253" s="4">
        <f>F254</f>
        <v>21</v>
      </c>
    </row>
    <row r="254" spans="1:6" s="221" customFormat="1" ht="15.75" x14ac:dyDescent="0.25">
      <c r="A254" s="25" t="s">
        <v>923</v>
      </c>
      <c r="B254" s="20" t="s">
        <v>165</v>
      </c>
      <c r="C254" s="20" t="s">
        <v>249</v>
      </c>
      <c r="D254" s="5" t="s">
        <v>967</v>
      </c>
      <c r="E254" s="32"/>
      <c r="F254" s="6">
        <f>F255</f>
        <v>21</v>
      </c>
    </row>
    <row r="255" spans="1:6" s="221" customFormat="1" ht="15.75" x14ac:dyDescent="0.25">
      <c r="A255" s="29" t="s">
        <v>150</v>
      </c>
      <c r="B255" s="20" t="s">
        <v>165</v>
      </c>
      <c r="C255" s="20" t="s">
        <v>249</v>
      </c>
      <c r="D255" s="5" t="s">
        <v>967</v>
      </c>
      <c r="E255" s="32" t="s">
        <v>160</v>
      </c>
      <c r="F255" s="6">
        <f>F256</f>
        <v>21</v>
      </c>
    </row>
    <row r="256" spans="1:6" s="221" customFormat="1" ht="47.25" x14ac:dyDescent="0.25">
      <c r="A256" s="29" t="s">
        <v>199</v>
      </c>
      <c r="B256" s="20" t="s">
        <v>165</v>
      </c>
      <c r="C256" s="20" t="s">
        <v>249</v>
      </c>
      <c r="D256" s="5" t="s">
        <v>967</v>
      </c>
      <c r="E256" s="32" t="s">
        <v>175</v>
      </c>
      <c r="F256" s="6">
        <f>'Пр.4 ведом.20'!G172</f>
        <v>21</v>
      </c>
    </row>
    <row r="257" spans="1:6" ht="15.75" x14ac:dyDescent="0.25">
      <c r="A257" s="23" t="s">
        <v>520</v>
      </c>
      <c r="B257" s="24" t="s">
        <v>165</v>
      </c>
      <c r="C257" s="24" t="s">
        <v>314</v>
      </c>
      <c r="D257" s="24"/>
      <c r="E257" s="24"/>
      <c r="F257" s="4">
        <f t="shared" ref="F257:F261" si="40">F258</f>
        <v>3258</v>
      </c>
    </row>
    <row r="258" spans="1:6" ht="15.75" x14ac:dyDescent="0.25">
      <c r="A258" s="23" t="s">
        <v>156</v>
      </c>
      <c r="B258" s="24" t="s">
        <v>165</v>
      </c>
      <c r="C258" s="24" t="s">
        <v>314</v>
      </c>
      <c r="D258" s="24" t="s">
        <v>910</v>
      </c>
      <c r="E258" s="24"/>
      <c r="F258" s="4">
        <f t="shared" si="40"/>
        <v>3258</v>
      </c>
    </row>
    <row r="259" spans="1:6" ht="31.5" x14ac:dyDescent="0.25">
      <c r="A259" s="23" t="s">
        <v>914</v>
      </c>
      <c r="B259" s="24" t="s">
        <v>165</v>
      </c>
      <c r="C259" s="24" t="s">
        <v>314</v>
      </c>
      <c r="D259" s="24" t="s">
        <v>909</v>
      </c>
      <c r="E259" s="24"/>
      <c r="F259" s="4">
        <f t="shared" si="40"/>
        <v>3258</v>
      </c>
    </row>
    <row r="260" spans="1:6" ht="17.45" customHeight="1" x14ac:dyDescent="0.25">
      <c r="A260" s="25" t="s">
        <v>521</v>
      </c>
      <c r="B260" s="20" t="s">
        <v>165</v>
      </c>
      <c r="C260" s="20" t="s">
        <v>314</v>
      </c>
      <c r="D260" s="20" t="s">
        <v>1091</v>
      </c>
      <c r="E260" s="20"/>
      <c r="F260" s="6">
        <f t="shared" si="40"/>
        <v>3258</v>
      </c>
    </row>
    <row r="261" spans="1:6" ht="34.5" customHeight="1" x14ac:dyDescent="0.25">
      <c r="A261" s="25" t="s">
        <v>146</v>
      </c>
      <c r="B261" s="20" t="s">
        <v>165</v>
      </c>
      <c r="C261" s="20" t="s">
        <v>314</v>
      </c>
      <c r="D261" s="20" t="s">
        <v>1091</v>
      </c>
      <c r="E261" s="20" t="s">
        <v>147</v>
      </c>
      <c r="F261" s="6">
        <f t="shared" si="40"/>
        <v>3258</v>
      </c>
    </row>
    <row r="262" spans="1:6" ht="38.25" customHeight="1" x14ac:dyDescent="0.25">
      <c r="A262" s="25" t="s">
        <v>148</v>
      </c>
      <c r="B262" s="20" t="s">
        <v>165</v>
      </c>
      <c r="C262" s="20" t="s">
        <v>314</v>
      </c>
      <c r="D262" s="20" t="s">
        <v>1091</v>
      </c>
      <c r="E262" s="20" t="s">
        <v>149</v>
      </c>
      <c r="F262" s="338">
        <f>'Пр.4 ведом.20'!G905</f>
        <v>3258</v>
      </c>
    </row>
    <row r="263" spans="1:6" ht="15.75" x14ac:dyDescent="0.25">
      <c r="A263" s="23" t="s">
        <v>523</v>
      </c>
      <c r="B263" s="24" t="s">
        <v>165</v>
      </c>
      <c r="C263" s="24" t="s">
        <v>234</v>
      </c>
      <c r="D263" s="20"/>
      <c r="E263" s="24"/>
      <c r="F263" s="4">
        <f t="shared" ref="F263" si="41">F264</f>
        <v>3446</v>
      </c>
    </row>
    <row r="264" spans="1:6" ht="47.25" x14ac:dyDescent="0.25">
      <c r="A264" s="34" t="s">
        <v>1178</v>
      </c>
      <c r="B264" s="24" t="s">
        <v>165</v>
      </c>
      <c r="C264" s="24" t="s">
        <v>234</v>
      </c>
      <c r="D264" s="24" t="s">
        <v>525</v>
      </c>
      <c r="E264" s="24"/>
      <c r="F264" s="59">
        <f>F265+F269</f>
        <v>3446</v>
      </c>
    </row>
    <row r="265" spans="1:6" ht="31.5" hidden="1" x14ac:dyDescent="0.25">
      <c r="A265" s="34" t="s">
        <v>1148</v>
      </c>
      <c r="B265" s="24" t="s">
        <v>165</v>
      </c>
      <c r="C265" s="24" t="s">
        <v>234</v>
      </c>
      <c r="D265" s="7" t="s">
        <v>1092</v>
      </c>
      <c r="E265" s="24"/>
      <c r="F265" s="59">
        <f>F266</f>
        <v>0</v>
      </c>
    </row>
    <row r="266" spans="1:6" ht="15.75" hidden="1" x14ac:dyDescent="0.25">
      <c r="A266" s="29" t="s">
        <v>1150</v>
      </c>
      <c r="B266" s="20" t="s">
        <v>165</v>
      </c>
      <c r="C266" s="20" t="s">
        <v>234</v>
      </c>
      <c r="D266" s="40" t="s">
        <v>1149</v>
      </c>
      <c r="E266" s="20"/>
      <c r="F266" s="10">
        <f>F267</f>
        <v>0</v>
      </c>
    </row>
    <row r="267" spans="1:6" ht="31.5" hidden="1" x14ac:dyDescent="0.25">
      <c r="A267" s="25" t="s">
        <v>146</v>
      </c>
      <c r="B267" s="20" t="s">
        <v>165</v>
      </c>
      <c r="C267" s="20" t="s">
        <v>234</v>
      </c>
      <c r="D267" s="40" t="s">
        <v>1149</v>
      </c>
      <c r="E267" s="20" t="s">
        <v>147</v>
      </c>
      <c r="F267" s="338">
        <f>F268</f>
        <v>0</v>
      </c>
    </row>
    <row r="268" spans="1:6" ht="31.5" hidden="1" x14ac:dyDescent="0.25">
      <c r="A268" s="25" t="s">
        <v>148</v>
      </c>
      <c r="B268" s="20" t="s">
        <v>165</v>
      </c>
      <c r="C268" s="20" t="s">
        <v>234</v>
      </c>
      <c r="D268" s="40" t="s">
        <v>1149</v>
      </c>
      <c r="E268" s="20" t="s">
        <v>149</v>
      </c>
      <c r="F268" s="338">
        <f>'Пр.4 ведом.20'!G911</f>
        <v>0</v>
      </c>
    </row>
    <row r="269" spans="1:6" ht="31.5" x14ac:dyDescent="0.25">
      <c r="A269" s="34" t="s">
        <v>1237</v>
      </c>
      <c r="B269" s="24" t="s">
        <v>165</v>
      </c>
      <c r="C269" s="24" t="s">
        <v>234</v>
      </c>
      <c r="D269" s="24" t="s">
        <v>1093</v>
      </c>
      <c r="E269" s="24"/>
      <c r="F269" s="340">
        <f>F270</f>
        <v>3446</v>
      </c>
    </row>
    <row r="270" spans="1:6" s="221" customFormat="1" ht="15.75" x14ac:dyDescent="0.25">
      <c r="A270" s="29" t="s">
        <v>526</v>
      </c>
      <c r="B270" s="20" t="s">
        <v>165</v>
      </c>
      <c r="C270" s="20" t="s">
        <v>234</v>
      </c>
      <c r="D270" s="40" t="s">
        <v>1151</v>
      </c>
      <c r="E270" s="20"/>
      <c r="F270" s="338">
        <f>F273+F275+F271</f>
        <v>3446</v>
      </c>
    </row>
    <row r="271" spans="1:6" s="221" customFormat="1" ht="78.75" x14ac:dyDescent="0.25">
      <c r="A271" s="25" t="s">
        <v>142</v>
      </c>
      <c r="B271" s="20" t="s">
        <v>165</v>
      </c>
      <c r="C271" s="20" t="s">
        <v>234</v>
      </c>
      <c r="D271" s="40" t="s">
        <v>1151</v>
      </c>
      <c r="E271" s="20" t="s">
        <v>143</v>
      </c>
      <c r="F271" s="338">
        <f>F272</f>
        <v>1791.3</v>
      </c>
    </row>
    <row r="272" spans="1:6" s="221" customFormat="1" ht="15.75" x14ac:dyDescent="0.25">
      <c r="A272" s="25" t="s">
        <v>223</v>
      </c>
      <c r="B272" s="20" t="s">
        <v>165</v>
      </c>
      <c r="C272" s="20" t="s">
        <v>234</v>
      </c>
      <c r="D272" s="40" t="s">
        <v>1151</v>
      </c>
      <c r="E272" s="20" t="s">
        <v>224</v>
      </c>
      <c r="F272" s="338">
        <f>'Пр.4 ведом.20'!G915</f>
        <v>1791.3</v>
      </c>
    </row>
    <row r="273" spans="1:6" s="221" customFormat="1" ht="31.5" x14ac:dyDescent="0.25">
      <c r="A273" s="25" t="s">
        <v>146</v>
      </c>
      <c r="B273" s="20" t="s">
        <v>165</v>
      </c>
      <c r="C273" s="20" t="s">
        <v>234</v>
      </c>
      <c r="D273" s="40" t="s">
        <v>1151</v>
      </c>
      <c r="E273" s="20" t="s">
        <v>147</v>
      </c>
      <c r="F273" s="338">
        <f>F274</f>
        <v>1654.7</v>
      </c>
    </row>
    <row r="274" spans="1:6" s="221" customFormat="1" ht="35.450000000000003" customHeight="1" x14ac:dyDescent="0.25">
      <c r="A274" s="25" t="s">
        <v>148</v>
      </c>
      <c r="B274" s="20" t="s">
        <v>165</v>
      </c>
      <c r="C274" s="20" t="s">
        <v>234</v>
      </c>
      <c r="D274" s="40" t="s">
        <v>1151</v>
      </c>
      <c r="E274" s="20" t="s">
        <v>149</v>
      </c>
      <c r="F274" s="338">
        <f>'Пр.4 ведом.20'!G917</f>
        <v>1654.7</v>
      </c>
    </row>
    <row r="275" spans="1:6" s="221" customFormat="1" ht="15.75" x14ac:dyDescent="0.25">
      <c r="A275" s="25" t="s">
        <v>150</v>
      </c>
      <c r="B275" s="20" t="s">
        <v>165</v>
      </c>
      <c r="C275" s="20" t="s">
        <v>234</v>
      </c>
      <c r="D275" s="40" t="s">
        <v>1151</v>
      </c>
      <c r="E275" s="20" t="s">
        <v>160</v>
      </c>
      <c r="F275" s="338">
        <f>F276</f>
        <v>0</v>
      </c>
    </row>
    <row r="276" spans="1:6" s="221" customFormat="1" ht="15.75" x14ac:dyDescent="0.25">
      <c r="A276" s="25" t="s">
        <v>583</v>
      </c>
      <c r="B276" s="20" t="s">
        <v>165</v>
      </c>
      <c r="C276" s="20" t="s">
        <v>234</v>
      </c>
      <c r="D276" s="40" t="s">
        <v>1151</v>
      </c>
      <c r="E276" s="20" t="s">
        <v>153</v>
      </c>
      <c r="F276" s="338">
        <f>'Пр.4 ведом.20'!G919</f>
        <v>0</v>
      </c>
    </row>
    <row r="277" spans="1:6" ht="22.7" customHeight="1" x14ac:dyDescent="0.25">
      <c r="A277" s="23" t="s">
        <v>252</v>
      </c>
      <c r="B277" s="24" t="s">
        <v>165</v>
      </c>
      <c r="C277" s="24" t="s">
        <v>253</v>
      </c>
      <c r="D277" s="24"/>
      <c r="E277" s="24"/>
      <c r="F277" s="59">
        <f>F278+F290+F317+F285</f>
        <v>908.8</v>
      </c>
    </row>
    <row r="278" spans="1:6" ht="31.5" x14ac:dyDescent="0.25">
      <c r="A278" s="23" t="s">
        <v>988</v>
      </c>
      <c r="B278" s="24" t="s">
        <v>165</v>
      </c>
      <c r="C278" s="24" t="s">
        <v>253</v>
      </c>
      <c r="D278" s="24" t="s">
        <v>902</v>
      </c>
      <c r="E278" s="24"/>
      <c r="F278" s="59">
        <f>F279</f>
        <v>288.8</v>
      </c>
    </row>
    <row r="279" spans="1:6" ht="31.5" x14ac:dyDescent="0.25">
      <c r="A279" s="23" t="s">
        <v>930</v>
      </c>
      <c r="B279" s="24" t="s">
        <v>165</v>
      </c>
      <c r="C279" s="24" t="s">
        <v>253</v>
      </c>
      <c r="D279" s="24" t="s">
        <v>907</v>
      </c>
      <c r="E279" s="24"/>
      <c r="F279" s="59">
        <f>F280</f>
        <v>288.8</v>
      </c>
    </row>
    <row r="280" spans="1:6" ht="63" x14ac:dyDescent="0.25">
      <c r="A280" s="31" t="s">
        <v>256</v>
      </c>
      <c r="B280" s="20" t="s">
        <v>165</v>
      </c>
      <c r="C280" s="20" t="s">
        <v>253</v>
      </c>
      <c r="D280" s="20" t="s">
        <v>995</v>
      </c>
      <c r="E280" s="20"/>
      <c r="F280" s="10">
        <f>F281+F283</f>
        <v>288.8</v>
      </c>
    </row>
    <row r="281" spans="1:6" ht="78.75" x14ac:dyDescent="0.25">
      <c r="A281" s="25" t="s">
        <v>142</v>
      </c>
      <c r="B281" s="20" t="s">
        <v>165</v>
      </c>
      <c r="C281" s="20" t="s">
        <v>253</v>
      </c>
      <c r="D281" s="20" t="s">
        <v>995</v>
      </c>
      <c r="E281" s="20" t="s">
        <v>143</v>
      </c>
      <c r="F281" s="10">
        <f>F282</f>
        <v>187</v>
      </c>
    </row>
    <row r="282" spans="1:6" ht="32.25" customHeight="1" x14ac:dyDescent="0.25">
      <c r="A282" s="25" t="s">
        <v>144</v>
      </c>
      <c r="B282" s="20" t="s">
        <v>165</v>
      </c>
      <c r="C282" s="20" t="s">
        <v>253</v>
      </c>
      <c r="D282" s="20" t="s">
        <v>995</v>
      </c>
      <c r="E282" s="20" t="s">
        <v>145</v>
      </c>
      <c r="F282" s="10">
        <f>'Пр.4 ведом.20'!G178</f>
        <v>187</v>
      </c>
    </row>
    <row r="283" spans="1:6" ht="31.5" x14ac:dyDescent="0.25">
      <c r="A283" s="25" t="s">
        <v>146</v>
      </c>
      <c r="B283" s="20" t="s">
        <v>165</v>
      </c>
      <c r="C283" s="20" t="s">
        <v>253</v>
      </c>
      <c r="D283" s="20" t="s">
        <v>995</v>
      </c>
      <c r="E283" s="20" t="s">
        <v>147</v>
      </c>
      <c r="F283" s="10">
        <f>F284</f>
        <v>101.8</v>
      </c>
    </row>
    <row r="284" spans="1:6" ht="31.5" x14ac:dyDescent="0.25">
      <c r="A284" s="25" t="s">
        <v>148</v>
      </c>
      <c r="B284" s="20" t="s">
        <v>165</v>
      </c>
      <c r="C284" s="20" t="s">
        <v>253</v>
      </c>
      <c r="D284" s="20" t="s">
        <v>995</v>
      </c>
      <c r="E284" s="20" t="s">
        <v>149</v>
      </c>
      <c r="F284" s="10">
        <f>'Пр.4 ведом.20'!G180</f>
        <v>101.8</v>
      </c>
    </row>
    <row r="285" spans="1:6" s="361" customFormat="1" ht="15.75" x14ac:dyDescent="0.25">
      <c r="A285" s="370" t="s">
        <v>156</v>
      </c>
      <c r="B285" s="371" t="s">
        <v>165</v>
      </c>
      <c r="C285" s="371" t="s">
        <v>253</v>
      </c>
      <c r="D285" s="371" t="s">
        <v>910</v>
      </c>
      <c r="E285" s="368"/>
      <c r="F285" s="377">
        <f>F286</f>
        <v>350</v>
      </c>
    </row>
    <row r="286" spans="1:6" s="361" customFormat="1" ht="31.5" x14ac:dyDescent="0.25">
      <c r="A286" s="370" t="s">
        <v>914</v>
      </c>
      <c r="B286" s="371" t="s">
        <v>165</v>
      </c>
      <c r="C286" s="371" t="s">
        <v>253</v>
      </c>
      <c r="D286" s="371" t="s">
        <v>909</v>
      </c>
      <c r="E286" s="368"/>
      <c r="F286" s="377">
        <f>F287</f>
        <v>350</v>
      </c>
    </row>
    <row r="287" spans="1:6" s="361" customFormat="1" ht="31.5" x14ac:dyDescent="0.25">
      <c r="A287" s="372" t="s">
        <v>1515</v>
      </c>
      <c r="B287" s="368" t="s">
        <v>165</v>
      </c>
      <c r="C287" s="368" t="s">
        <v>253</v>
      </c>
      <c r="D287" s="368" t="s">
        <v>1516</v>
      </c>
      <c r="E287" s="368"/>
      <c r="F287" s="365">
        <f>F288</f>
        <v>350</v>
      </c>
    </row>
    <row r="288" spans="1:6" s="361" customFormat="1" ht="31.5" x14ac:dyDescent="0.25">
      <c r="A288" s="372" t="s">
        <v>146</v>
      </c>
      <c r="B288" s="368" t="s">
        <v>165</v>
      </c>
      <c r="C288" s="368" t="s">
        <v>253</v>
      </c>
      <c r="D288" s="368" t="s">
        <v>1516</v>
      </c>
      <c r="E288" s="368" t="s">
        <v>147</v>
      </c>
      <c r="F288" s="365">
        <f>F289</f>
        <v>350</v>
      </c>
    </row>
    <row r="289" spans="1:6" s="362" customFormat="1" ht="31.5" x14ac:dyDescent="0.25">
      <c r="A289" s="372" t="s">
        <v>148</v>
      </c>
      <c r="B289" s="368" t="s">
        <v>165</v>
      </c>
      <c r="C289" s="368" t="s">
        <v>253</v>
      </c>
      <c r="D289" s="368" t="s">
        <v>1516</v>
      </c>
      <c r="E289" s="368" t="s">
        <v>149</v>
      </c>
      <c r="F289" s="365">
        <f>'Пр.4 ведом.20'!G925</f>
        <v>350</v>
      </c>
    </row>
    <row r="290" spans="1:6" s="221" customFormat="1" ht="47.25" x14ac:dyDescent="0.25">
      <c r="A290" s="23" t="s">
        <v>358</v>
      </c>
      <c r="B290" s="24" t="s">
        <v>165</v>
      </c>
      <c r="C290" s="24" t="s">
        <v>253</v>
      </c>
      <c r="D290" s="24" t="s">
        <v>359</v>
      </c>
      <c r="E290" s="250"/>
      <c r="F290" s="59">
        <f>F291</f>
        <v>270</v>
      </c>
    </row>
    <row r="291" spans="1:6" s="221" customFormat="1" ht="63" x14ac:dyDescent="0.25">
      <c r="A291" s="23" t="s">
        <v>382</v>
      </c>
      <c r="B291" s="24" t="s">
        <v>165</v>
      </c>
      <c r="C291" s="24" t="s">
        <v>253</v>
      </c>
      <c r="D291" s="24" t="s">
        <v>383</v>
      </c>
      <c r="E291" s="24"/>
      <c r="F291" s="59">
        <f>F292+F299+F306+F313</f>
        <v>270</v>
      </c>
    </row>
    <row r="292" spans="1:6" s="221" customFormat="1" ht="47.25" hidden="1" x14ac:dyDescent="0.25">
      <c r="A292" s="242" t="s">
        <v>1211</v>
      </c>
      <c r="B292" s="24" t="s">
        <v>165</v>
      </c>
      <c r="C292" s="24" t="s">
        <v>253</v>
      </c>
      <c r="D292" s="24" t="s">
        <v>935</v>
      </c>
      <c r="E292" s="24"/>
      <c r="F292" s="59">
        <f>F293+F296</f>
        <v>0</v>
      </c>
    </row>
    <row r="293" spans="1:6" s="221" customFormat="1" ht="47.25" hidden="1" x14ac:dyDescent="0.25">
      <c r="A293" s="25" t="s">
        <v>390</v>
      </c>
      <c r="B293" s="20" t="s">
        <v>165</v>
      </c>
      <c r="C293" s="20" t="s">
        <v>253</v>
      </c>
      <c r="D293" s="20" t="s">
        <v>1212</v>
      </c>
      <c r="E293" s="20"/>
      <c r="F293" s="10">
        <f>F294</f>
        <v>0</v>
      </c>
    </row>
    <row r="294" spans="1:6" s="221" customFormat="1" ht="21.2" hidden="1" customHeight="1" x14ac:dyDescent="0.25">
      <c r="A294" s="25" t="s">
        <v>263</v>
      </c>
      <c r="B294" s="20" t="s">
        <v>165</v>
      </c>
      <c r="C294" s="20" t="s">
        <v>253</v>
      </c>
      <c r="D294" s="20" t="s">
        <v>1212</v>
      </c>
      <c r="E294" s="20" t="s">
        <v>264</v>
      </c>
      <c r="F294" s="10">
        <f>F295</f>
        <v>0</v>
      </c>
    </row>
    <row r="295" spans="1:6" s="221" customFormat="1" ht="31.5" hidden="1" x14ac:dyDescent="0.25">
      <c r="A295" s="25" t="s">
        <v>265</v>
      </c>
      <c r="B295" s="20" t="s">
        <v>165</v>
      </c>
      <c r="C295" s="20" t="s">
        <v>253</v>
      </c>
      <c r="D295" s="20" t="s">
        <v>1212</v>
      </c>
      <c r="E295" s="20" t="s">
        <v>266</v>
      </c>
      <c r="F295" s="10">
        <f>'Пр.4 ведом.20'!G251</f>
        <v>0</v>
      </c>
    </row>
    <row r="296" spans="1:6" s="221" customFormat="1" ht="47.25" hidden="1" x14ac:dyDescent="0.25">
      <c r="A296" s="25" t="s">
        <v>390</v>
      </c>
      <c r="B296" s="20" t="s">
        <v>165</v>
      </c>
      <c r="C296" s="20" t="s">
        <v>253</v>
      </c>
      <c r="D296" s="20" t="s">
        <v>1213</v>
      </c>
      <c r="E296" s="20"/>
      <c r="F296" s="10">
        <f>F297</f>
        <v>0</v>
      </c>
    </row>
    <row r="297" spans="1:6" s="221" customFormat="1" ht="18.75" hidden="1" customHeight="1" x14ac:dyDescent="0.25">
      <c r="A297" s="25" t="s">
        <v>263</v>
      </c>
      <c r="B297" s="20" t="s">
        <v>165</v>
      </c>
      <c r="C297" s="20" t="s">
        <v>253</v>
      </c>
      <c r="D297" s="20" t="s">
        <v>1213</v>
      </c>
      <c r="E297" s="20" t="s">
        <v>264</v>
      </c>
      <c r="F297" s="10">
        <f>F298</f>
        <v>0</v>
      </c>
    </row>
    <row r="298" spans="1:6" s="221" customFormat="1" ht="31.5" hidden="1" x14ac:dyDescent="0.25">
      <c r="A298" s="25" t="s">
        <v>265</v>
      </c>
      <c r="B298" s="20" t="s">
        <v>165</v>
      </c>
      <c r="C298" s="20" t="s">
        <v>253</v>
      </c>
      <c r="D298" s="20" t="s">
        <v>1213</v>
      </c>
      <c r="E298" s="20" t="s">
        <v>266</v>
      </c>
      <c r="F298" s="10">
        <f>'Пр.4 ведом.20'!G254</f>
        <v>0</v>
      </c>
    </row>
    <row r="299" spans="1:6" s="221" customFormat="1" ht="31.5" x14ac:dyDescent="0.25">
      <c r="A299" s="23" t="s">
        <v>1209</v>
      </c>
      <c r="B299" s="24" t="s">
        <v>165</v>
      </c>
      <c r="C299" s="24" t="s">
        <v>253</v>
      </c>
      <c r="D299" s="24" t="s">
        <v>936</v>
      </c>
      <c r="E299" s="24"/>
      <c r="F299" s="59">
        <f>F300+F303</f>
        <v>260</v>
      </c>
    </row>
    <row r="300" spans="1:6" s="221" customFormat="1" ht="31.5" x14ac:dyDescent="0.25">
      <c r="A300" s="25" t="s">
        <v>1210</v>
      </c>
      <c r="B300" s="20" t="s">
        <v>165</v>
      </c>
      <c r="C300" s="20" t="s">
        <v>253</v>
      </c>
      <c r="D300" s="20" t="s">
        <v>1214</v>
      </c>
      <c r="E300" s="20"/>
      <c r="F300" s="10">
        <f>F301</f>
        <v>60</v>
      </c>
    </row>
    <row r="301" spans="1:6" s="221" customFormat="1" ht="15.75" x14ac:dyDescent="0.25">
      <c r="A301" s="25" t="s">
        <v>150</v>
      </c>
      <c r="B301" s="20" t="s">
        <v>165</v>
      </c>
      <c r="C301" s="20" t="s">
        <v>253</v>
      </c>
      <c r="D301" s="20" t="s">
        <v>1214</v>
      </c>
      <c r="E301" s="20" t="s">
        <v>160</v>
      </c>
      <c r="F301" s="10">
        <f>F302</f>
        <v>60</v>
      </c>
    </row>
    <row r="302" spans="1:6" s="221" customFormat="1" ht="47.25" x14ac:dyDescent="0.25">
      <c r="A302" s="25" t="s">
        <v>199</v>
      </c>
      <c r="B302" s="20" t="s">
        <v>165</v>
      </c>
      <c r="C302" s="20" t="s">
        <v>253</v>
      </c>
      <c r="D302" s="20" t="s">
        <v>1214</v>
      </c>
      <c r="E302" s="20" t="s">
        <v>175</v>
      </c>
      <c r="F302" s="10">
        <f>'Пр.4 ведом.20'!G258</f>
        <v>60</v>
      </c>
    </row>
    <row r="303" spans="1:6" s="221" customFormat="1" ht="110.25" x14ac:dyDescent="0.25">
      <c r="A303" s="25" t="s">
        <v>388</v>
      </c>
      <c r="B303" s="20" t="s">
        <v>165</v>
      </c>
      <c r="C303" s="20" t="s">
        <v>253</v>
      </c>
      <c r="D303" s="20" t="s">
        <v>1215</v>
      </c>
      <c r="E303" s="20"/>
      <c r="F303" s="10">
        <f>F304</f>
        <v>200</v>
      </c>
    </row>
    <row r="304" spans="1:6" s="221" customFormat="1" ht="15.75" x14ac:dyDescent="0.25">
      <c r="A304" s="25" t="s">
        <v>150</v>
      </c>
      <c r="B304" s="20" t="s">
        <v>165</v>
      </c>
      <c r="C304" s="20" t="s">
        <v>253</v>
      </c>
      <c r="D304" s="20" t="s">
        <v>1215</v>
      </c>
      <c r="E304" s="20" t="s">
        <v>160</v>
      </c>
      <c r="F304" s="10">
        <f>F305</f>
        <v>200</v>
      </c>
    </row>
    <row r="305" spans="1:6" s="221" customFormat="1" ht="47.25" x14ac:dyDescent="0.25">
      <c r="A305" s="25" t="s">
        <v>199</v>
      </c>
      <c r="B305" s="20" t="s">
        <v>165</v>
      </c>
      <c r="C305" s="20" t="s">
        <v>253</v>
      </c>
      <c r="D305" s="20" t="s">
        <v>1215</v>
      </c>
      <c r="E305" s="20" t="s">
        <v>175</v>
      </c>
      <c r="F305" s="10">
        <f>'Пр.4 ведом.20'!G261</f>
        <v>200</v>
      </c>
    </row>
    <row r="306" spans="1:6" s="221" customFormat="1" ht="31.5" hidden="1" x14ac:dyDescent="0.25">
      <c r="A306" s="23" t="s">
        <v>1143</v>
      </c>
      <c r="B306" s="24" t="s">
        <v>165</v>
      </c>
      <c r="C306" s="24" t="s">
        <v>253</v>
      </c>
      <c r="D306" s="24" t="s">
        <v>937</v>
      </c>
      <c r="E306" s="24"/>
      <c r="F306" s="59">
        <f>F307+F310</f>
        <v>0</v>
      </c>
    </row>
    <row r="307" spans="1:6" s="221" customFormat="1" ht="31.5" hidden="1" x14ac:dyDescent="0.25">
      <c r="A307" s="286" t="s">
        <v>1218</v>
      </c>
      <c r="B307" s="20" t="s">
        <v>165</v>
      </c>
      <c r="C307" s="20" t="s">
        <v>253</v>
      </c>
      <c r="D307" s="20" t="s">
        <v>1216</v>
      </c>
      <c r="E307" s="20"/>
      <c r="F307" s="10">
        <f>F308</f>
        <v>0</v>
      </c>
    </row>
    <row r="308" spans="1:6" s="221" customFormat="1" ht="31.5" hidden="1" x14ac:dyDescent="0.25">
      <c r="A308" s="25" t="s">
        <v>146</v>
      </c>
      <c r="B308" s="20" t="s">
        <v>165</v>
      </c>
      <c r="C308" s="20" t="s">
        <v>253</v>
      </c>
      <c r="D308" s="20" t="s">
        <v>1216</v>
      </c>
      <c r="E308" s="20" t="s">
        <v>147</v>
      </c>
      <c r="F308" s="10">
        <f>F309</f>
        <v>0</v>
      </c>
    </row>
    <row r="309" spans="1:6" s="221" customFormat="1" ht="31.5" hidden="1" x14ac:dyDescent="0.25">
      <c r="A309" s="25" t="s">
        <v>148</v>
      </c>
      <c r="B309" s="20" t="s">
        <v>165</v>
      </c>
      <c r="C309" s="20" t="s">
        <v>253</v>
      </c>
      <c r="D309" s="20" t="s">
        <v>1216</v>
      </c>
      <c r="E309" s="20" t="s">
        <v>149</v>
      </c>
      <c r="F309" s="10">
        <f>'Пр.4 ведом.20'!G265</f>
        <v>0</v>
      </c>
    </row>
    <row r="310" spans="1:6" s="221" customFormat="1" ht="31.5" hidden="1" x14ac:dyDescent="0.25">
      <c r="A310" s="25" t="s">
        <v>392</v>
      </c>
      <c r="B310" s="20" t="s">
        <v>165</v>
      </c>
      <c r="C310" s="20" t="s">
        <v>253</v>
      </c>
      <c r="D310" s="20" t="s">
        <v>1217</v>
      </c>
      <c r="E310" s="20"/>
      <c r="F310" s="10">
        <f>F311</f>
        <v>0</v>
      </c>
    </row>
    <row r="311" spans="1:6" s="221" customFormat="1" ht="31.5" hidden="1" x14ac:dyDescent="0.25">
      <c r="A311" s="25" t="s">
        <v>146</v>
      </c>
      <c r="B311" s="20" t="s">
        <v>165</v>
      </c>
      <c r="C311" s="20" t="s">
        <v>253</v>
      </c>
      <c r="D311" s="20" t="s">
        <v>1217</v>
      </c>
      <c r="E311" s="20" t="s">
        <v>147</v>
      </c>
      <c r="F311" s="10">
        <f>F312</f>
        <v>0</v>
      </c>
    </row>
    <row r="312" spans="1:6" s="221" customFormat="1" ht="31.5" hidden="1" x14ac:dyDescent="0.25">
      <c r="A312" s="25" t="s">
        <v>148</v>
      </c>
      <c r="B312" s="20" t="s">
        <v>165</v>
      </c>
      <c r="C312" s="20" t="s">
        <v>253</v>
      </c>
      <c r="D312" s="20" t="s">
        <v>1217</v>
      </c>
      <c r="E312" s="20" t="s">
        <v>149</v>
      </c>
      <c r="F312" s="10">
        <f>'Пр.4 ведом.20'!G268</f>
        <v>0</v>
      </c>
    </row>
    <row r="313" spans="1:6" s="221" customFormat="1" ht="31.5" x14ac:dyDescent="0.25">
      <c r="A313" s="239" t="s">
        <v>1310</v>
      </c>
      <c r="B313" s="24" t="s">
        <v>165</v>
      </c>
      <c r="C313" s="24" t="s">
        <v>253</v>
      </c>
      <c r="D313" s="24" t="s">
        <v>1309</v>
      </c>
      <c r="E313" s="24"/>
      <c r="F313" s="21">
        <f>F314</f>
        <v>10</v>
      </c>
    </row>
    <row r="314" spans="1:6" s="221" customFormat="1" ht="31.5" x14ac:dyDescent="0.25">
      <c r="A314" s="264" t="s">
        <v>1311</v>
      </c>
      <c r="B314" s="20" t="s">
        <v>165</v>
      </c>
      <c r="C314" s="20" t="s">
        <v>253</v>
      </c>
      <c r="D314" s="20" t="s">
        <v>1364</v>
      </c>
      <c r="E314" s="20"/>
      <c r="F314" s="26">
        <f>F315</f>
        <v>10</v>
      </c>
    </row>
    <row r="315" spans="1:6" s="221" customFormat="1" ht="31.5" x14ac:dyDescent="0.25">
      <c r="A315" s="25" t="s">
        <v>146</v>
      </c>
      <c r="B315" s="20" t="s">
        <v>165</v>
      </c>
      <c r="C315" s="20" t="s">
        <v>253</v>
      </c>
      <c r="D315" s="20" t="s">
        <v>1364</v>
      </c>
      <c r="E315" s="20" t="s">
        <v>147</v>
      </c>
      <c r="F315" s="26">
        <f>F316</f>
        <v>10</v>
      </c>
    </row>
    <row r="316" spans="1:6" s="221" customFormat="1" ht="31.5" x14ac:dyDescent="0.25">
      <c r="A316" s="25" t="s">
        <v>148</v>
      </c>
      <c r="B316" s="20" t="s">
        <v>165</v>
      </c>
      <c r="C316" s="20" t="s">
        <v>253</v>
      </c>
      <c r="D316" s="20" t="s">
        <v>1364</v>
      </c>
      <c r="E316" s="20" t="s">
        <v>149</v>
      </c>
      <c r="F316" s="26">
        <f>'Пр.4 ведом.20'!G272</f>
        <v>10</v>
      </c>
    </row>
    <row r="317" spans="1:6" ht="47.25" hidden="1" x14ac:dyDescent="0.25">
      <c r="A317" s="23" t="s">
        <v>1239</v>
      </c>
      <c r="B317" s="24" t="s">
        <v>165</v>
      </c>
      <c r="C317" s="24" t="s">
        <v>253</v>
      </c>
      <c r="D317" s="24" t="s">
        <v>171</v>
      </c>
      <c r="E317" s="24"/>
      <c r="F317" s="59">
        <f>F318</f>
        <v>0</v>
      </c>
    </row>
    <row r="318" spans="1:6" ht="47.25" hidden="1" x14ac:dyDescent="0.25">
      <c r="A318" s="23" t="s">
        <v>1243</v>
      </c>
      <c r="B318" s="24" t="s">
        <v>165</v>
      </c>
      <c r="C318" s="24" t="s">
        <v>253</v>
      </c>
      <c r="D318" s="24" t="s">
        <v>1240</v>
      </c>
      <c r="E318" s="24"/>
      <c r="F318" s="59">
        <f>F319+F322</f>
        <v>0</v>
      </c>
    </row>
    <row r="319" spans="1:6" ht="31.5" hidden="1" x14ac:dyDescent="0.25">
      <c r="A319" s="25" t="s">
        <v>1244</v>
      </c>
      <c r="B319" s="20" t="s">
        <v>165</v>
      </c>
      <c r="C319" s="20" t="s">
        <v>253</v>
      </c>
      <c r="D319" s="20" t="s">
        <v>1241</v>
      </c>
      <c r="E319" s="20"/>
      <c r="F319" s="10">
        <f>F320</f>
        <v>0</v>
      </c>
    </row>
    <row r="320" spans="1:6" ht="15.75" hidden="1" x14ac:dyDescent="0.25">
      <c r="A320" s="25" t="s">
        <v>150</v>
      </c>
      <c r="B320" s="20" t="s">
        <v>165</v>
      </c>
      <c r="C320" s="20" t="s">
        <v>253</v>
      </c>
      <c r="D320" s="20" t="s">
        <v>1241</v>
      </c>
      <c r="E320" s="20" t="s">
        <v>160</v>
      </c>
      <c r="F320" s="10">
        <f>F321</f>
        <v>0</v>
      </c>
    </row>
    <row r="321" spans="1:12" ht="47.25" hidden="1" x14ac:dyDescent="0.25">
      <c r="A321" s="25" t="s">
        <v>199</v>
      </c>
      <c r="B321" s="20" t="s">
        <v>165</v>
      </c>
      <c r="C321" s="20" t="s">
        <v>253</v>
      </c>
      <c r="D321" s="20" t="s">
        <v>1241</v>
      </c>
      <c r="E321" s="20" t="s">
        <v>175</v>
      </c>
      <c r="F321" s="10">
        <f>'Пр.4 ведом.20'!G185</f>
        <v>0</v>
      </c>
    </row>
    <row r="322" spans="1:12" ht="31.5" hidden="1" x14ac:dyDescent="0.25">
      <c r="A322" s="25" t="s">
        <v>254</v>
      </c>
      <c r="B322" s="20" t="s">
        <v>165</v>
      </c>
      <c r="C322" s="20" t="s">
        <v>253</v>
      </c>
      <c r="D322" s="20" t="s">
        <v>1242</v>
      </c>
      <c r="E322" s="24"/>
      <c r="F322" s="10">
        <f>F323</f>
        <v>0</v>
      </c>
    </row>
    <row r="323" spans="1:12" ht="15.75" hidden="1" x14ac:dyDescent="0.25">
      <c r="A323" s="25" t="s">
        <v>150</v>
      </c>
      <c r="B323" s="20" t="s">
        <v>165</v>
      </c>
      <c r="C323" s="20" t="s">
        <v>253</v>
      </c>
      <c r="D323" s="20" t="s">
        <v>1242</v>
      </c>
      <c r="E323" s="20" t="s">
        <v>160</v>
      </c>
      <c r="F323" s="10">
        <f>F324</f>
        <v>0</v>
      </c>
    </row>
    <row r="324" spans="1:12" ht="47.25" hidden="1" x14ac:dyDescent="0.25">
      <c r="A324" s="25" t="s">
        <v>199</v>
      </c>
      <c r="B324" s="20" t="s">
        <v>165</v>
      </c>
      <c r="C324" s="20" t="s">
        <v>253</v>
      </c>
      <c r="D324" s="20" t="s">
        <v>1242</v>
      </c>
      <c r="E324" s="20" t="s">
        <v>175</v>
      </c>
      <c r="F324" s="10">
        <f>'Пр.4 ведом.20'!G188</f>
        <v>0</v>
      </c>
    </row>
    <row r="325" spans="1:12" ht="15.75" x14ac:dyDescent="0.25">
      <c r="A325" s="23" t="s">
        <v>405</v>
      </c>
      <c r="B325" s="24" t="s">
        <v>249</v>
      </c>
      <c r="C325" s="24"/>
      <c r="D325" s="24"/>
      <c r="E325" s="24"/>
      <c r="F325" s="4">
        <f>F326++F340+F407+F456</f>
        <v>63438.400000000009</v>
      </c>
      <c r="H325" s="22"/>
    </row>
    <row r="326" spans="1:12" ht="15.75" x14ac:dyDescent="0.25">
      <c r="A326" s="23" t="s">
        <v>406</v>
      </c>
      <c r="B326" s="24" t="s">
        <v>249</v>
      </c>
      <c r="C326" s="24" t="s">
        <v>133</v>
      </c>
      <c r="D326" s="24"/>
      <c r="E326" s="24"/>
      <c r="F326" s="4">
        <f t="shared" ref="F326:F327" si="42">F327</f>
        <v>6475</v>
      </c>
      <c r="G326" s="22"/>
      <c r="H326" s="22"/>
      <c r="I326" s="22"/>
      <c r="L326" s="22"/>
    </row>
    <row r="327" spans="1:12" ht="15.75" x14ac:dyDescent="0.25">
      <c r="A327" s="23" t="s">
        <v>156</v>
      </c>
      <c r="B327" s="24" t="s">
        <v>249</v>
      </c>
      <c r="C327" s="24" t="s">
        <v>133</v>
      </c>
      <c r="D327" s="24" t="s">
        <v>910</v>
      </c>
      <c r="E327" s="24"/>
      <c r="F327" s="4">
        <f t="shared" si="42"/>
        <v>6475</v>
      </c>
    </row>
    <row r="328" spans="1:12" ht="31.5" x14ac:dyDescent="0.25">
      <c r="A328" s="23" t="s">
        <v>914</v>
      </c>
      <c r="B328" s="24" t="s">
        <v>249</v>
      </c>
      <c r="C328" s="24" t="s">
        <v>133</v>
      </c>
      <c r="D328" s="24" t="s">
        <v>909</v>
      </c>
      <c r="E328" s="24"/>
      <c r="F328" s="4">
        <f>F329+F334+F337</f>
        <v>6475</v>
      </c>
    </row>
    <row r="329" spans="1:12" ht="15.75" x14ac:dyDescent="0.25">
      <c r="A329" s="25" t="s">
        <v>530</v>
      </c>
      <c r="B329" s="20" t="s">
        <v>795</v>
      </c>
      <c r="C329" s="20" t="s">
        <v>133</v>
      </c>
      <c r="D329" s="20" t="s">
        <v>1094</v>
      </c>
      <c r="E329" s="24"/>
      <c r="F329" s="6">
        <f t="shared" ref="F329" si="43">F330+F332</f>
        <v>274</v>
      </c>
    </row>
    <row r="330" spans="1:12" ht="31.5" x14ac:dyDescent="0.25">
      <c r="A330" s="25" t="s">
        <v>146</v>
      </c>
      <c r="B330" s="20" t="s">
        <v>249</v>
      </c>
      <c r="C330" s="20" t="s">
        <v>133</v>
      </c>
      <c r="D330" s="20" t="s">
        <v>1094</v>
      </c>
      <c r="E330" s="20" t="s">
        <v>147</v>
      </c>
      <c r="F330" s="6">
        <f t="shared" ref="F330" si="44">F331</f>
        <v>274</v>
      </c>
    </row>
    <row r="331" spans="1:12" ht="31.5" x14ac:dyDescent="0.25">
      <c r="A331" s="25" t="s">
        <v>148</v>
      </c>
      <c r="B331" s="20" t="s">
        <v>249</v>
      </c>
      <c r="C331" s="20" t="s">
        <v>133</v>
      </c>
      <c r="D331" s="20" t="s">
        <v>1094</v>
      </c>
      <c r="E331" s="20" t="s">
        <v>149</v>
      </c>
      <c r="F331" s="6">
        <f>'Пр.4 ведом.20'!G932</f>
        <v>274</v>
      </c>
    </row>
    <row r="332" spans="1:12" ht="15.75" hidden="1" x14ac:dyDescent="0.25">
      <c r="A332" s="25" t="s">
        <v>150</v>
      </c>
      <c r="B332" s="20" t="s">
        <v>249</v>
      </c>
      <c r="C332" s="20" t="s">
        <v>133</v>
      </c>
      <c r="D332" s="20" t="s">
        <v>1094</v>
      </c>
      <c r="E332" s="20" t="s">
        <v>160</v>
      </c>
      <c r="F332" s="6">
        <f t="shared" ref="F332" si="45">F333</f>
        <v>0</v>
      </c>
    </row>
    <row r="333" spans="1:12" ht="47.25" hidden="1" x14ac:dyDescent="0.25">
      <c r="A333" s="25" t="s">
        <v>199</v>
      </c>
      <c r="B333" s="20" t="s">
        <v>249</v>
      </c>
      <c r="C333" s="20" t="s">
        <v>133</v>
      </c>
      <c r="D333" s="20" t="s">
        <v>1094</v>
      </c>
      <c r="E333" s="20" t="s">
        <v>175</v>
      </c>
      <c r="F333" s="6">
        <f>'Пр.4 ведом.20'!G934</f>
        <v>0</v>
      </c>
    </row>
    <row r="334" spans="1:12" ht="31.5" x14ac:dyDescent="0.25">
      <c r="A334" s="29" t="s">
        <v>413</v>
      </c>
      <c r="B334" s="20" t="s">
        <v>249</v>
      </c>
      <c r="C334" s="20" t="s">
        <v>133</v>
      </c>
      <c r="D334" s="20" t="s">
        <v>1095</v>
      </c>
      <c r="E334" s="24"/>
      <c r="F334" s="6">
        <f t="shared" ref="F334:F335" si="46">F335</f>
        <v>4290.3999999999996</v>
      </c>
    </row>
    <row r="335" spans="1:12" ht="31.5" x14ac:dyDescent="0.25">
      <c r="A335" s="25" t="s">
        <v>146</v>
      </c>
      <c r="B335" s="20" t="s">
        <v>249</v>
      </c>
      <c r="C335" s="20" t="s">
        <v>133</v>
      </c>
      <c r="D335" s="20" t="s">
        <v>1095</v>
      </c>
      <c r="E335" s="20" t="s">
        <v>147</v>
      </c>
      <c r="F335" s="6">
        <f t="shared" si="46"/>
        <v>4290.3999999999996</v>
      </c>
    </row>
    <row r="336" spans="1:12" ht="31.5" x14ac:dyDescent="0.25">
      <c r="A336" s="25" t="s">
        <v>148</v>
      </c>
      <c r="B336" s="20" t="s">
        <v>249</v>
      </c>
      <c r="C336" s="20" t="s">
        <v>133</v>
      </c>
      <c r="D336" s="20" t="s">
        <v>1095</v>
      </c>
      <c r="E336" s="20" t="s">
        <v>149</v>
      </c>
      <c r="F336" s="6">
        <f>'Пр.4 ведом.20'!G530+'Пр.4 ведом.20'!G937</f>
        <v>4290.3999999999996</v>
      </c>
    </row>
    <row r="337" spans="1:8" ht="31.5" x14ac:dyDescent="0.25">
      <c r="A337" s="29" t="s">
        <v>1003</v>
      </c>
      <c r="B337" s="20" t="s">
        <v>249</v>
      </c>
      <c r="C337" s="20" t="s">
        <v>133</v>
      </c>
      <c r="D337" s="20" t="s">
        <v>1096</v>
      </c>
      <c r="E337" s="24"/>
      <c r="F337" s="6">
        <f>F338</f>
        <v>1910.6</v>
      </c>
    </row>
    <row r="338" spans="1:8" ht="31.5" x14ac:dyDescent="0.25">
      <c r="A338" s="25" t="s">
        <v>146</v>
      </c>
      <c r="B338" s="20" t="s">
        <v>249</v>
      </c>
      <c r="C338" s="20" t="s">
        <v>133</v>
      </c>
      <c r="D338" s="20" t="s">
        <v>1096</v>
      </c>
      <c r="E338" s="20" t="s">
        <v>147</v>
      </c>
      <c r="F338" s="6">
        <f>F339</f>
        <v>1910.6</v>
      </c>
    </row>
    <row r="339" spans="1:8" ht="31.5" x14ac:dyDescent="0.25">
      <c r="A339" s="25" t="s">
        <v>148</v>
      </c>
      <c r="B339" s="20" t="s">
        <v>249</v>
      </c>
      <c r="C339" s="20" t="s">
        <v>133</v>
      </c>
      <c r="D339" s="20" t="s">
        <v>1096</v>
      </c>
      <c r="E339" s="20" t="s">
        <v>149</v>
      </c>
      <c r="F339" s="6">
        <f>'Пр.4 ведом.20'!G940+'Пр.4 ведом.20'!G533</f>
        <v>1910.6</v>
      </c>
    </row>
    <row r="340" spans="1:8" ht="15.75" x14ac:dyDescent="0.25">
      <c r="A340" s="23" t="s">
        <v>532</v>
      </c>
      <c r="B340" s="24" t="s">
        <v>249</v>
      </c>
      <c r="C340" s="24" t="s">
        <v>228</v>
      </c>
      <c r="D340" s="24"/>
      <c r="E340" s="24"/>
      <c r="F340" s="4">
        <f>F373+F341+F402</f>
        <v>29308.400000000001</v>
      </c>
      <c r="H340" s="22"/>
    </row>
    <row r="341" spans="1:8" ht="15.75" x14ac:dyDescent="0.25">
      <c r="A341" s="23" t="s">
        <v>156</v>
      </c>
      <c r="B341" s="24" t="s">
        <v>249</v>
      </c>
      <c r="C341" s="24" t="s">
        <v>228</v>
      </c>
      <c r="D341" s="24" t="s">
        <v>910</v>
      </c>
      <c r="E341" s="24"/>
      <c r="F341" s="4">
        <f>F342+F356</f>
        <v>29179.4</v>
      </c>
    </row>
    <row r="342" spans="1:8" ht="33" customHeight="1" x14ac:dyDescent="0.25">
      <c r="A342" s="23" t="s">
        <v>914</v>
      </c>
      <c r="B342" s="24" t="s">
        <v>249</v>
      </c>
      <c r="C342" s="24" t="s">
        <v>228</v>
      </c>
      <c r="D342" s="24" t="s">
        <v>909</v>
      </c>
      <c r="E342" s="24"/>
      <c r="F342" s="4">
        <f>F343+F351</f>
        <v>6979.4</v>
      </c>
    </row>
    <row r="343" spans="1:8" ht="17.45" customHeight="1" x14ac:dyDescent="0.25">
      <c r="A343" s="35" t="s">
        <v>552</v>
      </c>
      <c r="B343" s="20" t="s">
        <v>249</v>
      </c>
      <c r="C343" s="20" t="s">
        <v>228</v>
      </c>
      <c r="D343" s="20" t="s">
        <v>1113</v>
      </c>
      <c r="E343" s="20"/>
      <c r="F343" s="6">
        <f>F344+F348+F346</f>
        <v>1279.3999999999999</v>
      </c>
    </row>
    <row r="344" spans="1:8" ht="35.450000000000003" hidden="1" customHeight="1" x14ac:dyDescent="0.25">
      <c r="A344" s="25" t="s">
        <v>146</v>
      </c>
      <c r="B344" s="20" t="s">
        <v>249</v>
      </c>
      <c r="C344" s="20" t="s">
        <v>228</v>
      </c>
      <c r="D344" s="20" t="s">
        <v>1113</v>
      </c>
      <c r="E344" s="20" t="s">
        <v>147</v>
      </c>
      <c r="F344" s="6">
        <f>F345</f>
        <v>0</v>
      </c>
    </row>
    <row r="345" spans="1:8" ht="31.5" hidden="1" x14ac:dyDescent="0.25">
      <c r="A345" s="25" t="s">
        <v>148</v>
      </c>
      <c r="B345" s="20" t="s">
        <v>249</v>
      </c>
      <c r="C345" s="20" t="s">
        <v>228</v>
      </c>
      <c r="D345" s="20" t="s">
        <v>1113</v>
      </c>
      <c r="E345" s="20" t="s">
        <v>149</v>
      </c>
      <c r="F345" s="6">
        <f>'Пр.4 ведом.20'!G946</f>
        <v>0</v>
      </c>
    </row>
    <row r="346" spans="1:8" s="221" customFormat="1" ht="31.5" x14ac:dyDescent="0.25">
      <c r="A346" s="25" t="s">
        <v>882</v>
      </c>
      <c r="B346" s="20" t="s">
        <v>249</v>
      </c>
      <c r="C346" s="20" t="s">
        <v>228</v>
      </c>
      <c r="D346" s="20" t="s">
        <v>1113</v>
      </c>
      <c r="E346" s="20" t="s">
        <v>881</v>
      </c>
      <c r="F346" s="6">
        <f>F347</f>
        <v>1271.5999999999999</v>
      </c>
    </row>
    <row r="347" spans="1:8" s="221" customFormat="1" ht="63" x14ac:dyDescent="0.25">
      <c r="A347" s="25" t="s">
        <v>1224</v>
      </c>
      <c r="B347" s="20" t="s">
        <v>249</v>
      </c>
      <c r="C347" s="20" t="s">
        <v>228</v>
      </c>
      <c r="D347" s="20" t="s">
        <v>1113</v>
      </c>
      <c r="E347" s="20" t="s">
        <v>1246</v>
      </c>
      <c r="F347" s="6">
        <f>'Пр.4 ведом.20'!G948</f>
        <v>1271.5999999999999</v>
      </c>
    </row>
    <row r="348" spans="1:8" ht="15.75" x14ac:dyDescent="0.25">
      <c r="A348" s="25" t="s">
        <v>150</v>
      </c>
      <c r="B348" s="20" t="s">
        <v>249</v>
      </c>
      <c r="C348" s="20" t="s">
        <v>228</v>
      </c>
      <c r="D348" s="20" t="s">
        <v>1113</v>
      </c>
      <c r="E348" s="20" t="s">
        <v>160</v>
      </c>
      <c r="F348" s="6">
        <f>F349+F350</f>
        <v>7.8</v>
      </c>
    </row>
    <row r="349" spans="1:8" ht="47.25" hidden="1" x14ac:dyDescent="0.25">
      <c r="A349" s="25" t="s">
        <v>199</v>
      </c>
      <c r="B349" s="20" t="s">
        <v>249</v>
      </c>
      <c r="C349" s="20" t="s">
        <v>228</v>
      </c>
      <c r="D349" s="20" t="s">
        <v>1113</v>
      </c>
      <c r="E349" s="20" t="s">
        <v>175</v>
      </c>
      <c r="F349" s="6">
        <f>'Пр.4 ведом.20'!G950</f>
        <v>0</v>
      </c>
    </row>
    <row r="350" spans="1:8" s="221" customFormat="1" ht="15.75" x14ac:dyDescent="0.25">
      <c r="A350" s="25" t="s">
        <v>1487</v>
      </c>
      <c r="B350" s="20" t="s">
        <v>249</v>
      </c>
      <c r="C350" s="20" t="s">
        <v>228</v>
      </c>
      <c r="D350" s="20" t="s">
        <v>1113</v>
      </c>
      <c r="E350" s="20" t="s">
        <v>162</v>
      </c>
      <c r="F350" s="6">
        <f>'Пр.4 ведом.20'!G951</f>
        <v>7.8</v>
      </c>
    </row>
    <row r="351" spans="1:8" ht="31.5" x14ac:dyDescent="0.25">
      <c r="A351" s="29" t="s">
        <v>1003</v>
      </c>
      <c r="B351" s="20" t="s">
        <v>249</v>
      </c>
      <c r="C351" s="20" t="s">
        <v>228</v>
      </c>
      <c r="D351" s="20" t="s">
        <v>1096</v>
      </c>
      <c r="E351" s="20"/>
      <c r="F351" s="6">
        <f>F352+F354</f>
        <v>5700</v>
      </c>
    </row>
    <row r="352" spans="1:8" ht="31.5" x14ac:dyDescent="0.25">
      <c r="A352" s="25" t="s">
        <v>146</v>
      </c>
      <c r="B352" s="20" t="s">
        <v>249</v>
      </c>
      <c r="C352" s="20" t="s">
        <v>228</v>
      </c>
      <c r="D352" s="20" t="s">
        <v>1096</v>
      </c>
      <c r="E352" s="20" t="s">
        <v>147</v>
      </c>
      <c r="F352" s="6">
        <f t="shared" ref="F352" si="47">F353</f>
        <v>5700</v>
      </c>
    </row>
    <row r="353" spans="1:6" ht="31.5" x14ac:dyDescent="0.25">
      <c r="A353" s="25" t="s">
        <v>148</v>
      </c>
      <c r="B353" s="20" t="s">
        <v>249</v>
      </c>
      <c r="C353" s="20" t="s">
        <v>228</v>
      </c>
      <c r="D353" s="20" t="s">
        <v>1096</v>
      </c>
      <c r="E353" s="20" t="s">
        <v>149</v>
      </c>
      <c r="F353" s="6">
        <f>'Пр.4 ведом.20'!G954</f>
        <v>5700</v>
      </c>
    </row>
    <row r="354" spans="1:6" ht="15.75" hidden="1" x14ac:dyDescent="0.25">
      <c r="A354" s="25" t="s">
        <v>150</v>
      </c>
      <c r="B354" s="20" t="s">
        <v>249</v>
      </c>
      <c r="C354" s="20" t="s">
        <v>228</v>
      </c>
      <c r="D354" s="20" t="s">
        <v>1096</v>
      </c>
      <c r="E354" s="20" t="s">
        <v>160</v>
      </c>
      <c r="F354" s="6">
        <f>F355</f>
        <v>0</v>
      </c>
    </row>
    <row r="355" spans="1:6" ht="15.75" hidden="1" x14ac:dyDescent="0.25">
      <c r="A355" s="25" t="s">
        <v>161</v>
      </c>
      <c r="B355" s="20" t="s">
        <v>249</v>
      </c>
      <c r="C355" s="20" t="s">
        <v>228</v>
      </c>
      <c r="D355" s="20" t="s">
        <v>1096</v>
      </c>
      <c r="E355" s="20" t="s">
        <v>162</v>
      </c>
      <c r="F355" s="6">
        <f>'Пр.4 ведом.20'!G956</f>
        <v>0</v>
      </c>
    </row>
    <row r="356" spans="1:6" ht="47.25" x14ac:dyDescent="0.25">
      <c r="A356" s="23" t="s">
        <v>1169</v>
      </c>
      <c r="B356" s="24" t="s">
        <v>249</v>
      </c>
      <c r="C356" s="24" t="s">
        <v>228</v>
      </c>
      <c r="D356" s="24" t="s">
        <v>1114</v>
      </c>
      <c r="E356" s="24"/>
      <c r="F356" s="4">
        <f>F357+F362+F365+F370</f>
        <v>22200</v>
      </c>
    </row>
    <row r="357" spans="1:6" ht="47.25" x14ac:dyDescent="0.25">
      <c r="A357" s="25" t="s">
        <v>871</v>
      </c>
      <c r="B357" s="20" t="s">
        <v>249</v>
      </c>
      <c r="C357" s="20" t="s">
        <v>228</v>
      </c>
      <c r="D357" s="20" t="s">
        <v>1115</v>
      </c>
      <c r="E357" s="20"/>
      <c r="F357" s="6">
        <f>F358+F360</f>
        <v>22200</v>
      </c>
    </row>
    <row r="358" spans="1:6" ht="31.5" x14ac:dyDescent="0.25">
      <c r="A358" s="25" t="s">
        <v>146</v>
      </c>
      <c r="B358" s="20" t="s">
        <v>249</v>
      </c>
      <c r="C358" s="20" t="s">
        <v>228</v>
      </c>
      <c r="D358" s="20" t="s">
        <v>1115</v>
      </c>
      <c r="E358" s="20" t="s">
        <v>147</v>
      </c>
      <c r="F358" s="6">
        <f>F359</f>
        <v>22200</v>
      </c>
    </row>
    <row r="359" spans="1:6" ht="31.5" x14ac:dyDescent="0.25">
      <c r="A359" s="25" t="s">
        <v>148</v>
      </c>
      <c r="B359" s="20" t="s">
        <v>249</v>
      </c>
      <c r="C359" s="20" t="s">
        <v>228</v>
      </c>
      <c r="D359" s="20" t="s">
        <v>1115</v>
      </c>
      <c r="E359" s="20" t="s">
        <v>149</v>
      </c>
      <c r="F359" s="6">
        <f>'Пр.4 ведом.20'!G960</f>
        <v>22200</v>
      </c>
    </row>
    <row r="360" spans="1:6" ht="15.75" hidden="1" x14ac:dyDescent="0.25">
      <c r="A360" s="25" t="s">
        <v>150</v>
      </c>
      <c r="B360" s="20" t="s">
        <v>249</v>
      </c>
      <c r="C360" s="20" t="s">
        <v>228</v>
      </c>
      <c r="D360" s="20" t="s">
        <v>1115</v>
      </c>
      <c r="E360" s="20" t="s">
        <v>881</v>
      </c>
      <c r="F360" s="6">
        <f>F361</f>
        <v>0</v>
      </c>
    </row>
    <row r="361" spans="1:6" ht="15.75" hidden="1" x14ac:dyDescent="0.25">
      <c r="A361" s="25" t="s">
        <v>583</v>
      </c>
      <c r="B361" s="20" t="s">
        <v>249</v>
      </c>
      <c r="C361" s="20" t="s">
        <v>228</v>
      </c>
      <c r="D361" s="20" t="s">
        <v>1115</v>
      </c>
      <c r="E361" s="20" t="s">
        <v>1246</v>
      </c>
      <c r="F361" s="6">
        <f>'Пр.4 ведом.20'!G962</f>
        <v>0</v>
      </c>
    </row>
    <row r="362" spans="1:6" ht="49.7" hidden="1" customHeight="1" x14ac:dyDescent="0.25">
      <c r="A362" s="25" t="s">
        <v>822</v>
      </c>
      <c r="B362" s="20" t="s">
        <v>249</v>
      </c>
      <c r="C362" s="20" t="s">
        <v>228</v>
      </c>
      <c r="D362" s="20" t="s">
        <v>1116</v>
      </c>
      <c r="E362" s="20"/>
      <c r="F362" s="6">
        <f>F363</f>
        <v>0</v>
      </c>
    </row>
    <row r="363" spans="1:6" ht="31.5" hidden="1" x14ac:dyDescent="0.25">
      <c r="A363" s="25" t="s">
        <v>146</v>
      </c>
      <c r="B363" s="20" t="s">
        <v>249</v>
      </c>
      <c r="C363" s="20" t="s">
        <v>228</v>
      </c>
      <c r="D363" s="20" t="s">
        <v>1116</v>
      </c>
      <c r="E363" s="20" t="s">
        <v>147</v>
      </c>
      <c r="F363" s="6">
        <f>F364</f>
        <v>0</v>
      </c>
    </row>
    <row r="364" spans="1:6" ht="31.5" hidden="1" x14ac:dyDescent="0.25">
      <c r="A364" s="25" t="s">
        <v>148</v>
      </c>
      <c r="B364" s="20" t="s">
        <v>249</v>
      </c>
      <c r="C364" s="20" t="s">
        <v>228</v>
      </c>
      <c r="D364" s="20" t="s">
        <v>1116</v>
      </c>
      <c r="E364" s="20" t="s">
        <v>149</v>
      </c>
      <c r="F364" s="6">
        <f>'Пр.4 ведом.20'!G965</f>
        <v>0</v>
      </c>
    </row>
    <row r="365" spans="1:6" ht="47.25" hidden="1" x14ac:dyDescent="0.25">
      <c r="A365" s="98" t="s">
        <v>877</v>
      </c>
      <c r="B365" s="20" t="s">
        <v>249</v>
      </c>
      <c r="C365" s="20" t="s">
        <v>228</v>
      </c>
      <c r="D365" s="20" t="s">
        <v>1117</v>
      </c>
      <c r="E365" s="20"/>
      <c r="F365" s="6">
        <f>F366+F368</f>
        <v>0</v>
      </c>
    </row>
    <row r="366" spans="1:6" ht="31.5" hidden="1" x14ac:dyDescent="0.25">
      <c r="A366" s="25" t="s">
        <v>882</v>
      </c>
      <c r="B366" s="20" t="s">
        <v>249</v>
      </c>
      <c r="C366" s="20" t="s">
        <v>228</v>
      </c>
      <c r="D366" s="20" t="s">
        <v>1117</v>
      </c>
      <c r="E366" s="20" t="s">
        <v>881</v>
      </c>
      <c r="F366" s="6">
        <f>F367</f>
        <v>0</v>
      </c>
    </row>
    <row r="367" spans="1:6" ht="31.7" hidden="1" customHeight="1" x14ac:dyDescent="0.25">
      <c r="A367" s="25" t="s">
        <v>1224</v>
      </c>
      <c r="B367" s="20" t="s">
        <v>249</v>
      </c>
      <c r="C367" s="20" t="s">
        <v>228</v>
      </c>
      <c r="D367" s="20" t="s">
        <v>1117</v>
      </c>
      <c r="E367" s="20" t="s">
        <v>1246</v>
      </c>
      <c r="F367" s="6">
        <f>'Пр.4 ведом.20'!G968</f>
        <v>0</v>
      </c>
    </row>
    <row r="368" spans="1:6" ht="21.2" hidden="1" customHeight="1" x14ac:dyDescent="0.25">
      <c r="A368" s="25" t="s">
        <v>150</v>
      </c>
      <c r="B368" s="20" t="s">
        <v>249</v>
      </c>
      <c r="C368" s="20" t="s">
        <v>228</v>
      </c>
      <c r="D368" s="20" t="s">
        <v>1117</v>
      </c>
      <c r="E368" s="20" t="s">
        <v>160</v>
      </c>
      <c r="F368" s="6">
        <f>F369</f>
        <v>0</v>
      </c>
    </row>
    <row r="369" spans="1:6" ht="21.75" hidden="1" customHeight="1" x14ac:dyDescent="0.25">
      <c r="A369" s="25" t="s">
        <v>725</v>
      </c>
      <c r="B369" s="20" t="s">
        <v>249</v>
      </c>
      <c r="C369" s="20" t="s">
        <v>228</v>
      </c>
      <c r="D369" s="20" t="s">
        <v>1117</v>
      </c>
      <c r="E369" s="20" t="s">
        <v>153</v>
      </c>
      <c r="F369" s="6">
        <f>'Пр.4 ведом.20'!G970</f>
        <v>0</v>
      </c>
    </row>
    <row r="370" spans="1:6" ht="31.5" hidden="1" x14ac:dyDescent="0.25">
      <c r="A370" s="25" t="s">
        <v>1247</v>
      </c>
      <c r="B370" s="20" t="s">
        <v>249</v>
      </c>
      <c r="C370" s="20" t="s">
        <v>228</v>
      </c>
      <c r="D370" s="20" t="s">
        <v>1248</v>
      </c>
      <c r="E370" s="20"/>
      <c r="F370" s="6">
        <f t="shared" ref="F370:F371" si="48">F371</f>
        <v>0</v>
      </c>
    </row>
    <row r="371" spans="1:6" ht="31.5" hidden="1" x14ac:dyDescent="0.25">
      <c r="A371" s="25" t="s">
        <v>146</v>
      </c>
      <c r="B371" s="20" t="s">
        <v>249</v>
      </c>
      <c r="C371" s="20" t="s">
        <v>228</v>
      </c>
      <c r="D371" s="20" t="s">
        <v>1248</v>
      </c>
      <c r="E371" s="20" t="s">
        <v>147</v>
      </c>
      <c r="F371" s="6">
        <f t="shared" si="48"/>
        <v>0</v>
      </c>
    </row>
    <row r="372" spans="1:6" ht="31.5" hidden="1" x14ac:dyDescent="0.25">
      <c r="A372" s="25" t="s">
        <v>148</v>
      </c>
      <c r="B372" s="20" t="s">
        <v>249</v>
      </c>
      <c r="C372" s="20" t="s">
        <v>228</v>
      </c>
      <c r="D372" s="20" t="s">
        <v>1248</v>
      </c>
      <c r="E372" s="20" t="s">
        <v>149</v>
      </c>
      <c r="F372" s="6">
        <f>'Пр.4 ведом.20'!G973</f>
        <v>0</v>
      </c>
    </row>
    <row r="373" spans="1:6" ht="63" x14ac:dyDescent="0.25">
      <c r="A373" s="23" t="s">
        <v>1176</v>
      </c>
      <c r="B373" s="24" t="s">
        <v>249</v>
      </c>
      <c r="C373" s="24" t="s">
        <v>228</v>
      </c>
      <c r="D373" s="24" t="s">
        <v>533</v>
      </c>
      <c r="E373" s="24"/>
      <c r="F373" s="4">
        <f>F374+F378+F382+F386+F390+F394+F398</f>
        <v>129</v>
      </c>
    </row>
    <row r="374" spans="1:6" ht="31.5" hidden="1" x14ac:dyDescent="0.25">
      <c r="A374" s="23" t="s">
        <v>1097</v>
      </c>
      <c r="B374" s="24" t="s">
        <v>249</v>
      </c>
      <c r="C374" s="24" t="s">
        <v>228</v>
      </c>
      <c r="D374" s="24" t="s">
        <v>1099</v>
      </c>
      <c r="E374" s="24"/>
      <c r="F374" s="4">
        <f>F375</f>
        <v>0</v>
      </c>
    </row>
    <row r="375" spans="1:6" ht="15.75" hidden="1" x14ac:dyDescent="0.25">
      <c r="A375" s="45" t="s">
        <v>1098</v>
      </c>
      <c r="B375" s="40" t="s">
        <v>249</v>
      </c>
      <c r="C375" s="40" t="s">
        <v>228</v>
      </c>
      <c r="D375" s="20" t="s">
        <v>1100</v>
      </c>
      <c r="E375" s="40"/>
      <c r="F375" s="6">
        <f t="shared" ref="F375:F376" si="49">F376</f>
        <v>0</v>
      </c>
    </row>
    <row r="376" spans="1:6" ht="31.5" hidden="1" x14ac:dyDescent="0.25">
      <c r="A376" s="31" t="s">
        <v>146</v>
      </c>
      <c r="B376" s="40" t="s">
        <v>249</v>
      </c>
      <c r="C376" s="40" t="s">
        <v>228</v>
      </c>
      <c r="D376" s="20" t="s">
        <v>1100</v>
      </c>
      <c r="E376" s="40" t="s">
        <v>147</v>
      </c>
      <c r="F376" s="6">
        <f t="shared" si="49"/>
        <v>0</v>
      </c>
    </row>
    <row r="377" spans="1:6" ht="31.5" hidden="1" x14ac:dyDescent="0.25">
      <c r="A377" s="31" t="s">
        <v>148</v>
      </c>
      <c r="B377" s="40" t="s">
        <v>249</v>
      </c>
      <c r="C377" s="40" t="s">
        <v>228</v>
      </c>
      <c r="D377" s="20" t="s">
        <v>1100</v>
      </c>
      <c r="E377" s="40" t="s">
        <v>149</v>
      </c>
      <c r="F377" s="6">
        <f>'Пр.4 ведом.20'!G978</f>
        <v>0</v>
      </c>
    </row>
    <row r="378" spans="1:6" ht="31.5" x14ac:dyDescent="0.25">
      <c r="A378" s="34" t="s">
        <v>1101</v>
      </c>
      <c r="B378" s="7" t="s">
        <v>249</v>
      </c>
      <c r="C378" s="7" t="s">
        <v>228</v>
      </c>
      <c r="D378" s="24" t="s">
        <v>1102</v>
      </c>
      <c r="E378" s="7"/>
      <c r="F378" s="4">
        <f>F379</f>
        <v>85</v>
      </c>
    </row>
    <row r="379" spans="1:6" ht="15.75" x14ac:dyDescent="0.25">
      <c r="A379" s="45" t="s">
        <v>538</v>
      </c>
      <c r="B379" s="40" t="s">
        <v>249</v>
      </c>
      <c r="C379" s="40" t="s">
        <v>228</v>
      </c>
      <c r="D379" s="20" t="s">
        <v>1105</v>
      </c>
      <c r="E379" s="40"/>
      <c r="F379" s="6">
        <f>F380</f>
        <v>85</v>
      </c>
    </row>
    <row r="380" spans="1:6" ht="31.5" x14ac:dyDescent="0.25">
      <c r="A380" s="31" t="s">
        <v>146</v>
      </c>
      <c r="B380" s="40" t="s">
        <v>249</v>
      </c>
      <c r="C380" s="40" t="s">
        <v>228</v>
      </c>
      <c r="D380" s="20" t="s">
        <v>1105</v>
      </c>
      <c r="E380" s="40" t="s">
        <v>147</v>
      </c>
      <c r="F380" s="6">
        <f>F381</f>
        <v>85</v>
      </c>
    </row>
    <row r="381" spans="1:6" ht="31.5" x14ac:dyDescent="0.25">
      <c r="A381" s="31" t="s">
        <v>148</v>
      </c>
      <c r="B381" s="40" t="s">
        <v>249</v>
      </c>
      <c r="C381" s="40" t="s">
        <v>228</v>
      </c>
      <c r="D381" s="20" t="s">
        <v>1105</v>
      </c>
      <c r="E381" s="40" t="s">
        <v>149</v>
      </c>
      <c r="F381" s="6">
        <f>'Пр.4 ведом.20'!G982</f>
        <v>85</v>
      </c>
    </row>
    <row r="382" spans="1:6" ht="31.5" hidden="1" x14ac:dyDescent="0.25">
      <c r="A382" s="58" t="s">
        <v>1103</v>
      </c>
      <c r="B382" s="7" t="s">
        <v>249</v>
      </c>
      <c r="C382" s="7" t="s">
        <v>228</v>
      </c>
      <c r="D382" s="24" t="s">
        <v>1104</v>
      </c>
      <c r="E382" s="7"/>
      <c r="F382" s="4">
        <f>F383</f>
        <v>0</v>
      </c>
    </row>
    <row r="383" spans="1:6" ht="15.75" hidden="1" x14ac:dyDescent="0.25">
      <c r="A383" s="45" t="s">
        <v>540</v>
      </c>
      <c r="B383" s="40" t="s">
        <v>249</v>
      </c>
      <c r="C383" s="40" t="s">
        <v>228</v>
      </c>
      <c r="D383" s="20" t="s">
        <v>1106</v>
      </c>
      <c r="E383" s="40"/>
      <c r="F383" s="6">
        <f>F384</f>
        <v>0</v>
      </c>
    </row>
    <row r="384" spans="1:6" ht="31.5" hidden="1" x14ac:dyDescent="0.25">
      <c r="A384" s="31" t="s">
        <v>146</v>
      </c>
      <c r="B384" s="40" t="s">
        <v>249</v>
      </c>
      <c r="C384" s="40" t="s">
        <v>228</v>
      </c>
      <c r="D384" s="20" t="s">
        <v>1106</v>
      </c>
      <c r="E384" s="40" t="s">
        <v>147</v>
      </c>
      <c r="F384" s="6">
        <f>F385</f>
        <v>0</v>
      </c>
    </row>
    <row r="385" spans="1:6" ht="31.5" hidden="1" x14ac:dyDescent="0.25">
      <c r="A385" s="31" t="s">
        <v>148</v>
      </c>
      <c r="B385" s="40" t="s">
        <v>249</v>
      </c>
      <c r="C385" s="40" t="s">
        <v>228</v>
      </c>
      <c r="D385" s="20" t="s">
        <v>1106</v>
      </c>
      <c r="E385" s="40" t="s">
        <v>149</v>
      </c>
      <c r="F385" s="6">
        <f>'Пр.4 ведом.20'!G986</f>
        <v>0</v>
      </c>
    </row>
    <row r="386" spans="1:6" ht="31.5" x14ac:dyDescent="0.25">
      <c r="A386" s="58" t="s">
        <v>1107</v>
      </c>
      <c r="B386" s="7" t="s">
        <v>249</v>
      </c>
      <c r="C386" s="7" t="s">
        <v>228</v>
      </c>
      <c r="D386" s="24" t="s">
        <v>1108</v>
      </c>
      <c r="E386" s="7"/>
      <c r="F386" s="4">
        <f>F387</f>
        <v>44</v>
      </c>
    </row>
    <row r="387" spans="1:6" ht="15.75" x14ac:dyDescent="0.25">
      <c r="A387" s="45" t="s">
        <v>542</v>
      </c>
      <c r="B387" s="40" t="s">
        <v>249</v>
      </c>
      <c r="C387" s="40" t="s">
        <v>228</v>
      </c>
      <c r="D387" s="20" t="s">
        <v>1109</v>
      </c>
      <c r="E387" s="40"/>
      <c r="F387" s="6">
        <f>F388</f>
        <v>44</v>
      </c>
    </row>
    <row r="388" spans="1:6" ht="31.5" x14ac:dyDescent="0.25">
      <c r="A388" s="31" t="s">
        <v>146</v>
      </c>
      <c r="B388" s="40" t="s">
        <v>249</v>
      </c>
      <c r="C388" s="40" t="s">
        <v>228</v>
      </c>
      <c r="D388" s="20" t="s">
        <v>1109</v>
      </c>
      <c r="E388" s="40" t="s">
        <v>147</v>
      </c>
      <c r="F388" s="6">
        <f>F389</f>
        <v>44</v>
      </c>
    </row>
    <row r="389" spans="1:6" ht="31.5" x14ac:dyDescent="0.25">
      <c r="A389" s="31" t="s">
        <v>148</v>
      </c>
      <c r="B389" s="40" t="s">
        <v>249</v>
      </c>
      <c r="C389" s="40" t="s">
        <v>228</v>
      </c>
      <c r="D389" s="20" t="s">
        <v>1109</v>
      </c>
      <c r="E389" s="40" t="s">
        <v>149</v>
      </c>
      <c r="F389" s="6">
        <f>'Пр.4 ведом.20'!G990</f>
        <v>44</v>
      </c>
    </row>
    <row r="390" spans="1:6" ht="31.5" hidden="1" x14ac:dyDescent="0.25">
      <c r="A390" s="34" t="s">
        <v>1170</v>
      </c>
      <c r="B390" s="7" t="s">
        <v>249</v>
      </c>
      <c r="C390" s="7" t="s">
        <v>228</v>
      </c>
      <c r="D390" s="24" t="s">
        <v>1171</v>
      </c>
      <c r="E390" s="7"/>
      <c r="F390" s="4">
        <f>F391</f>
        <v>0</v>
      </c>
    </row>
    <row r="391" spans="1:6" ht="18" hidden="1" customHeight="1" x14ac:dyDescent="0.25">
      <c r="A391" s="45" t="s">
        <v>544</v>
      </c>
      <c r="B391" s="40" t="s">
        <v>249</v>
      </c>
      <c r="C391" s="40" t="s">
        <v>228</v>
      </c>
      <c r="D391" s="20" t="s">
        <v>1174</v>
      </c>
      <c r="E391" s="40"/>
      <c r="F391" s="6">
        <f>F392</f>
        <v>0</v>
      </c>
    </row>
    <row r="392" spans="1:6" ht="31.5" hidden="1" x14ac:dyDescent="0.25">
      <c r="A392" s="31" t="s">
        <v>146</v>
      </c>
      <c r="B392" s="40" t="s">
        <v>249</v>
      </c>
      <c r="C392" s="40" t="s">
        <v>228</v>
      </c>
      <c r="D392" s="20" t="s">
        <v>1174</v>
      </c>
      <c r="E392" s="40" t="s">
        <v>147</v>
      </c>
      <c r="F392" s="6">
        <f>F393</f>
        <v>0</v>
      </c>
    </row>
    <row r="393" spans="1:6" ht="31.5" hidden="1" x14ac:dyDescent="0.25">
      <c r="A393" s="31" t="s">
        <v>148</v>
      </c>
      <c r="B393" s="40" t="s">
        <v>249</v>
      </c>
      <c r="C393" s="40" t="s">
        <v>228</v>
      </c>
      <c r="D393" s="20" t="s">
        <v>1174</v>
      </c>
      <c r="E393" s="40" t="s">
        <v>149</v>
      </c>
      <c r="F393" s="6">
        <f>'Пр.4 ведом.20'!G994</f>
        <v>0</v>
      </c>
    </row>
    <row r="394" spans="1:6" ht="31.5" hidden="1" x14ac:dyDescent="0.25">
      <c r="A394" s="247" t="s">
        <v>1172</v>
      </c>
      <c r="B394" s="7" t="s">
        <v>249</v>
      </c>
      <c r="C394" s="7" t="s">
        <v>228</v>
      </c>
      <c r="D394" s="24" t="s">
        <v>1173</v>
      </c>
      <c r="E394" s="7"/>
      <c r="F394" s="4">
        <f>F395</f>
        <v>0</v>
      </c>
    </row>
    <row r="395" spans="1:6" ht="31.5" hidden="1" x14ac:dyDescent="0.25">
      <c r="A395" s="178" t="s">
        <v>546</v>
      </c>
      <c r="B395" s="40" t="s">
        <v>249</v>
      </c>
      <c r="C395" s="40" t="s">
        <v>228</v>
      </c>
      <c r="D395" s="20" t="s">
        <v>1175</v>
      </c>
      <c r="E395" s="40"/>
      <c r="F395" s="6">
        <f>F396</f>
        <v>0</v>
      </c>
    </row>
    <row r="396" spans="1:6" ht="31.5" hidden="1" x14ac:dyDescent="0.25">
      <c r="A396" s="31" t="s">
        <v>146</v>
      </c>
      <c r="B396" s="40" t="s">
        <v>249</v>
      </c>
      <c r="C396" s="40" t="s">
        <v>228</v>
      </c>
      <c r="D396" s="20" t="s">
        <v>1175</v>
      </c>
      <c r="E396" s="40" t="s">
        <v>147</v>
      </c>
      <c r="F396" s="6">
        <f>F397</f>
        <v>0</v>
      </c>
    </row>
    <row r="397" spans="1:6" ht="31.5" hidden="1" x14ac:dyDescent="0.25">
      <c r="A397" s="31" t="s">
        <v>148</v>
      </c>
      <c r="B397" s="40" t="s">
        <v>249</v>
      </c>
      <c r="C397" s="40" t="s">
        <v>228</v>
      </c>
      <c r="D397" s="20" t="s">
        <v>1175</v>
      </c>
      <c r="E397" s="40" t="s">
        <v>149</v>
      </c>
      <c r="F397" s="6">
        <f>'Пр.4 ведом.20'!G998</f>
        <v>0</v>
      </c>
    </row>
    <row r="398" spans="1:6" ht="31.5" hidden="1" x14ac:dyDescent="0.25">
      <c r="A398" s="247" t="s">
        <v>1111</v>
      </c>
      <c r="B398" s="7" t="s">
        <v>249</v>
      </c>
      <c r="C398" s="7" t="s">
        <v>228</v>
      </c>
      <c r="D398" s="24" t="s">
        <v>1112</v>
      </c>
      <c r="E398" s="7"/>
      <c r="F398" s="4">
        <f>F399</f>
        <v>0</v>
      </c>
    </row>
    <row r="399" spans="1:6" ht="15.75" hidden="1" x14ac:dyDescent="0.25">
      <c r="A399" s="178" t="s">
        <v>548</v>
      </c>
      <c r="B399" s="40" t="s">
        <v>249</v>
      </c>
      <c r="C399" s="40" t="s">
        <v>228</v>
      </c>
      <c r="D399" s="20" t="s">
        <v>1110</v>
      </c>
      <c r="E399" s="40"/>
      <c r="F399" s="6">
        <f>F400</f>
        <v>0</v>
      </c>
    </row>
    <row r="400" spans="1:6" ht="31.5" hidden="1" x14ac:dyDescent="0.25">
      <c r="A400" s="25" t="s">
        <v>146</v>
      </c>
      <c r="B400" s="40" t="s">
        <v>249</v>
      </c>
      <c r="C400" s="40" t="s">
        <v>228</v>
      </c>
      <c r="D400" s="20" t="s">
        <v>1110</v>
      </c>
      <c r="E400" s="40" t="s">
        <v>147</v>
      </c>
      <c r="F400" s="6">
        <f>F401</f>
        <v>0</v>
      </c>
    </row>
    <row r="401" spans="1:8" s="221" customFormat="1" ht="31.5" hidden="1" x14ac:dyDescent="0.25">
      <c r="A401" s="25" t="s">
        <v>148</v>
      </c>
      <c r="B401" s="40" t="s">
        <v>249</v>
      </c>
      <c r="C401" s="40" t="s">
        <v>228</v>
      </c>
      <c r="D401" s="20" t="s">
        <v>1110</v>
      </c>
      <c r="E401" s="40" t="s">
        <v>149</v>
      </c>
      <c r="F401" s="6">
        <f>'Пр.4 ведом.20'!G1002</f>
        <v>0</v>
      </c>
    </row>
    <row r="402" spans="1:8" s="221" customFormat="1" ht="47.25" hidden="1" x14ac:dyDescent="0.25">
      <c r="A402" s="23" t="s">
        <v>1367</v>
      </c>
      <c r="B402" s="7" t="s">
        <v>249</v>
      </c>
      <c r="C402" s="7" t="s">
        <v>228</v>
      </c>
      <c r="D402" s="24" t="s">
        <v>1366</v>
      </c>
      <c r="E402" s="7"/>
      <c r="F402" s="4">
        <f>F403</f>
        <v>0</v>
      </c>
    </row>
    <row r="403" spans="1:8" s="221" customFormat="1" ht="31.5" hidden="1" x14ac:dyDescent="0.25">
      <c r="A403" s="23" t="s">
        <v>1368</v>
      </c>
      <c r="B403" s="7" t="s">
        <v>249</v>
      </c>
      <c r="C403" s="7" t="s">
        <v>228</v>
      </c>
      <c r="D403" s="24" t="s">
        <v>1369</v>
      </c>
      <c r="E403" s="7"/>
      <c r="F403" s="4">
        <f>F404</f>
        <v>0</v>
      </c>
    </row>
    <row r="404" spans="1:8" s="221" customFormat="1" ht="15.75" hidden="1" x14ac:dyDescent="0.25">
      <c r="A404" s="25" t="s">
        <v>552</v>
      </c>
      <c r="B404" s="40" t="s">
        <v>249</v>
      </c>
      <c r="C404" s="40" t="s">
        <v>228</v>
      </c>
      <c r="D404" s="20" t="s">
        <v>1370</v>
      </c>
      <c r="E404" s="40"/>
      <c r="F404" s="6">
        <f>F405</f>
        <v>0</v>
      </c>
    </row>
    <row r="405" spans="1:8" s="221" customFormat="1" ht="31.5" hidden="1" x14ac:dyDescent="0.25">
      <c r="A405" s="25" t="s">
        <v>146</v>
      </c>
      <c r="B405" s="40" t="s">
        <v>249</v>
      </c>
      <c r="C405" s="40" t="s">
        <v>228</v>
      </c>
      <c r="D405" s="20" t="s">
        <v>1370</v>
      </c>
      <c r="E405" s="40" t="s">
        <v>147</v>
      </c>
      <c r="F405" s="6">
        <f>F406</f>
        <v>0</v>
      </c>
    </row>
    <row r="406" spans="1:8" s="221" customFormat="1" ht="31.5" hidden="1" x14ac:dyDescent="0.25">
      <c r="A406" s="25" t="s">
        <v>148</v>
      </c>
      <c r="B406" s="40" t="s">
        <v>249</v>
      </c>
      <c r="C406" s="40" t="s">
        <v>228</v>
      </c>
      <c r="D406" s="20" t="s">
        <v>1370</v>
      </c>
      <c r="E406" s="40" t="s">
        <v>149</v>
      </c>
      <c r="F406" s="6">
        <f>'Пр.4 ведом.20'!G1007</f>
        <v>0</v>
      </c>
    </row>
    <row r="407" spans="1:8" ht="15.75" x14ac:dyDescent="0.25">
      <c r="A407" s="41" t="s">
        <v>556</v>
      </c>
      <c r="B407" s="7" t="s">
        <v>249</v>
      </c>
      <c r="C407" s="7" t="s">
        <v>230</v>
      </c>
      <c r="D407" s="7"/>
      <c r="E407" s="7"/>
      <c r="F407" s="4">
        <f>F408+F413+F451</f>
        <v>3859.3</v>
      </c>
      <c r="H407" s="22"/>
    </row>
    <row r="408" spans="1:8" s="221" customFormat="1" ht="15.75" x14ac:dyDescent="0.25">
      <c r="A408" s="23" t="s">
        <v>156</v>
      </c>
      <c r="B408" s="24" t="s">
        <v>249</v>
      </c>
      <c r="C408" s="24" t="s">
        <v>230</v>
      </c>
      <c r="D408" s="24" t="s">
        <v>910</v>
      </c>
      <c r="E408" s="24"/>
      <c r="F408" s="4">
        <f>F409</f>
        <v>390</v>
      </c>
      <c r="H408" s="22"/>
    </row>
    <row r="409" spans="1:8" s="221" customFormat="1" ht="31.5" x14ac:dyDescent="0.25">
      <c r="A409" s="23" t="s">
        <v>914</v>
      </c>
      <c r="B409" s="24" t="s">
        <v>249</v>
      </c>
      <c r="C409" s="24" t="s">
        <v>230</v>
      </c>
      <c r="D409" s="24" t="s">
        <v>909</v>
      </c>
      <c r="E409" s="24"/>
      <c r="F409" s="4">
        <f>F410</f>
        <v>390</v>
      </c>
      <c r="H409" s="22"/>
    </row>
    <row r="410" spans="1:8" s="221" customFormat="1" ht="15.75" x14ac:dyDescent="0.25">
      <c r="A410" s="25" t="s">
        <v>579</v>
      </c>
      <c r="B410" s="20" t="s">
        <v>249</v>
      </c>
      <c r="C410" s="20" t="s">
        <v>230</v>
      </c>
      <c r="D410" s="20" t="s">
        <v>1261</v>
      </c>
      <c r="E410" s="20"/>
      <c r="F410" s="6">
        <f>F411</f>
        <v>390</v>
      </c>
      <c r="H410" s="22"/>
    </row>
    <row r="411" spans="1:8" s="221" customFormat="1" ht="31.5" x14ac:dyDescent="0.25">
      <c r="A411" s="25" t="s">
        <v>146</v>
      </c>
      <c r="B411" s="20" t="s">
        <v>249</v>
      </c>
      <c r="C411" s="20" t="s">
        <v>230</v>
      </c>
      <c r="D411" s="20" t="s">
        <v>1261</v>
      </c>
      <c r="E411" s="20" t="s">
        <v>147</v>
      </c>
      <c r="F411" s="6">
        <f>F412</f>
        <v>390</v>
      </c>
      <c r="H411" s="22"/>
    </row>
    <row r="412" spans="1:8" s="221" customFormat="1" ht="31.5" x14ac:dyDescent="0.25">
      <c r="A412" s="25" t="s">
        <v>148</v>
      </c>
      <c r="B412" s="20" t="s">
        <v>249</v>
      </c>
      <c r="C412" s="20" t="s">
        <v>230</v>
      </c>
      <c r="D412" s="20" t="s">
        <v>1261</v>
      </c>
      <c r="E412" s="20" t="s">
        <v>149</v>
      </c>
      <c r="F412" s="6">
        <f>'Пр.4 ведом.20'!G1013</f>
        <v>390</v>
      </c>
      <c r="H412" s="22"/>
    </row>
    <row r="413" spans="1:8" ht="48.2" customHeight="1" x14ac:dyDescent="0.25">
      <c r="A413" s="23" t="s">
        <v>557</v>
      </c>
      <c r="B413" s="7" t="s">
        <v>249</v>
      </c>
      <c r="C413" s="7" t="s">
        <v>230</v>
      </c>
      <c r="D413" s="7" t="s">
        <v>558</v>
      </c>
      <c r="E413" s="7"/>
      <c r="F413" s="4">
        <f t="shared" ref="F413" si="50">F414+F428</f>
        <v>3068.3</v>
      </c>
    </row>
    <row r="414" spans="1:8" ht="47.25" x14ac:dyDescent="0.25">
      <c r="A414" s="23" t="s">
        <v>559</v>
      </c>
      <c r="B414" s="24" t="s">
        <v>249</v>
      </c>
      <c r="C414" s="24" t="s">
        <v>230</v>
      </c>
      <c r="D414" s="24" t="s">
        <v>560</v>
      </c>
      <c r="E414" s="24"/>
      <c r="F414" s="4">
        <f>F415</f>
        <v>763.8</v>
      </c>
    </row>
    <row r="415" spans="1:8" s="221" customFormat="1" ht="31.5" x14ac:dyDescent="0.25">
      <c r="A415" s="23" t="s">
        <v>1120</v>
      </c>
      <c r="B415" s="24" t="s">
        <v>249</v>
      </c>
      <c r="C415" s="24" t="s">
        <v>230</v>
      </c>
      <c r="D415" s="24" t="s">
        <v>1118</v>
      </c>
      <c r="E415" s="24"/>
      <c r="F415" s="4">
        <f>F416+F419+F425</f>
        <v>763.8</v>
      </c>
    </row>
    <row r="416" spans="1:8" ht="24" customHeight="1" x14ac:dyDescent="0.25">
      <c r="A416" s="25" t="s">
        <v>561</v>
      </c>
      <c r="B416" s="20" t="s">
        <v>249</v>
      </c>
      <c r="C416" s="20" t="s">
        <v>230</v>
      </c>
      <c r="D416" s="20" t="s">
        <v>1119</v>
      </c>
      <c r="E416" s="20"/>
      <c r="F416" s="6">
        <f t="shared" ref="F416:F417" si="51">F417</f>
        <v>90</v>
      </c>
    </row>
    <row r="417" spans="1:6" ht="31.5" x14ac:dyDescent="0.25">
      <c r="A417" s="25" t="s">
        <v>146</v>
      </c>
      <c r="B417" s="20" t="s">
        <v>249</v>
      </c>
      <c r="C417" s="20" t="s">
        <v>230</v>
      </c>
      <c r="D417" s="20" t="s">
        <v>1119</v>
      </c>
      <c r="E417" s="20" t="s">
        <v>147</v>
      </c>
      <c r="F417" s="6">
        <f t="shared" si="51"/>
        <v>90</v>
      </c>
    </row>
    <row r="418" spans="1:6" ht="31.5" x14ac:dyDescent="0.25">
      <c r="A418" s="25" t="s">
        <v>148</v>
      </c>
      <c r="B418" s="20" t="s">
        <v>249</v>
      </c>
      <c r="C418" s="20" t="s">
        <v>230</v>
      </c>
      <c r="D418" s="20" t="s">
        <v>1119</v>
      </c>
      <c r="E418" s="20" t="s">
        <v>149</v>
      </c>
      <c r="F418" s="6">
        <f>'Пр.4 ведом.20'!G1019</f>
        <v>90</v>
      </c>
    </row>
    <row r="419" spans="1:6" ht="15.75" x14ac:dyDescent="0.25">
      <c r="A419" s="25" t="s">
        <v>563</v>
      </c>
      <c r="B419" s="20" t="s">
        <v>249</v>
      </c>
      <c r="C419" s="20" t="s">
        <v>230</v>
      </c>
      <c r="D419" s="20" t="s">
        <v>1121</v>
      </c>
      <c r="E419" s="20"/>
      <c r="F419" s="6">
        <f>F420+F422</f>
        <v>657.8</v>
      </c>
    </row>
    <row r="420" spans="1:6" ht="31.5" x14ac:dyDescent="0.25">
      <c r="A420" s="25" t="s">
        <v>146</v>
      </c>
      <c r="B420" s="20" t="s">
        <v>249</v>
      </c>
      <c r="C420" s="20" t="s">
        <v>230</v>
      </c>
      <c r="D420" s="20" t="s">
        <v>1121</v>
      </c>
      <c r="E420" s="20" t="s">
        <v>147</v>
      </c>
      <c r="F420" s="6">
        <f t="shared" ref="F420" si="52">F421</f>
        <v>657.8</v>
      </c>
    </row>
    <row r="421" spans="1:6" ht="31.5" x14ac:dyDescent="0.25">
      <c r="A421" s="25" t="s">
        <v>148</v>
      </c>
      <c r="B421" s="20" t="s">
        <v>249</v>
      </c>
      <c r="C421" s="20" t="s">
        <v>230</v>
      </c>
      <c r="D421" s="20" t="s">
        <v>1121</v>
      </c>
      <c r="E421" s="20" t="s">
        <v>149</v>
      </c>
      <c r="F421" s="6">
        <f>'Пр.4 ведом.20'!G1022</f>
        <v>657.8</v>
      </c>
    </row>
    <row r="422" spans="1:6" ht="15.75" hidden="1" x14ac:dyDescent="0.25">
      <c r="A422" s="29" t="s">
        <v>150</v>
      </c>
      <c r="B422" s="20" t="s">
        <v>249</v>
      </c>
      <c r="C422" s="20" t="s">
        <v>230</v>
      </c>
      <c r="D422" s="20" t="s">
        <v>1121</v>
      </c>
      <c r="E422" s="20" t="s">
        <v>160</v>
      </c>
      <c r="F422" s="6">
        <f>F424+F423</f>
        <v>0</v>
      </c>
    </row>
    <row r="423" spans="1:6" s="221" customFormat="1" ht="47.25" hidden="1" x14ac:dyDescent="0.25">
      <c r="A423" s="25" t="s">
        <v>880</v>
      </c>
      <c r="B423" s="20" t="s">
        <v>249</v>
      </c>
      <c r="C423" s="20" t="s">
        <v>230</v>
      </c>
      <c r="D423" s="20" t="s">
        <v>1121</v>
      </c>
      <c r="E423" s="20" t="s">
        <v>162</v>
      </c>
      <c r="F423" s="6">
        <f>'Пр.4 ведом.20'!G1024</f>
        <v>0</v>
      </c>
    </row>
    <row r="424" spans="1:6" ht="15.75" hidden="1" x14ac:dyDescent="0.25">
      <c r="A424" s="29" t="s">
        <v>583</v>
      </c>
      <c r="B424" s="20" t="s">
        <v>249</v>
      </c>
      <c r="C424" s="20" t="s">
        <v>230</v>
      </c>
      <c r="D424" s="20" t="s">
        <v>1121</v>
      </c>
      <c r="E424" s="20" t="s">
        <v>153</v>
      </c>
      <c r="F424" s="6">
        <f>'Пр.4 ведом.20'!G1025</f>
        <v>0</v>
      </c>
    </row>
    <row r="425" spans="1:6" ht="15.75" x14ac:dyDescent="0.25">
      <c r="A425" s="25" t="s">
        <v>565</v>
      </c>
      <c r="B425" s="20" t="s">
        <v>249</v>
      </c>
      <c r="C425" s="20" t="s">
        <v>230</v>
      </c>
      <c r="D425" s="20" t="s">
        <v>1122</v>
      </c>
      <c r="E425" s="20"/>
      <c r="F425" s="6">
        <f t="shared" ref="F425:F426" si="53">F426</f>
        <v>16</v>
      </c>
    </row>
    <row r="426" spans="1:6" ht="31.5" x14ac:dyDescent="0.25">
      <c r="A426" s="25" t="s">
        <v>146</v>
      </c>
      <c r="B426" s="20" t="s">
        <v>249</v>
      </c>
      <c r="C426" s="20" t="s">
        <v>230</v>
      </c>
      <c r="D426" s="20" t="s">
        <v>1122</v>
      </c>
      <c r="E426" s="20" t="s">
        <v>147</v>
      </c>
      <c r="F426" s="6">
        <f t="shared" si="53"/>
        <v>16</v>
      </c>
    </row>
    <row r="427" spans="1:6" ht="31.5" x14ac:dyDescent="0.25">
      <c r="A427" s="25" t="s">
        <v>148</v>
      </c>
      <c r="B427" s="20" t="s">
        <v>249</v>
      </c>
      <c r="C427" s="20" t="s">
        <v>230</v>
      </c>
      <c r="D427" s="20" t="s">
        <v>1122</v>
      </c>
      <c r="E427" s="20" t="s">
        <v>149</v>
      </c>
      <c r="F427" s="6">
        <f>'Пр.4 ведом.20'!G1028</f>
        <v>16</v>
      </c>
    </row>
    <row r="428" spans="1:6" ht="47.25" x14ac:dyDescent="0.25">
      <c r="A428" s="23" t="s">
        <v>567</v>
      </c>
      <c r="B428" s="24" t="s">
        <v>249</v>
      </c>
      <c r="C428" s="24" t="s">
        <v>230</v>
      </c>
      <c r="D428" s="24" t="s">
        <v>568</v>
      </c>
      <c r="E428" s="24"/>
      <c r="F428" s="4">
        <f>F429+F444</f>
        <v>2304.5</v>
      </c>
    </row>
    <row r="429" spans="1:6" s="221" customFormat="1" ht="31.5" x14ac:dyDescent="0.25">
      <c r="A429" s="23" t="s">
        <v>1138</v>
      </c>
      <c r="B429" s="24" t="s">
        <v>249</v>
      </c>
      <c r="C429" s="24" t="s">
        <v>230</v>
      </c>
      <c r="D429" s="24" t="s">
        <v>1123</v>
      </c>
      <c r="E429" s="24"/>
      <c r="F429" s="4">
        <f>F430+F433+F436+F441</f>
        <v>390</v>
      </c>
    </row>
    <row r="430" spans="1:6" ht="15.75" x14ac:dyDescent="0.25">
      <c r="A430" s="25" t="s">
        <v>565</v>
      </c>
      <c r="B430" s="20" t="s">
        <v>249</v>
      </c>
      <c r="C430" s="20" t="s">
        <v>230</v>
      </c>
      <c r="D430" s="20" t="s">
        <v>1124</v>
      </c>
      <c r="E430" s="20"/>
      <c r="F430" s="6">
        <f>F431</f>
        <v>11</v>
      </c>
    </row>
    <row r="431" spans="1:6" ht="31.5" x14ac:dyDescent="0.25">
      <c r="A431" s="25" t="s">
        <v>146</v>
      </c>
      <c r="B431" s="20" t="s">
        <v>249</v>
      </c>
      <c r="C431" s="20" t="s">
        <v>230</v>
      </c>
      <c r="D431" s="20" t="s">
        <v>1124</v>
      </c>
      <c r="E431" s="20" t="s">
        <v>147</v>
      </c>
      <c r="F431" s="6">
        <f t="shared" ref="F431" si="54">F432</f>
        <v>11</v>
      </c>
    </row>
    <row r="432" spans="1:6" ht="31.5" x14ac:dyDescent="0.25">
      <c r="A432" s="25" t="s">
        <v>148</v>
      </c>
      <c r="B432" s="20" t="s">
        <v>249</v>
      </c>
      <c r="C432" s="20" t="s">
        <v>230</v>
      </c>
      <c r="D432" s="20" t="s">
        <v>1124</v>
      </c>
      <c r="E432" s="20" t="s">
        <v>149</v>
      </c>
      <c r="F432" s="6">
        <f>'Пр.4 ведом.20'!G1044</f>
        <v>11</v>
      </c>
    </row>
    <row r="433" spans="1:6" ht="15.75" x14ac:dyDescent="0.25">
      <c r="A433" s="25" t="s">
        <v>570</v>
      </c>
      <c r="B433" s="20" t="s">
        <v>249</v>
      </c>
      <c r="C433" s="20" t="s">
        <v>230</v>
      </c>
      <c r="D433" s="20" t="s">
        <v>1125</v>
      </c>
      <c r="E433" s="20"/>
      <c r="F433" s="6">
        <f t="shared" ref="F433:F434" si="55">F434</f>
        <v>4</v>
      </c>
    </row>
    <row r="434" spans="1:6" ht="31.5" x14ac:dyDescent="0.25">
      <c r="A434" s="25" t="s">
        <v>146</v>
      </c>
      <c r="B434" s="20" t="s">
        <v>249</v>
      </c>
      <c r="C434" s="20" t="s">
        <v>230</v>
      </c>
      <c r="D434" s="20" t="s">
        <v>1125</v>
      </c>
      <c r="E434" s="20" t="s">
        <v>147</v>
      </c>
      <c r="F434" s="6">
        <f t="shared" si="55"/>
        <v>4</v>
      </c>
    </row>
    <row r="435" spans="1:6" ht="31.5" x14ac:dyDescent="0.25">
      <c r="A435" s="25" t="s">
        <v>148</v>
      </c>
      <c r="B435" s="20" t="s">
        <v>249</v>
      </c>
      <c r="C435" s="20" t="s">
        <v>230</v>
      </c>
      <c r="D435" s="20" t="s">
        <v>1125</v>
      </c>
      <c r="E435" s="20" t="s">
        <v>149</v>
      </c>
      <c r="F435" s="6">
        <f>'Пр.4 ведом.20'!G1033</f>
        <v>4</v>
      </c>
    </row>
    <row r="436" spans="1:6" ht="47.25" x14ac:dyDescent="0.25">
      <c r="A436" s="99" t="s">
        <v>572</v>
      </c>
      <c r="B436" s="20" t="s">
        <v>249</v>
      </c>
      <c r="C436" s="20" t="s">
        <v>230</v>
      </c>
      <c r="D436" s="20" t="s">
        <v>1126</v>
      </c>
      <c r="E436" s="20"/>
      <c r="F436" s="6">
        <f>F437+F439</f>
        <v>375</v>
      </c>
    </row>
    <row r="437" spans="1:6" ht="31.5" x14ac:dyDescent="0.25">
      <c r="A437" s="25" t="s">
        <v>146</v>
      </c>
      <c r="B437" s="20" t="s">
        <v>249</v>
      </c>
      <c r="C437" s="20" t="s">
        <v>230</v>
      </c>
      <c r="D437" s="20" t="s">
        <v>1126</v>
      </c>
      <c r="E437" s="20" t="s">
        <v>147</v>
      </c>
      <c r="F437" s="6">
        <f t="shared" ref="F437" si="56">F438</f>
        <v>300</v>
      </c>
    </row>
    <row r="438" spans="1:6" ht="31.5" x14ac:dyDescent="0.25">
      <c r="A438" s="25" t="s">
        <v>148</v>
      </c>
      <c r="B438" s="20" t="s">
        <v>249</v>
      </c>
      <c r="C438" s="20" t="s">
        <v>230</v>
      </c>
      <c r="D438" s="20" t="s">
        <v>1126</v>
      </c>
      <c r="E438" s="20" t="s">
        <v>149</v>
      </c>
      <c r="F438" s="6">
        <f>'Пр.4 ведом.20'!G1036</f>
        <v>300</v>
      </c>
    </row>
    <row r="439" spans="1:6" s="221" customFormat="1" ht="15.75" x14ac:dyDescent="0.25">
      <c r="A439" s="29" t="s">
        <v>150</v>
      </c>
      <c r="B439" s="20" t="s">
        <v>249</v>
      </c>
      <c r="C439" s="20" t="s">
        <v>230</v>
      </c>
      <c r="D439" s="20" t="s">
        <v>1126</v>
      </c>
      <c r="E439" s="20" t="s">
        <v>160</v>
      </c>
      <c r="F439" s="6">
        <f>F440</f>
        <v>75</v>
      </c>
    </row>
    <row r="440" spans="1:6" s="221" customFormat="1" ht="15.75" x14ac:dyDescent="0.25">
      <c r="A440" s="29" t="s">
        <v>583</v>
      </c>
      <c r="B440" s="20" t="s">
        <v>249</v>
      </c>
      <c r="C440" s="20" t="s">
        <v>230</v>
      </c>
      <c r="D440" s="20" t="s">
        <v>1126</v>
      </c>
      <c r="E440" s="20" t="s">
        <v>153</v>
      </c>
      <c r="F440" s="6">
        <f>'Пр.4 ведом.20'!G1038</f>
        <v>75</v>
      </c>
    </row>
    <row r="441" spans="1:6" ht="15.75" hidden="1" x14ac:dyDescent="0.25">
      <c r="A441" s="99" t="s">
        <v>574</v>
      </c>
      <c r="B441" s="20" t="s">
        <v>249</v>
      </c>
      <c r="C441" s="20" t="s">
        <v>230</v>
      </c>
      <c r="D441" s="20" t="s">
        <v>1127</v>
      </c>
      <c r="E441" s="20"/>
      <c r="F441" s="6">
        <f t="shared" ref="F441:F442" si="57">F442</f>
        <v>0</v>
      </c>
    </row>
    <row r="442" spans="1:6" ht="31.5" hidden="1" x14ac:dyDescent="0.25">
      <c r="A442" s="25" t="s">
        <v>146</v>
      </c>
      <c r="B442" s="20" t="s">
        <v>249</v>
      </c>
      <c r="C442" s="20" t="s">
        <v>230</v>
      </c>
      <c r="D442" s="20" t="s">
        <v>1127</v>
      </c>
      <c r="E442" s="20" t="s">
        <v>147</v>
      </c>
      <c r="F442" s="6">
        <f t="shared" si="57"/>
        <v>0</v>
      </c>
    </row>
    <row r="443" spans="1:6" ht="31.5" hidden="1" x14ac:dyDescent="0.25">
      <c r="A443" s="25" t="s">
        <v>148</v>
      </c>
      <c r="B443" s="20" t="s">
        <v>249</v>
      </c>
      <c r="C443" s="20" t="s">
        <v>230</v>
      </c>
      <c r="D443" s="20" t="s">
        <v>1127</v>
      </c>
      <c r="E443" s="20" t="s">
        <v>149</v>
      </c>
      <c r="F443" s="6">
        <f>'Пр.4 ведом.20'!G1041</f>
        <v>0</v>
      </c>
    </row>
    <row r="444" spans="1:6" s="221" customFormat="1" ht="31.5" x14ac:dyDescent="0.25">
      <c r="A444" s="23" t="s">
        <v>948</v>
      </c>
      <c r="B444" s="7" t="s">
        <v>249</v>
      </c>
      <c r="C444" s="7" t="s">
        <v>230</v>
      </c>
      <c r="D444" s="24" t="s">
        <v>1128</v>
      </c>
      <c r="E444" s="24"/>
      <c r="F444" s="4">
        <f>F445+F448</f>
        <v>1914.5</v>
      </c>
    </row>
    <row r="445" spans="1:6" s="221" customFormat="1" ht="31.5" hidden="1" x14ac:dyDescent="0.25">
      <c r="A445" s="25" t="s">
        <v>705</v>
      </c>
      <c r="B445" s="20" t="s">
        <v>249</v>
      </c>
      <c r="C445" s="20" t="s">
        <v>230</v>
      </c>
      <c r="D445" s="20" t="s">
        <v>1129</v>
      </c>
      <c r="E445" s="20"/>
      <c r="F445" s="6">
        <f t="shared" ref="F445" si="58">F446</f>
        <v>0</v>
      </c>
    </row>
    <row r="446" spans="1:6" s="221" customFormat="1" ht="31.5" hidden="1" x14ac:dyDescent="0.25">
      <c r="A446" s="25" t="s">
        <v>146</v>
      </c>
      <c r="B446" s="20" t="s">
        <v>249</v>
      </c>
      <c r="C446" s="20" t="s">
        <v>230</v>
      </c>
      <c r="D446" s="20" t="s">
        <v>1129</v>
      </c>
      <c r="E446" s="20" t="s">
        <v>147</v>
      </c>
      <c r="F446" s="6">
        <f>F447</f>
        <v>0</v>
      </c>
    </row>
    <row r="447" spans="1:6" s="221" customFormat="1" ht="31.5" hidden="1" x14ac:dyDescent="0.25">
      <c r="A447" s="25" t="s">
        <v>148</v>
      </c>
      <c r="B447" s="20" t="s">
        <v>249</v>
      </c>
      <c r="C447" s="20" t="s">
        <v>230</v>
      </c>
      <c r="D447" s="20" t="s">
        <v>1129</v>
      </c>
      <c r="E447" s="20" t="s">
        <v>149</v>
      </c>
      <c r="F447" s="6">
        <f>'Пр.4 ведом.20'!G1048</f>
        <v>0</v>
      </c>
    </row>
    <row r="448" spans="1:6" s="221" customFormat="1" ht="63" x14ac:dyDescent="0.25">
      <c r="A448" s="25" t="s">
        <v>1249</v>
      </c>
      <c r="B448" s="20" t="s">
        <v>249</v>
      </c>
      <c r="C448" s="20" t="s">
        <v>230</v>
      </c>
      <c r="D448" s="20" t="s">
        <v>1250</v>
      </c>
      <c r="E448" s="20"/>
      <c r="F448" s="6">
        <f>F449</f>
        <v>1914.5</v>
      </c>
    </row>
    <row r="449" spans="1:8" s="221" customFormat="1" ht="31.5" x14ac:dyDescent="0.25">
      <c r="A449" s="25" t="s">
        <v>146</v>
      </c>
      <c r="B449" s="20" t="s">
        <v>249</v>
      </c>
      <c r="C449" s="20" t="s">
        <v>230</v>
      </c>
      <c r="D449" s="20" t="s">
        <v>1250</v>
      </c>
      <c r="E449" s="20" t="s">
        <v>147</v>
      </c>
      <c r="F449" s="6">
        <f>F450</f>
        <v>1914.5</v>
      </c>
    </row>
    <row r="450" spans="1:8" s="221" customFormat="1" ht="31.5" x14ac:dyDescent="0.25">
      <c r="A450" s="25" t="s">
        <v>148</v>
      </c>
      <c r="B450" s="20" t="s">
        <v>249</v>
      </c>
      <c r="C450" s="20" t="s">
        <v>230</v>
      </c>
      <c r="D450" s="20" t="s">
        <v>1250</v>
      </c>
      <c r="E450" s="20" t="s">
        <v>149</v>
      </c>
      <c r="F450" s="6">
        <f>'Пр.4 ведом.20'!G1051</f>
        <v>1914.5</v>
      </c>
    </row>
    <row r="451" spans="1:8" ht="63" x14ac:dyDescent="0.25">
      <c r="A451" s="23" t="s">
        <v>820</v>
      </c>
      <c r="B451" s="24" t="s">
        <v>249</v>
      </c>
      <c r="C451" s="24" t="s">
        <v>230</v>
      </c>
      <c r="D451" s="24" t="s">
        <v>732</v>
      </c>
      <c r="E451" s="24"/>
      <c r="F451" s="4">
        <f t="shared" ref="F451" si="59">F453</f>
        <v>401</v>
      </c>
    </row>
    <row r="452" spans="1:8" s="221" customFormat="1" ht="31.5" x14ac:dyDescent="0.25">
      <c r="A452" s="23" t="s">
        <v>1245</v>
      </c>
      <c r="B452" s="24" t="s">
        <v>249</v>
      </c>
      <c r="C452" s="24" t="s">
        <v>230</v>
      </c>
      <c r="D452" s="24" t="s">
        <v>879</v>
      </c>
      <c r="E452" s="20"/>
      <c r="F452" s="4">
        <f>F453</f>
        <v>401</v>
      </c>
    </row>
    <row r="453" spans="1:8" ht="31.5" x14ac:dyDescent="0.25">
      <c r="A453" s="287" t="s">
        <v>731</v>
      </c>
      <c r="B453" s="20" t="s">
        <v>249</v>
      </c>
      <c r="C453" s="20" t="s">
        <v>230</v>
      </c>
      <c r="D453" s="20" t="s">
        <v>879</v>
      </c>
      <c r="E453" s="20"/>
      <c r="F453" s="6">
        <f t="shared" ref="F453:F454" si="60">F454</f>
        <v>401</v>
      </c>
    </row>
    <row r="454" spans="1:8" ht="31.5" x14ac:dyDescent="0.25">
      <c r="A454" s="25" t="s">
        <v>146</v>
      </c>
      <c r="B454" s="20" t="s">
        <v>249</v>
      </c>
      <c r="C454" s="20" t="s">
        <v>230</v>
      </c>
      <c r="D454" s="20" t="s">
        <v>879</v>
      </c>
      <c r="E454" s="20" t="s">
        <v>147</v>
      </c>
      <c r="F454" s="6">
        <f t="shared" si="60"/>
        <v>401</v>
      </c>
    </row>
    <row r="455" spans="1:8" ht="31.5" x14ac:dyDescent="0.25">
      <c r="A455" s="25" t="s">
        <v>148</v>
      </c>
      <c r="B455" s="20" t="s">
        <v>249</v>
      </c>
      <c r="C455" s="20" t="s">
        <v>230</v>
      </c>
      <c r="D455" s="20" t="s">
        <v>879</v>
      </c>
      <c r="E455" s="20" t="s">
        <v>149</v>
      </c>
      <c r="F455" s="6">
        <f>'Пр.4 ведом.20'!G1056</f>
        <v>401</v>
      </c>
    </row>
    <row r="456" spans="1:8" ht="31.5" x14ac:dyDescent="0.25">
      <c r="A456" s="41" t="s">
        <v>584</v>
      </c>
      <c r="B456" s="7" t="s">
        <v>249</v>
      </c>
      <c r="C456" s="7" t="s">
        <v>249</v>
      </c>
      <c r="D456" s="7"/>
      <c r="E456" s="7"/>
      <c r="F456" s="4">
        <f>F457+F469+F488</f>
        <v>23795.7</v>
      </c>
      <c r="H456" s="22"/>
    </row>
    <row r="457" spans="1:8" ht="31.5" x14ac:dyDescent="0.25">
      <c r="A457" s="23" t="s">
        <v>988</v>
      </c>
      <c r="B457" s="24" t="s">
        <v>249</v>
      </c>
      <c r="C457" s="24" t="s">
        <v>249</v>
      </c>
      <c r="D457" s="24" t="s">
        <v>902</v>
      </c>
      <c r="E457" s="24"/>
      <c r="F457" s="4">
        <f>F458</f>
        <v>12402.5</v>
      </c>
    </row>
    <row r="458" spans="1:8" ht="15.75" x14ac:dyDescent="0.25">
      <c r="A458" s="23" t="s">
        <v>989</v>
      </c>
      <c r="B458" s="24" t="s">
        <v>249</v>
      </c>
      <c r="C458" s="24" t="s">
        <v>249</v>
      </c>
      <c r="D458" s="24" t="s">
        <v>903</v>
      </c>
      <c r="E458" s="24"/>
      <c r="F458" s="4">
        <f>F459+F466</f>
        <v>12402.5</v>
      </c>
    </row>
    <row r="459" spans="1:8" ht="31.5" x14ac:dyDescent="0.25">
      <c r="A459" s="25" t="s">
        <v>965</v>
      </c>
      <c r="B459" s="20" t="s">
        <v>249</v>
      </c>
      <c r="C459" s="20" t="s">
        <v>249</v>
      </c>
      <c r="D459" s="20" t="s">
        <v>904</v>
      </c>
      <c r="E459" s="20"/>
      <c r="F459" s="6">
        <f t="shared" ref="F459" si="61">F460+F462+F464</f>
        <v>11761.5</v>
      </c>
    </row>
    <row r="460" spans="1:8" ht="81.75" customHeight="1" x14ac:dyDescent="0.25">
      <c r="A460" s="25" t="s">
        <v>142</v>
      </c>
      <c r="B460" s="20" t="s">
        <v>249</v>
      </c>
      <c r="C460" s="20" t="s">
        <v>249</v>
      </c>
      <c r="D460" s="20" t="s">
        <v>904</v>
      </c>
      <c r="E460" s="20" t="s">
        <v>143</v>
      </c>
      <c r="F460" s="338">
        <f t="shared" ref="F460" si="62">F461</f>
        <v>11689.5</v>
      </c>
    </row>
    <row r="461" spans="1:8" ht="31.5" x14ac:dyDescent="0.25">
      <c r="A461" s="25" t="s">
        <v>144</v>
      </c>
      <c r="B461" s="20" t="s">
        <v>249</v>
      </c>
      <c r="C461" s="20" t="s">
        <v>249</v>
      </c>
      <c r="D461" s="20" t="s">
        <v>904</v>
      </c>
      <c r="E461" s="20" t="s">
        <v>145</v>
      </c>
      <c r="F461" s="338">
        <f>'Пр.4 ведом.20'!G1062</f>
        <v>11689.5</v>
      </c>
    </row>
    <row r="462" spans="1:8" ht="31.5" x14ac:dyDescent="0.25">
      <c r="A462" s="25" t="s">
        <v>146</v>
      </c>
      <c r="B462" s="20" t="s">
        <v>249</v>
      </c>
      <c r="C462" s="20" t="s">
        <v>249</v>
      </c>
      <c r="D462" s="20" t="s">
        <v>904</v>
      </c>
      <c r="E462" s="20" t="s">
        <v>147</v>
      </c>
      <c r="F462" s="338">
        <f t="shared" ref="F462" si="63">F463</f>
        <v>25</v>
      </c>
    </row>
    <row r="463" spans="1:8" ht="31.5" x14ac:dyDescent="0.25">
      <c r="A463" s="25" t="s">
        <v>148</v>
      </c>
      <c r="B463" s="20" t="s">
        <v>249</v>
      </c>
      <c r="C463" s="20" t="s">
        <v>249</v>
      </c>
      <c r="D463" s="20" t="s">
        <v>904</v>
      </c>
      <c r="E463" s="20" t="s">
        <v>149</v>
      </c>
      <c r="F463" s="338">
        <f>'Пр.4 ведом.20'!G1064</f>
        <v>25</v>
      </c>
    </row>
    <row r="464" spans="1:8" ht="15.75" x14ac:dyDescent="0.25">
      <c r="A464" s="25" t="s">
        <v>150</v>
      </c>
      <c r="B464" s="20" t="s">
        <v>249</v>
      </c>
      <c r="C464" s="20" t="s">
        <v>249</v>
      </c>
      <c r="D464" s="20" t="s">
        <v>904</v>
      </c>
      <c r="E464" s="20" t="s">
        <v>160</v>
      </c>
      <c r="F464" s="338">
        <f t="shared" ref="F464" si="64">F465</f>
        <v>47</v>
      </c>
    </row>
    <row r="465" spans="1:6" ht="15.75" x14ac:dyDescent="0.25">
      <c r="A465" s="25" t="s">
        <v>583</v>
      </c>
      <c r="B465" s="20" t="s">
        <v>249</v>
      </c>
      <c r="C465" s="20" t="s">
        <v>249</v>
      </c>
      <c r="D465" s="20" t="s">
        <v>904</v>
      </c>
      <c r="E465" s="20" t="s">
        <v>153</v>
      </c>
      <c r="F465" s="338">
        <f>'Пр.4 ведом.20'!G1066</f>
        <v>47</v>
      </c>
    </row>
    <row r="466" spans="1:6" s="221" customFormat="1" ht="47.25" x14ac:dyDescent="0.25">
      <c r="A466" s="25" t="s">
        <v>883</v>
      </c>
      <c r="B466" s="20" t="s">
        <v>249</v>
      </c>
      <c r="C466" s="20" t="s">
        <v>249</v>
      </c>
      <c r="D466" s="20" t="s">
        <v>906</v>
      </c>
      <c r="E466" s="20"/>
      <c r="F466" s="338">
        <f>F467</f>
        <v>641</v>
      </c>
    </row>
    <row r="467" spans="1:6" s="221" customFormat="1" ht="78.75" x14ac:dyDescent="0.25">
      <c r="A467" s="25" t="s">
        <v>142</v>
      </c>
      <c r="B467" s="20" t="s">
        <v>249</v>
      </c>
      <c r="C467" s="20" t="s">
        <v>249</v>
      </c>
      <c r="D467" s="20" t="s">
        <v>906</v>
      </c>
      <c r="E467" s="20" t="s">
        <v>143</v>
      </c>
      <c r="F467" s="338">
        <f>F468</f>
        <v>641</v>
      </c>
    </row>
    <row r="468" spans="1:6" s="221" customFormat="1" ht="31.5" x14ac:dyDescent="0.25">
      <c r="A468" s="25" t="s">
        <v>144</v>
      </c>
      <c r="B468" s="20" t="s">
        <v>249</v>
      </c>
      <c r="C468" s="20" t="s">
        <v>249</v>
      </c>
      <c r="D468" s="20" t="s">
        <v>906</v>
      </c>
      <c r="E468" s="20" t="s">
        <v>145</v>
      </c>
      <c r="F468" s="338">
        <f>'Пр.4 ведом.20'!G1069</f>
        <v>641</v>
      </c>
    </row>
    <row r="469" spans="1:6" ht="15.75" x14ac:dyDescent="0.25">
      <c r="A469" s="23" t="s">
        <v>156</v>
      </c>
      <c r="B469" s="24" t="s">
        <v>249</v>
      </c>
      <c r="C469" s="24" t="s">
        <v>249</v>
      </c>
      <c r="D469" s="24" t="s">
        <v>910</v>
      </c>
      <c r="E469" s="24"/>
      <c r="F469" s="4">
        <f>F470+F479</f>
        <v>11336.2</v>
      </c>
    </row>
    <row r="470" spans="1:6" ht="31.5" x14ac:dyDescent="0.25">
      <c r="A470" s="23" t="s">
        <v>914</v>
      </c>
      <c r="B470" s="24" t="s">
        <v>249</v>
      </c>
      <c r="C470" s="24" t="s">
        <v>249</v>
      </c>
      <c r="D470" s="24" t="s">
        <v>909</v>
      </c>
      <c r="E470" s="24"/>
      <c r="F470" s="340">
        <f>F471+F476</f>
        <v>1462</v>
      </c>
    </row>
    <row r="471" spans="1:6" ht="31.5" x14ac:dyDescent="0.25">
      <c r="A471" s="25" t="s">
        <v>585</v>
      </c>
      <c r="B471" s="20" t="s">
        <v>249</v>
      </c>
      <c r="C471" s="20" t="s">
        <v>249</v>
      </c>
      <c r="D471" s="20" t="s">
        <v>1130</v>
      </c>
      <c r="E471" s="20"/>
      <c r="F471" s="338">
        <f>F474+F472</f>
        <v>1462</v>
      </c>
    </row>
    <row r="472" spans="1:6" s="221" customFormat="1" ht="31.5" x14ac:dyDescent="0.25">
      <c r="A472" s="25" t="s">
        <v>146</v>
      </c>
      <c r="B472" s="20" t="s">
        <v>249</v>
      </c>
      <c r="C472" s="20" t="s">
        <v>249</v>
      </c>
      <c r="D472" s="20" t="s">
        <v>1130</v>
      </c>
      <c r="E472" s="20" t="s">
        <v>147</v>
      </c>
      <c r="F472" s="338">
        <f>F473</f>
        <v>480</v>
      </c>
    </row>
    <row r="473" spans="1:6" s="221" customFormat="1" ht="31.5" x14ac:dyDescent="0.25">
      <c r="A473" s="25" t="s">
        <v>148</v>
      </c>
      <c r="B473" s="20" t="s">
        <v>249</v>
      </c>
      <c r="C473" s="20" t="s">
        <v>249</v>
      </c>
      <c r="D473" s="20" t="s">
        <v>1130</v>
      </c>
      <c r="E473" s="20" t="s">
        <v>149</v>
      </c>
      <c r="F473" s="338">
        <f>'Пр.4 ведом.20'!G1074</f>
        <v>480</v>
      </c>
    </row>
    <row r="474" spans="1:6" ht="15.75" x14ac:dyDescent="0.25">
      <c r="A474" s="25" t="s">
        <v>150</v>
      </c>
      <c r="B474" s="20" t="s">
        <v>249</v>
      </c>
      <c r="C474" s="20" t="s">
        <v>249</v>
      </c>
      <c r="D474" s="20" t="s">
        <v>1130</v>
      </c>
      <c r="E474" s="20" t="s">
        <v>160</v>
      </c>
      <c r="F474" s="338">
        <f>F475</f>
        <v>982</v>
      </c>
    </row>
    <row r="475" spans="1:6" ht="47.25" x14ac:dyDescent="0.25">
      <c r="A475" s="25" t="s">
        <v>199</v>
      </c>
      <c r="B475" s="20" t="s">
        <v>249</v>
      </c>
      <c r="C475" s="20" t="s">
        <v>249</v>
      </c>
      <c r="D475" s="20" t="s">
        <v>1130</v>
      </c>
      <c r="E475" s="20" t="s">
        <v>175</v>
      </c>
      <c r="F475" s="6">
        <f>'Пр.4 ведом.20'!G1076</f>
        <v>982</v>
      </c>
    </row>
    <row r="476" spans="1:6" ht="31.5" hidden="1" x14ac:dyDescent="0.25">
      <c r="A476" s="25" t="s">
        <v>866</v>
      </c>
      <c r="B476" s="20" t="s">
        <v>249</v>
      </c>
      <c r="C476" s="20" t="s">
        <v>249</v>
      </c>
      <c r="D476" s="20" t="s">
        <v>1251</v>
      </c>
      <c r="E476" s="20"/>
      <c r="F476" s="338">
        <f t="shared" ref="F476" si="65">F477</f>
        <v>0</v>
      </c>
    </row>
    <row r="477" spans="1:6" ht="15.75" hidden="1" x14ac:dyDescent="0.25">
      <c r="A477" s="25" t="s">
        <v>150</v>
      </c>
      <c r="B477" s="20" t="s">
        <v>249</v>
      </c>
      <c r="C477" s="20" t="s">
        <v>249</v>
      </c>
      <c r="D477" s="20" t="s">
        <v>1251</v>
      </c>
      <c r="E477" s="20" t="s">
        <v>160</v>
      </c>
      <c r="F477" s="338">
        <f>F478</f>
        <v>0</v>
      </c>
    </row>
    <row r="478" spans="1:6" ht="47.25" hidden="1" x14ac:dyDescent="0.25">
      <c r="A478" s="25" t="s">
        <v>199</v>
      </c>
      <c r="B478" s="20" t="s">
        <v>249</v>
      </c>
      <c r="C478" s="20" t="s">
        <v>249</v>
      </c>
      <c r="D478" s="20" t="s">
        <v>1251</v>
      </c>
      <c r="E478" s="20" t="s">
        <v>175</v>
      </c>
      <c r="F478" s="338">
        <f>'Пр.4 ведом.20'!G1079</f>
        <v>0</v>
      </c>
    </row>
    <row r="479" spans="1:6" ht="31.5" x14ac:dyDescent="0.25">
      <c r="A479" s="23" t="s">
        <v>1000</v>
      </c>
      <c r="B479" s="24" t="s">
        <v>249</v>
      </c>
      <c r="C479" s="24" t="s">
        <v>249</v>
      </c>
      <c r="D479" s="24" t="s">
        <v>985</v>
      </c>
      <c r="E479" s="24"/>
      <c r="F479" s="340">
        <f>F480+F485</f>
        <v>9874.2000000000007</v>
      </c>
    </row>
    <row r="480" spans="1:6" ht="31.5" x14ac:dyDescent="0.25">
      <c r="A480" s="25" t="s">
        <v>972</v>
      </c>
      <c r="B480" s="20" t="s">
        <v>249</v>
      </c>
      <c r="C480" s="20" t="s">
        <v>249</v>
      </c>
      <c r="D480" s="20" t="s">
        <v>986</v>
      </c>
      <c r="E480" s="20"/>
      <c r="F480" s="338">
        <f>F481+F483</f>
        <v>9748.2000000000007</v>
      </c>
    </row>
    <row r="481" spans="1:8" ht="78.75" x14ac:dyDescent="0.25">
      <c r="A481" s="25" t="s">
        <v>142</v>
      </c>
      <c r="B481" s="20" t="s">
        <v>249</v>
      </c>
      <c r="C481" s="20" t="s">
        <v>249</v>
      </c>
      <c r="D481" s="20" t="s">
        <v>986</v>
      </c>
      <c r="E481" s="20" t="s">
        <v>143</v>
      </c>
      <c r="F481" s="338">
        <f>F482</f>
        <v>8005.3</v>
      </c>
    </row>
    <row r="482" spans="1:8" ht="31.5" x14ac:dyDescent="0.25">
      <c r="A482" s="25" t="s">
        <v>357</v>
      </c>
      <c r="B482" s="20" t="s">
        <v>249</v>
      </c>
      <c r="C482" s="20" t="s">
        <v>249</v>
      </c>
      <c r="D482" s="20" t="s">
        <v>986</v>
      </c>
      <c r="E482" s="20" t="s">
        <v>224</v>
      </c>
      <c r="F482" s="338">
        <f>'Пр.4 ведом.20'!G1083</f>
        <v>8005.3</v>
      </c>
    </row>
    <row r="483" spans="1:8" s="221" customFormat="1" ht="31.5" x14ac:dyDescent="0.25">
      <c r="A483" s="25" t="s">
        <v>146</v>
      </c>
      <c r="B483" s="20" t="s">
        <v>249</v>
      </c>
      <c r="C483" s="20" t="s">
        <v>249</v>
      </c>
      <c r="D483" s="20" t="s">
        <v>986</v>
      </c>
      <c r="E483" s="20" t="s">
        <v>147</v>
      </c>
      <c r="F483" s="338">
        <f>F484</f>
        <v>1742.9</v>
      </c>
    </row>
    <row r="484" spans="1:8" s="221" customFormat="1" ht="31.5" x14ac:dyDescent="0.25">
      <c r="A484" s="25" t="s">
        <v>148</v>
      </c>
      <c r="B484" s="20" t="s">
        <v>249</v>
      </c>
      <c r="C484" s="20" t="s">
        <v>249</v>
      </c>
      <c r="D484" s="20" t="s">
        <v>986</v>
      </c>
      <c r="E484" s="20" t="s">
        <v>149</v>
      </c>
      <c r="F484" s="338">
        <f>'Пр.4 ведом.20'!G1085</f>
        <v>1742.9</v>
      </c>
    </row>
    <row r="485" spans="1:8" s="221" customFormat="1" ht="47.25" x14ac:dyDescent="0.25">
      <c r="A485" s="25" t="s">
        <v>883</v>
      </c>
      <c r="B485" s="20" t="s">
        <v>249</v>
      </c>
      <c r="C485" s="20" t="s">
        <v>249</v>
      </c>
      <c r="D485" s="20" t="s">
        <v>987</v>
      </c>
      <c r="E485" s="20"/>
      <c r="F485" s="338">
        <f>F486</f>
        <v>126</v>
      </c>
    </row>
    <row r="486" spans="1:8" s="221" customFormat="1" ht="78.75" x14ac:dyDescent="0.25">
      <c r="A486" s="25" t="s">
        <v>142</v>
      </c>
      <c r="B486" s="20" t="s">
        <v>249</v>
      </c>
      <c r="C486" s="20" t="s">
        <v>249</v>
      </c>
      <c r="D486" s="20" t="s">
        <v>987</v>
      </c>
      <c r="E486" s="20" t="s">
        <v>143</v>
      </c>
      <c r="F486" s="338">
        <f>F487</f>
        <v>126</v>
      </c>
    </row>
    <row r="487" spans="1:8" s="221" customFormat="1" ht="31.5" x14ac:dyDescent="0.25">
      <c r="A487" s="25" t="s">
        <v>144</v>
      </c>
      <c r="B487" s="20" t="s">
        <v>249</v>
      </c>
      <c r="C487" s="20" t="s">
        <v>249</v>
      </c>
      <c r="D487" s="20" t="s">
        <v>987</v>
      </c>
      <c r="E487" s="20" t="s">
        <v>145</v>
      </c>
      <c r="F487" s="338">
        <f>'Пр.4 ведом.20'!G1088</f>
        <v>126</v>
      </c>
    </row>
    <row r="488" spans="1:8" s="221" customFormat="1" ht="63" x14ac:dyDescent="0.25">
      <c r="A488" s="34" t="s">
        <v>803</v>
      </c>
      <c r="B488" s="24" t="s">
        <v>249</v>
      </c>
      <c r="C488" s="24" t="s">
        <v>249</v>
      </c>
      <c r="D488" s="24" t="s">
        <v>339</v>
      </c>
      <c r="E488" s="24"/>
      <c r="F488" s="21">
        <f>F489</f>
        <v>57</v>
      </c>
    </row>
    <row r="489" spans="1:8" s="221" customFormat="1" ht="63" x14ac:dyDescent="0.25">
      <c r="A489" s="34" t="s">
        <v>1160</v>
      </c>
      <c r="B489" s="24" t="s">
        <v>249</v>
      </c>
      <c r="C489" s="24" t="s">
        <v>249</v>
      </c>
      <c r="D489" s="24" t="s">
        <v>1023</v>
      </c>
      <c r="E489" s="24"/>
      <c r="F489" s="21">
        <f>F490</f>
        <v>57</v>
      </c>
    </row>
    <row r="490" spans="1:8" s="221" customFormat="1" ht="47.25" x14ac:dyDescent="0.25">
      <c r="A490" s="31" t="s">
        <v>1273</v>
      </c>
      <c r="B490" s="20" t="s">
        <v>249</v>
      </c>
      <c r="C490" s="20" t="s">
        <v>249</v>
      </c>
      <c r="D490" s="20" t="s">
        <v>1190</v>
      </c>
      <c r="E490" s="20"/>
      <c r="F490" s="26">
        <f>F491</f>
        <v>57</v>
      </c>
    </row>
    <row r="491" spans="1:8" s="221" customFormat="1" ht="31.5" x14ac:dyDescent="0.25">
      <c r="A491" s="25" t="s">
        <v>146</v>
      </c>
      <c r="B491" s="20" t="s">
        <v>249</v>
      </c>
      <c r="C491" s="20" t="s">
        <v>249</v>
      </c>
      <c r="D491" s="20" t="s">
        <v>1190</v>
      </c>
      <c r="E491" s="20" t="s">
        <v>147</v>
      </c>
      <c r="F491" s="26">
        <f>F492</f>
        <v>57</v>
      </c>
    </row>
    <row r="492" spans="1:8" s="221" customFormat="1" ht="31.5" x14ac:dyDescent="0.25">
      <c r="A492" s="25" t="s">
        <v>148</v>
      </c>
      <c r="B492" s="20" t="s">
        <v>249</v>
      </c>
      <c r="C492" s="20" t="s">
        <v>249</v>
      </c>
      <c r="D492" s="20" t="s">
        <v>1190</v>
      </c>
      <c r="E492" s="20" t="s">
        <v>149</v>
      </c>
      <c r="F492" s="26">
        <f>'Пр.4 ведом.20'!G1093</f>
        <v>57</v>
      </c>
    </row>
    <row r="493" spans="1:8" ht="15.75" x14ac:dyDescent="0.25">
      <c r="A493" s="41" t="s">
        <v>278</v>
      </c>
      <c r="B493" s="7" t="s">
        <v>279</v>
      </c>
      <c r="C493" s="40"/>
      <c r="D493" s="40"/>
      <c r="E493" s="40"/>
      <c r="F493" s="4">
        <f>F494+F565+F756+F653+F727</f>
        <v>381278.35900000005</v>
      </c>
      <c r="H493" s="22"/>
    </row>
    <row r="494" spans="1:8" ht="15.75" x14ac:dyDescent="0.25">
      <c r="A494" s="41" t="s">
        <v>419</v>
      </c>
      <c r="B494" s="7" t="s">
        <v>279</v>
      </c>
      <c r="C494" s="7" t="s">
        <v>133</v>
      </c>
      <c r="D494" s="7"/>
      <c r="E494" s="7"/>
      <c r="F494" s="4">
        <f>F495+F548+F560</f>
        <v>110319.5</v>
      </c>
      <c r="H494" s="22"/>
    </row>
    <row r="495" spans="1:8" ht="47.25" x14ac:dyDescent="0.25">
      <c r="A495" s="23" t="s">
        <v>420</v>
      </c>
      <c r="B495" s="24" t="s">
        <v>279</v>
      </c>
      <c r="C495" s="24" t="s">
        <v>133</v>
      </c>
      <c r="D495" s="24" t="s">
        <v>421</v>
      </c>
      <c r="E495" s="24"/>
      <c r="F495" s="4">
        <f>F496+F520</f>
        <v>109855.2</v>
      </c>
    </row>
    <row r="496" spans="1:8" ht="35.450000000000003" customHeight="1" x14ac:dyDescent="0.25">
      <c r="A496" s="23" t="s">
        <v>422</v>
      </c>
      <c r="B496" s="24" t="s">
        <v>279</v>
      </c>
      <c r="C496" s="24" t="s">
        <v>133</v>
      </c>
      <c r="D496" s="24" t="s">
        <v>423</v>
      </c>
      <c r="E496" s="24"/>
      <c r="F496" s="4">
        <f>F497+F504</f>
        <v>98857.5</v>
      </c>
      <c r="G496" s="22"/>
    </row>
    <row r="497" spans="1:8" s="221" customFormat="1" ht="31.5" x14ac:dyDescent="0.25">
      <c r="A497" s="23" t="s">
        <v>1026</v>
      </c>
      <c r="B497" s="24" t="s">
        <v>279</v>
      </c>
      <c r="C497" s="24" t="s">
        <v>133</v>
      </c>
      <c r="D497" s="24" t="s">
        <v>1004</v>
      </c>
      <c r="E497" s="24"/>
      <c r="F497" s="4">
        <f>F498+F501</f>
        <v>13017</v>
      </c>
    </row>
    <row r="498" spans="1:8" ht="52.5" customHeight="1" x14ac:dyDescent="0.25">
      <c r="A498" s="25" t="s">
        <v>1061</v>
      </c>
      <c r="B498" s="20" t="s">
        <v>279</v>
      </c>
      <c r="C498" s="20" t="s">
        <v>133</v>
      </c>
      <c r="D498" s="20" t="s">
        <v>1060</v>
      </c>
      <c r="E498" s="20"/>
      <c r="F498" s="6">
        <f>F499</f>
        <v>8823.6999999999989</v>
      </c>
    </row>
    <row r="499" spans="1:8" ht="40.700000000000003" customHeight="1" x14ac:dyDescent="0.25">
      <c r="A499" s="25" t="s">
        <v>287</v>
      </c>
      <c r="B499" s="20" t="s">
        <v>279</v>
      </c>
      <c r="C499" s="20" t="s">
        <v>133</v>
      </c>
      <c r="D499" s="20" t="s">
        <v>1060</v>
      </c>
      <c r="E499" s="20" t="s">
        <v>288</v>
      </c>
      <c r="F499" s="6">
        <f>F500</f>
        <v>8823.6999999999989</v>
      </c>
    </row>
    <row r="500" spans="1:8" ht="15.75" x14ac:dyDescent="0.25">
      <c r="A500" s="25" t="s">
        <v>289</v>
      </c>
      <c r="B500" s="20" t="s">
        <v>279</v>
      </c>
      <c r="C500" s="20" t="s">
        <v>133</v>
      </c>
      <c r="D500" s="20" t="s">
        <v>1060</v>
      </c>
      <c r="E500" s="20" t="s">
        <v>290</v>
      </c>
      <c r="F500" s="338">
        <f>'Пр.4 ведом.20'!G558</f>
        <v>8823.6999999999989</v>
      </c>
      <c r="H500" s="22"/>
    </row>
    <row r="501" spans="1:8" s="221" customFormat="1" ht="51" customHeight="1" x14ac:dyDescent="0.25">
      <c r="A501" s="25" t="s">
        <v>1238</v>
      </c>
      <c r="B501" s="20" t="s">
        <v>279</v>
      </c>
      <c r="C501" s="20" t="s">
        <v>133</v>
      </c>
      <c r="D501" s="20" t="s">
        <v>1062</v>
      </c>
      <c r="E501" s="20"/>
      <c r="F501" s="338">
        <f>F502</f>
        <v>4193.3</v>
      </c>
      <c r="H501" s="22"/>
    </row>
    <row r="502" spans="1:8" s="221" customFormat="1" ht="31.5" x14ac:dyDescent="0.25">
      <c r="A502" s="25" t="s">
        <v>287</v>
      </c>
      <c r="B502" s="20" t="s">
        <v>279</v>
      </c>
      <c r="C502" s="20" t="s">
        <v>133</v>
      </c>
      <c r="D502" s="20" t="s">
        <v>1062</v>
      </c>
      <c r="E502" s="20" t="s">
        <v>288</v>
      </c>
      <c r="F502" s="338">
        <f>F503</f>
        <v>4193.3</v>
      </c>
      <c r="H502" s="22"/>
    </row>
    <row r="503" spans="1:8" s="221" customFormat="1" ht="15.75" x14ac:dyDescent="0.25">
      <c r="A503" s="25" t="s">
        <v>289</v>
      </c>
      <c r="B503" s="20" t="s">
        <v>279</v>
      </c>
      <c r="C503" s="20" t="s">
        <v>133</v>
      </c>
      <c r="D503" s="20" t="s">
        <v>1062</v>
      </c>
      <c r="E503" s="20" t="s">
        <v>290</v>
      </c>
      <c r="F503" s="338">
        <f>'Пр.4 ведом.20'!G561</f>
        <v>4193.3</v>
      </c>
      <c r="H503" s="22"/>
    </row>
    <row r="504" spans="1:8" ht="47.25" x14ac:dyDescent="0.25">
      <c r="A504" s="23" t="s">
        <v>969</v>
      </c>
      <c r="B504" s="24" t="s">
        <v>279</v>
      </c>
      <c r="C504" s="24" t="s">
        <v>133</v>
      </c>
      <c r="D504" s="24" t="s">
        <v>1019</v>
      </c>
      <c r="E504" s="24"/>
      <c r="F504" s="4">
        <f>F508+F511+F514+F517+F505</f>
        <v>85840.5</v>
      </c>
    </row>
    <row r="505" spans="1:8" s="361" customFormat="1" ht="94.5" x14ac:dyDescent="0.25">
      <c r="A505" s="31" t="s">
        <v>308</v>
      </c>
      <c r="B505" s="368" t="s">
        <v>279</v>
      </c>
      <c r="C505" s="368" t="s">
        <v>133</v>
      </c>
      <c r="D505" s="368" t="s">
        <v>1523</v>
      </c>
      <c r="E505" s="368"/>
      <c r="F505" s="6">
        <f>F506</f>
        <v>1966.1</v>
      </c>
    </row>
    <row r="506" spans="1:8" s="361" customFormat="1" ht="31.5" x14ac:dyDescent="0.25">
      <c r="A506" s="372" t="s">
        <v>287</v>
      </c>
      <c r="B506" s="368" t="s">
        <v>279</v>
      </c>
      <c r="C506" s="368" t="s">
        <v>133</v>
      </c>
      <c r="D506" s="368" t="s">
        <v>1523</v>
      </c>
      <c r="E506" s="368" t="s">
        <v>288</v>
      </c>
      <c r="F506" s="6">
        <f>F507</f>
        <v>1966.1</v>
      </c>
    </row>
    <row r="507" spans="1:8" s="361" customFormat="1" ht="15.75" x14ac:dyDescent="0.25">
      <c r="A507" s="372" t="s">
        <v>289</v>
      </c>
      <c r="B507" s="368" t="s">
        <v>279</v>
      </c>
      <c r="C507" s="368" t="s">
        <v>133</v>
      </c>
      <c r="D507" s="368" t="s">
        <v>1523</v>
      </c>
      <c r="E507" s="368" t="s">
        <v>290</v>
      </c>
      <c r="F507" s="6">
        <f>'Пр.4 ведом.20'!G565</f>
        <v>1966.1</v>
      </c>
    </row>
    <row r="508" spans="1:8" ht="47.25" customHeight="1" x14ac:dyDescent="0.25">
      <c r="A508" s="31" t="s">
        <v>304</v>
      </c>
      <c r="B508" s="20" t="s">
        <v>279</v>
      </c>
      <c r="C508" s="20" t="s">
        <v>133</v>
      </c>
      <c r="D508" s="20" t="s">
        <v>1018</v>
      </c>
      <c r="E508" s="20"/>
      <c r="F508" s="6">
        <f t="shared" ref="F508:F509" si="66">F509</f>
        <v>559.70000000000005</v>
      </c>
    </row>
    <row r="509" spans="1:8" ht="39.75" customHeight="1" x14ac:dyDescent="0.25">
      <c r="A509" s="25" t="s">
        <v>287</v>
      </c>
      <c r="B509" s="20" t="s">
        <v>279</v>
      </c>
      <c r="C509" s="20" t="s">
        <v>133</v>
      </c>
      <c r="D509" s="20" t="s">
        <v>1018</v>
      </c>
      <c r="E509" s="20" t="s">
        <v>288</v>
      </c>
      <c r="F509" s="6">
        <f t="shared" si="66"/>
        <v>559.70000000000005</v>
      </c>
    </row>
    <row r="510" spans="1:8" ht="15.75" customHeight="1" x14ac:dyDescent="0.25">
      <c r="A510" s="25" t="s">
        <v>289</v>
      </c>
      <c r="B510" s="20" t="s">
        <v>279</v>
      </c>
      <c r="C510" s="20" t="s">
        <v>133</v>
      </c>
      <c r="D510" s="20" t="s">
        <v>1018</v>
      </c>
      <c r="E510" s="20" t="s">
        <v>290</v>
      </c>
      <c r="F510" s="6">
        <f>'Пр.4 ведом.20'!G568</f>
        <v>559.70000000000005</v>
      </c>
    </row>
    <row r="511" spans="1:8" ht="71.45" customHeight="1" x14ac:dyDescent="0.25">
      <c r="A511" s="31" t="s">
        <v>306</v>
      </c>
      <c r="B511" s="20" t="s">
        <v>279</v>
      </c>
      <c r="C511" s="20" t="s">
        <v>133</v>
      </c>
      <c r="D511" s="20" t="s">
        <v>1021</v>
      </c>
      <c r="E511" s="20"/>
      <c r="F511" s="6">
        <f t="shared" ref="F511:F512" si="67">F512</f>
        <v>1629.3</v>
      </c>
    </row>
    <row r="512" spans="1:8" ht="47.25" customHeight="1" x14ac:dyDescent="0.25">
      <c r="A512" s="25" t="s">
        <v>287</v>
      </c>
      <c r="B512" s="20" t="s">
        <v>279</v>
      </c>
      <c r="C512" s="20" t="s">
        <v>133</v>
      </c>
      <c r="D512" s="20" t="s">
        <v>1021</v>
      </c>
      <c r="E512" s="20" t="s">
        <v>288</v>
      </c>
      <c r="F512" s="6">
        <f t="shared" si="67"/>
        <v>1629.3</v>
      </c>
    </row>
    <row r="513" spans="1:6" ht="15.75" customHeight="1" x14ac:dyDescent="0.25">
      <c r="A513" s="25" t="s">
        <v>289</v>
      </c>
      <c r="B513" s="20" t="s">
        <v>279</v>
      </c>
      <c r="C513" s="20" t="s">
        <v>133</v>
      </c>
      <c r="D513" s="20" t="s">
        <v>1021</v>
      </c>
      <c r="E513" s="20" t="s">
        <v>290</v>
      </c>
      <c r="F513" s="6">
        <f>'Пр.4 ведом.20'!G571</f>
        <v>1629.3</v>
      </c>
    </row>
    <row r="514" spans="1:6" ht="94.5" x14ac:dyDescent="0.25">
      <c r="A514" s="31" t="s">
        <v>1460</v>
      </c>
      <c r="B514" s="20" t="s">
        <v>279</v>
      </c>
      <c r="C514" s="20" t="s">
        <v>133</v>
      </c>
      <c r="D514" s="20" t="s">
        <v>1020</v>
      </c>
      <c r="E514" s="20"/>
      <c r="F514" s="6">
        <f t="shared" ref="F514:F515" si="68">F515</f>
        <v>80735.399999999994</v>
      </c>
    </row>
    <row r="515" spans="1:6" ht="31.5" x14ac:dyDescent="0.25">
      <c r="A515" s="25" t="s">
        <v>287</v>
      </c>
      <c r="B515" s="20" t="s">
        <v>279</v>
      </c>
      <c r="C515" s="20" t="s">
        <v>133</v>
      </c>
      <c r="D515" s="20" t="s">
        <v>1020</v>
      </c>
      <c r="E515" s="20" t="s">
        <v>288</v>
      </c>
      <c r="F515" s="6">
        <f t="shared" si="68"/>
        <v>80735.399999999994</v>
      </c>
    </row>
    <row r="516" spans="1:6" ht="15.75" x14ac:dyDescent="0.25">
      <c r="A516" s="25" t="s">
        <v>289</v>
      </c>
      <c r="B516" s="20" t="s">
        <v>279</v>
      </c>
      <c r="C516" s="20" t="s">
        <v>133</v>
      </c>
      <c r="D516" s="20" t="s">
        <v>1020</v>
      </c>
      <c r="E516" s="20" t="s">
        <v>290</v>
      </c>
      <c r="F516" s="6">
        <f>'Пр.4 ведом.20'!G574</f>
        <v>80735.399999999994</v>
      </c>
    </row>
    <row r="517" spans="1:6" ht="94.5" x14ac:dyDescent="0.25">
      <c r="A517" s="31" t="s">
        <v>308</v>
      </c>
      <c r="B517" s="20" t="s">
        <v>279</v>
      </c>
      <c r="C517" s="20" t="s">
        <v>133</v>
      </c>
      <c r="D517" s="20" t="s">
        <v>1022</v>
      </c>
      <c r="E517" s="20"/>
      <c r="F517" s="6">
        <f t="shared" ref="F517:F518" si="69">F518</f>
        <v>950.00000000000045</v>
      </c>
    </row>
    <row r="518" spans="1:6" ht="31.5" x14ac:dyDescent="0.25">
      <c r="A518" s="25" t="s">
        <v>287</v>
      </c>
      <c r="B518" s="20" t="s">
        <v>279</v>
      </c>
      <c r="C518" s="20" t="s">
        <v>133</v>
      </c>
      <c r="D518" s="20" t="s">
        <v>1022</v>
      </c>
      <c r="E518" s="20" t="s">
        <v>288</v>
      </c>
      <c r="F518" s="6">
        <f t="shared" si="69"/>
        <v>950.00000000000045</v>
      </c>
    </row>
    <row r="519" spans="1:6" ht="15.75" x14ac:dyDescent="0.25">
      <c r="A519" s="25" t="s">
        <v>289</v>
      </c>
      <c r="B519" s="20" t="s">
        <v>279</v>
      </c>
      <c r="C519" s="20" t="s">
        <v>133</v>
      </c>
      <c r="D519" s="20" t="s">
        <v>1022</v>
      </c>
      <c r="E519" s="20" t="s">
        <v>290</v>
      </c>
      <c r="F519" s="6">
        <f>'Пр.4 ведом.20'!G577</f>
        <v>950.00000000000045</v>
      </c>
    </row>
    <row r="520" spans="1:6" ht="31.7" customHeight="1" x14ac:dyDescent="0.25">
      <c r="A520" s="23" t="s">
        <v>426</v>
      </c>
      <c r="B520" s="24" t="s">
        <v>279</v>
      </c>
      <c r="C520" s="24" t="s">
        <v>133</v>
      </c>
      <c r="D520" s="24" t="s">
        <v>427</v>
      </c>
      <c r="E520" s="24"/>
      <c r="F520" s="4">
        <f>F521+F531+F541+F553</f>
        <v>10997.7</v>
      </c>
    </row>
    <row r="521" spans="1:6" ht="36" customHeight="1" x14ac:dyDescent="0.25">
      <c r="A521" s="23" t="s">
        <v>1005</v>
      </c>
      <c r="B521" s="24" t="s">
        <v>279</v>
      </c>
      <c r="C521" s="24" t="s">
        <v>133</v>
      </c>
      <c r="D521" s="24" t="s">
        <v>1006</v>
      </c>
      <c r="E521" s="24"/>
      <c r="F521" s="4">
        <f>F522+F525+F528</f>
        <v>4430</v>
      </c>
    </row>
    <row r="522" spans="1:6" ht="40.700000000000003" hidden="1" customHeight="1" x14ac:dyDescent="0.25">
      <c r="A522" s="25" t="s">
        <v>293</v>
      </c>
      <c r="B522" s="20" t="s">
        <v>279</v>
      </c>
      <c r="C522" s="20" t="s">
        <v>133</v>
      </c>
      <c r="D522" s="20" t="s">
        <v>1007</v>
      </c>
      <c r="E522" s="20"/>
      <c r="F522" s="6">
        <f>F523</f>
        <v>0</v>
      </c>
    </row>
    <row r="523" spans="1:6" ht="42" hidden="1" customHeight="1" x14ac:dyDescent="0.25">
      <c r="A523" s="25" t="s">
        <v>287</v>
      </c>
      <c r="B523" s="20" t="s">
        <v>279</v>
      </c>
      <c r="C523" s="20" t="s">
        <v>133</v>
      </c>
      <c r="D523" s="20" t="s">
        <v>1007</v>
      </c>
      <c r="E523" s="20" t="s">
        <v>288</v>
      </c>
      <c r="F523" s="6">
        <f t="shared" ref="F523" si="70">F524</f>
        <v>0</v>
      </c>
    </row>
    <row r="524" spans="1:6" ht="20.25" hidden="1" customHeight="1" x14ac:dyDescent="0.25">
      <c r="A524" s="25" t="s">
        <v>289</v>
      </c>
      <c r="B524" s="20" t="s">
        <v>279</v>
      </c>
      <c r="C524" s="20" t="s">
        <v>133</v>
      </c>
      <c r="D524" s="20" t="s">
        <v>1007</v>
      </c>
      <c r="E524" s="20" t="s">
        <v>290</v>
      </c>
      <c r="F524" s="6">
        <f>'Пр.4 ведом.20'!G582</f>
        <v>0</v>
      </c>
    </row>
    <row r="525" spans="1:6" ht="39.200000000000003" hidden="1" customHeight="1" x14ac:dyDescent="0.25">
      <c r="A525" s="25" t="s">
        <v>295</v>
      </c>
      <c r="B525" s="20" t="s">
        <v>279</v>
      </c>
      <c r="C525" s="20" t="s">
        <v>133</v>
      </c>
      <c r="D525" s="20" t="s">
        <v>1008</v>
      </c>
      <c r="E525" s="20"/>
      <c r="F525" s="6">
        <f>F526</f>
        <v>0</v>
      </c>
    </row>
    <row r="526" spans="1:6" ht="35.450000000000003" hidden="1" customHeight="1" x14ac:dyDescent="0.25">
      <c r="A526" s="25" t="s">
        <v>287</v>
      </c>
      <c r="B526" s="20" t="s">
        <v>279</v>
      </c>
      <c r="C526" s="20" t="s">
        <v>133</v>
      </c>
      <c r="D526" s="20" t="s">
        <v>1008</v>
      </c>
      <c r="E526" s="20" t="s">
        <v>288</v>
      </c>
      <c r="F526" s="6">
        <f t="shared" ref="F526" si="71">F527</f>
        <v>0</v>
      </c>
    </row>
    <row r="527" spans="1:6" ht="17.45" hidden="1" customHeight="1" x14ac:dyDescent="0.25">
      <c r="A527" s="25" t="s">
        <v>289</v>
      </c>
      <c r="B527" s="20" t="s">
        <v>279</v>
      </c>
      <c r="C527" s="20" t="s">
        <v>133</v>
      </c>
      <c r="D527" s="20" t="s">
        <v>1008</v>
      </c>
      <c r="E527" s="20" t="s">
        <v>290</v>
      </c>
      <c r="F527" s="6">
        <f>'Пр.4 ведом.20'!G585</f>
        <v>0</v>
      </c>
    </row>
    <row r="528" spans="1:6" ht="38.25" customHeight="1" x14ac:dyDescent="0.25">
      <c r="A528" s="29" t="s">
        <v>430</v>
      </c>
      <c r="B528" s="20" t="s">
        <v>279</v>
      </c>
      <c r="C528" s="20" t="s">
        <v>133</v>
      </c>
      <c r="D528" s="20" t="s">
        <v>1009</v>
      </c>
      <c r="E528" s="20"/>
      <c r="F528" s="6">
        <f>F529</f>
        <v>4430</v>
      </c>
    </row>
    <row r="529" spans="1:8" ht="34.5" customHeight="1" x14ac:dyDescent="0.25">
      <c r="A529" s="25" t="s">
        <v>287</v>
      </c>
      <c r="B529" s="20" t="s">
        <v>279</v>
      </c>
      <c r="C529" s="20" t="s">
        <v>133</v>
      </c>
      <c r="D529" s="20" t="s">
        <v>1009</v>
      </c>
      <c r="E529" s="20" t="s">
        <v>288</v>
      </c>
      <c r="F529" s="6">
        <f>F530</f>
        <v>4430</v>
      </c>
    </row>
    <row r="530" spans="1:8" ht="15.75" x14ac:dyDescent="0.25">
      <c r="A530" s="25" t="s">
        <v>289</v>
      </c>
      <c r="B530" s="20" t="s">
        <v>279</v>
      </c>
      <c r="C530" s="20" t="s">
        <v>133</v>
      </c>
      <c r="D530" s="20" t="s">
        <v>1009</v>
      </c>
      <c r="E530" s="20" t="s">
        <v>290</v>
      </c>
      <c r="F530" s="6">
        <f>'Пр.4 ведом.20'!G588</f>
        <v>4430</v>
      </c>
    </row>
    <row r="531" spans="1:8" ht="31.5" x14ac:dyDescent="0.25">
      <c r="A531" s="246" t="s">
        <v>1075</v>
      </c>
      <c r="B531" s="24" t="s">
        <v>279</v>
      </c>
      <c r="C531" s="24" t="s">
        <v>133</v>
      </c>
      <c r="D531" s="24" t="s">
        <v>1010</v>
      </c>
      <c r="E531" s="24"/>
      <c r="F531" s="4">
        <f>F532+F535+F538</f>
        <v>4610</v>
      </c>
    </row>
    <row r="532" spans="1:8" ht="31.5" hidden="1" x14ac:dyDescent="0.25">
      <c r="A532" s="25" t="s">
        <v>299</v>
      </c>
      <c r="B532" s="20" t="s">
        <v>279</v>
      </c>
      <c r="C532" s="20" t="s">
        <v>133</v>
      </c>
      <c r="D532" s="20" t="s">
        <v>1011</v>
      </c>
      <c r="E532" s="20"/>
      <c r="F532" s="6">
        <f>F533</f>
        <v>0</v>
      </c>
    </row>
    <row r="533" spans="1:8" ht="31.5" hidden="1" x14ac:dyDescent="0.25">
      <c r="A533" s="25" t="s">
        <v>287</v>
      </c>
      <c r="B533" s="20" t="s">
        <v>279</v>
      </c>
      <c r="C533" s="20" t="s">
        <v>133</v>
      </c>
      <c r="D533" s="20" t="s">
        <v>1011</v>
      </c>
      <c r="E533" s="20" t="s">
        <v>288</v>
      </c>
      <c r="F533" s="6">
        <f>F534</f>
        <v>0</v>
      </c>
    </row>
    <row r="534" spans="1:8" ht="15.75" hidden="1" x14ac:dyDescent="0.25">
      <c r="A534" s="25" t="s">
        <v>289</v>
      </c>
      <c r="B534" s="20" t="s">
        <v>279</v>
      </c>
      <c r="C534" s="20" t="s">
        <v>133</v>
      </c>
      <c r="D534" s="20" t="s">
        <v>1011</v>
      </c>
      <c r="E534" s="20" t="s">
        <v>290</v>
      </c>
      <c r="F534" s="6">
        <f>'Пр.4 ведом.20'!G592</f>
        <v>0</v>
      </c>
    </row>
    <row r="535" spans="1:8" ht="31.5" x14ac:dyDescent="0.25">
      <c r="A535" s="60" t="s">
        <v>785</v>
      </c>
      <c r="B535" s="20" t="s">
        <v>279</v>
      </c>
      <c r="C535" s="20" t="s">
        <v>133</v>
      </c>
      <c r="D535" s="20" t="s">
        <v>1012</v>
      </c>
      <c r="E535" s="20"/>
      <c r="F535" s="6">
        <f>F536</f>
        <v>2850</v>
      </c>
    </row>
    <row r="536" spans="1:8" ht="31.5" x14ac:dyDescent="0.25">
      <c r="A536" s="29" t="s">
        <v>287</v>
      </c>
      <c r="B536" s="20" t="s">
        <v>279</v>
      </c>
      <c r="C536" s="20" t="s">
        <v>133</v>
      </c>
      <c r="D536" s="20" t="s">
        <v>1012</v>
      </c>
      <c r="E536" s="20" t="s">
        <v>288</v>
      </c>
      <c r="F536" s="6">
        <f>F537</f>
        <v>2850</v>
      </c>
    </row>
    <row r="537" spans="1:8" ht="15.75" x14ac:dyDescent="0.25">
      <c r="A537" s="193" t="s">
        <v>289</v>
      </c>
      <c r="B537" s="20" t="s">
        <v>279</v>
      </c>
      <c r="C537" s="20" t="s">
        <v>133</v>
      </c>
      <c r="D537" s="20" t="s">
        <v>1012</v>
      </c>
      <c r="E537" s="20" t="s">
        <v>290</v>
      </c>
      <c r="F537" s="6">
        <f>'Пр.4 ведом.20'!G595</f>
        <v>2850</v>
      </c>
    </row>
    <row r="538" spans="1:8" ht="47.25" x14ac:dyDescent="0.25">
      <c r="A538" s="60" t="s">
        <v>786</v>
      </c>
      <c r="B538" s="20" t="s">
        <v>279</v>
      </c>
      <c r="C538" s="20" t="s">
        <v>133</v>
      </c>
      <c r="D538" s="20" t="s">
        <v>1013</v>
      </c>
      <c r="E538" s="20"/>
      <c r="F538" s="6">
        <f>F539</f>
        <v>1760</v>
      </c>
    </row>
    <row r="539" spans="1:8" ht="31.5" x14ac:dyDescent="0.25">
      <c r="A539" s="29" t="s">
        <v>287</v>
      </c>
      <c r="B539" s="20" t="s">
        <v>279</v>
      </c>
      <c r="C539" s="20" t="s">
        <v>133</v>
      </c>
      <c r="D539" s="20" t="s">
        <v>1013</v>
      </c>
      <c r="E539" s="20" t="s">
        <v>288</v>
      </c>
      <c r="F539" s="6">
        <f>F540</f>
        <v>1760</v>
      </c>
    </row>
    <row r="540" spans="1:8" ht="15.75" x14ac:dyDescent="0.25">
      <c r="A540" s="193" t="s">
        <v>289</v>
      </c>
      <c r="B540" s="20" t="s">
        <v>279</v>
      </c>
      <c r="C540" s="20" t="s">
        <v>133</v>
      </c>
      <c r="D540" s="20" t="s">
        <v>1013</v>
      </c>
      <c r="E540" s="20" t="s">
        <v>290</v>
      </c>
      <c r="F540" s="6">
        <f>'Пр.4 ведом.20'!G598</f>
        <v>1760</v>
      </c>
    </row>
    <row r="541" spans="1:8" ht="65.25" customHeight="1" x14ac:dyDescent="0.25">
      <c r="A541" s="23" t="s">
        <v>1014</v>
      </c>
      <c r="B541" s="24" t="s">
        <v>279</v>
      </c>
      <c r="C541" s="24" t="s">
        <v>133</v>
      </c>
      <c r="D541" s="24" t="s">
        <v>1015</v>
      </c>
      <c r="E541" s="24"/>
      <c r="F541" s="4">
        <f>F542+F545</f>
        <v>291.10000000000002</v>
      </c>
      <c r="H541" s="22"/>
    </row>
    <row r="542" spans="1:8" ht="126" x14ac:dyDescent="0.25">
      <c r="A542" s="25" t="s">
        <v>1468</v>
      </c>
      <c r="B542" s="20" t="s">
        <v>279</v>
      </c>
      <c r="C542" s="20" t="s">
        <v>133</v>
      </c>
      <c r="D542" s="20" t="s">
        <v>1016</v>
      </c>
      <c r="E542" s="20"/>
      <c r="F542" s="6">
        <f>F543</f>
        <v>124.4</v>
      </c>
      <c r="H542" s="22"/>
    </row>
    <row r="543" spans="1:8" ht="31.5" x14ac:dyDescent="0.25">
      <c r="A543" s="29" t="s">
        <v>287</v>
      </c>
      <c r="B543" s="20" t="s">
        <v>279</v>
      </c>
      <c r="C543" s="20" t="s">
        <v>133</v>
      </c>
      <c r="D543" s="20" t="s">
        <v>1016</v>
      </c>
      <c r="E543" s="20" t="s">
        <v>288</v>
      </c>
      <c r="F543" s="6">
        <f>F544</f>
        <v>124.4</v>
      </c>
      <c r="H543" s="22"/>
    </row>
    <row r="544" spans="1:8" ht="15.75" x14ac:dyDescent="0.25">
      <c r="A544" s="193" t="s">
        <v>289</v>
      </c>
      <c r="B544" s="20" t="s">
        <v>279</v>
      </c>
      <c r="C544" s="20" t="s">
        <v>133</v>
      </c>
      <c r="D544" s="20" t="s">
        <v>1016</v>
      </c>
      <c r="E544" s="20" t="s">
        <v>290</v>
      </c>
      <c r="F544" s="6">
        <f>'Пр.4 ведом.20'!G602</f>
        <v>124.4</v>
      </c>
      <c r="H544" s="22"/>
    </row>
    <row r="545" spans="1:6" ht="126" x14ac:dyDescent="0.25">
      <c r="A545" s="25" t="s">
        <v>438</v>
      </c>
      <c r="B545" s="20" t="s">
        <v>279</v>
      </c>
      <c r="C545" s="20" t="s">
        <v>133</v>
      </c>
      <c r="D545" s="20" t="s">
        <v>1017</v>
      </c>
      <c r="E545" s="20"/>
      <c r="F545" s="6">
        <f t="shared" ref="F545:F546" si="72">F546</f>
        <v>166.7</v>
      </c>
    </row>
    <row r="546" spans="1:6" ht="31.5" x14ac:dyDescent="0.25">
      <c r="A546" s="25" t="s">
        <v>287</v>
      </c>
      <c r="B546" s="20" t="s">
        <v>279</v>
      </c>
      <c r="C546" s="20" t="s">
        <v>133</v>
      </c>
      <c r="D546" s="20" t="s">
        <v>1017</v>
      </c>
      <c r="E546" s="20" t="s">
        <v>288</v>
      </c>
      <c r="F546" s="6">
        <f t="shared" si="72"/>
        <v>166.7</v>
      </c>
    </row>
    <row r="547" spans="1:6" ht="15.75" x14ac:dyDescent="0.25">
      <c r="A547" s="25" t="s">
        <v>289</v>
      </c>
      <c r="B547" s="20" t="s">
        <v>279</v>
      </c>
      <c r="C547" s="20" t="s">
        <v>133</v>
      </c>
      <c r="D547" s="20" t="s">
        <v>1017</v>
      </c>
      <c r="E547" s="20" t="s">
        <v>290</v>
      </c>
      <c r="F547" s="6">
        <f>'Пр.4 ведом.20'!G605</f>
        <v>166.7</v>
      </c>
    </row>
    <row r="548" spans="1:6" ht="65.25" hidden="1" customHeight="1" x14ac:dyDescent="0.25">
      <c r="A548" s="34" t="s">
        <v>803</v>
      </c>
      <c r="B548" s="24" t="s">
        <v>279</v>
      </c>
      <c r="C548" s="24" t="s">
        <v>133</v>
      </c>
      <c r="D548" s="24" t="s">
        <v>339</v>
      </c>
      <c r="E548" s="24"/>
      <c r="F548" s="4">
        <f>F549</f>
        <v>0</v>
      </c>
    </row>
    <row r="549" spans="1:6" ht="63" hidden="1" x14ac:dyDescent="0.25">
      <c r="A549" s="34" t="s">
        <v>1160</v>
      </c>
      <c r="B549" s="24" t="s">
        <v>279</v>
      </c>
      <c r="C549" s="24" t="s">
        <v>133</v>
      </c>
      <c r="D549" s="24" t="s">
        <v>1023</v>
      </c>
      <c r="E549" s="24"/>
      <c r="F549" s="4">
        <f>F550</f>
        <v>0</v>
      </c>
    </row>
    <row r="550" spans="1:6" ht="47.25" hidden="1" x14ac:dyDescent="0.25">
      <c r="A550" s="31" t="s">
        <v>1159</v>
      </c>
      <c r="B550" s="20" t="s">
        <v>279</v>
      </c>
      <c r="C550" s="20" t="s">
        <v>133</v>
      </c>
      <c r="D550" s="20" t="s">
        <v>1024</v>
      </c>
      <c r="E550" s="20"/>
      <c r="F550" s="6">
        <f>F551</f>
        <v>0</v>
      </c>
    </row>
    <row r="551" spans="1:6" ht="31.5" hidden="1" x14ac:dyDescent="0.25">
      <c r="A551" s="31" t="s">
        <v>287</v>
      </c>
      <c r="B551" s="20" t="s">
        <v>279</v>
      </c>
      <c r="C551" s="20" t="s">
        <v>133</v>
      </c>
      <c r="D551" s="20" t="s">
        <v>1024</v>
      </c>
      <c r="E551" s="20" t="s">
        <v>288</v>
      </c>
      <c r="F551" s="6">
        <f t="shared" ref="F551" si="73">F552</f>
        <v>0</v>
      </c>
    </row>
    <row r="552" spans="1:6" ht="15.75" hidden="1" x14ac:dyDescent="0.25">
      <c r="A552" s="31" t="s">
        <v>289</v>
      </c>
      <c r="B552" s="20" t="s">
        <v>279</v>
      </c>
      <c r="C552" s="20" t="s">
        <v>133</v>
      </c>
      <c r="D552" s="20" t="s">
        <v>1024</v>
      </c>
      <c r="E552" s="20" t="s">
        <v>290</v>
      </c>
      <c r="F552" s="6">
        <f>'Пр.4 ведом.20'!G617</f>
        <v>0</v>
      </c>
    </row>
    <row r="553" spans="1:6" s="221" customFormat="1" ht="94.5" x14ac:dyDescent="0.25">
      <c r="A553" s="23" t="s">
        <v>1405</v>
      </c>
      <c r="B553" s="24" t="s">
        <v>279</v>
      </c>
      <c r="C553" s="24" t="s">
        <v>133</v>
      </c>
      <c r="D553" s="24" t="s">
        <v>1403</v>
      </c>
      <c r="E553" s="24"/>
      <c r="F553" s="21">
        <f>F554+F557</f>
        <v>1666.6</v>
      </c>
    </row>
    <row r="554" spans="1:6" s="221" customFormat="1" ht="94.5" x14ac:dyDescent="0.25">
      <c r="A554" s="151" t="s">
        <v>1469</v>
      </c>
      <c r="B554" s="20" t="s">
        <v>279</v>
      </c>
      <c r="C554" s="20" t="s">
        <v>133</v>
      </c>
      <c r="D554" s="20" t="s">
        <v>1407</v>
      </c>
      <c r="E554" s="20"/>
      <c r="F554" s="26">
        <f>F555</f>
        <v>0</v>
      </c>
    </row>
    <row r="555" spans="1:6" s="221" customFormat="1" ht="31.5" x14ac:dyDescent="0.25">
      <c r="A555" s="25" t="s">
        <v>287</v>
      </c>
      <c r="B555" s="20" t="s">
        <v>279</v>
      </c>
      <c r="C555" s="20" t="s">
        <v>133</v>
      </c>
      <c r="D555" s="20" t="s">
        <v>1407</v>
      </c>
      <c r="E555" s="20" t="s">
        <v>288</v>
      </c>
      <c r="F555" s="26">
        <f>F556</f>
        <v>0</v>
      </c>
    </row>
    <row r="556" spans="1:6" s="221" customFormat="1" ht="15.75" x14ac:dyDescent="0.25">
      <c r="A556" s="25" t="s">
        <v>289</v>
      </c>
      <c r="B556" s="20" t="s">
        <v>279</v>
      </c>
      <c r="C556" s="20" t="s">
        <v>133</v>
      </c>
      <c r="D556" s="20" t="s">
        <v>1407</v>
      </c>
      <c r="E556" s="20" t="s">
        <v>290</v>
      </c>
      <c r="F556" s="26">
        <v>0</v>
      </c>
    </row>
    <row r="557" spans="1:6" s="221" customFormat="1" ht="97.5" customHeight="1" x14ac:dyDescent="0.25">
      <c r="A557" s="151" t="s">
        <v>1404</v>
      </c>
      <c r="B557" s="20" t="s">
        <v>279</v>
      </c>
      <c r="C557" s="20" t="s">
        <v>133</v>
      </c>
      <c r="D557" s="20" t="s">
        <v>1406</v>
      </c>
      <c r="E557" s="20"/>
      <c r="F557" s="26">
        <f>F558</f>
        <v>1666.6</v>
      </c>
    </row>
    <row r="558" spans="1:6" s="221" customFormat="1" ht="31.5" x14ac:dyDescent="0.25">
      <c r="A558" s="25" t="s">
        <v>287</v>
      </c>
      <c r="B558" s="20" t="s">
        <v>279</v>
      </c>
      <c r="C558" s="20" t="s">
        <v>133</v>
      </c>
      <c r="D558" s="20" t="s">
        <v>1406</v>
      </c>
      <c r="E558" s="20" t="s">
        <v>288</v>
      </c>
      <c r="F558" s="26">
        <f>F559</f>
        <v>1666.6</v>
      </c>
    </row>
    <row r="559" spans="1:6" s="221" customFormat="1" ht="15.75" x14ac:dyDescent="0.25">
      <c r="A559" s="25" t="s">
        <v>289</v>
      </c>
      <c r="B559" s="20" t="s">
        <v>279</v>
      </c>
      <c r="C559" s="20" t="s">
        <v>133</v>
      </c>
      <c r="D559" s="20" t="s">
        <v>1406</v>
      </c>
      <c r="E559" s="20" t="s">
        <v>290</v>
      </c>
      <c r="F559" s="26">
        <v>1666.6</v>
      </c>
    </row>
    <row r="560" spans="1:6" ht="63" x14ac:dyDescent="0.25">
      <c r="A560" s="41" t="s">
        <v>728</v>
      </c>
      <c r="B560" s="24" t="s">
        <v>279</v>
      </c>
      <c r="C560" s="24" t="s">
        <v>133</v>
      </c>
      <c r="D560" s="24" t="s">
        <v>726</v>
      </c>
      <c r="E560" s="250"/>
      <c r="F560" s="4">
        <f>F561</f>
        <v>464.3</v>
      </c>
    </row>
    <row r="561" spans="1:8" ht="47.25" x14ac:dyDescent="0.25">
      <c r="A561" s="41" t="s">
        <v>947</v>
      </c>
      <c r="B561" s="24" t="s">
        <v>279</v>
      </c>
      <c r="C561" s="24" t="s">
        <v>133</v>
      </c>
      <c r="D561" s="24" t="s">
        <v>945</v>
      </c>
      <c r="E561" s="250"/>
      <c r="F561" s="4">
        <f t="shared" ref="F561:F562" si="74">F562</f>
        <v>464.3</v>
      </c>
    </row>
    <row r="562" spans="1:8" ht="47.25" x14ac:dyDescent="0.25">
      <c r="A562" s="99" t="s">
        <v>801</v>
      </c>
      <c r="B562" s="20" t="s">
        <v>279</v>
      </c>
      <c r="C562" s="20" t="s">
        <v>133</v>
      </c>
      <c r="D562" s="20" t="s">
        <v>1025</v>
      </c>
      <c r="E562" s="32"/>
      <c r="F562" s="6">
        <f t="shared" si="74"/>
        <v>464.3</v>
      </c>
    </row>
    <row r="563" spans="1:8" ht="31.5" x14ac:dyDescent="0.25">
      <c r="A563" s="29" t="s">
        <v>287</v>
      </c>
      <c r="B563" s="20" t="s">
        <v>279</v>
      </c>
      <c r="C563" s="20" t="s">
        <v>133</v>
      </c>
      <c r="D563" s="20" t="s">
        <v>1025</v>
      </c>
      <c r="E563" s="32" t="s">
        <v>288</v>
      </c>
      <c r="F563" s="6">
        <f>F564</f>
        <v>464.3</v>
      </c>
    </row>
    <row r="564" spans="1:8" ht="24.75" customHeight="1" x14ac:dyDescent="0.25">
      <c r="A564" s="193" t="s">
        <v>289</v>
      </c>
      <c r="B564" s="20" t="s">
        <v>279</v>
      </c>
      <c r="C564" s="20" t="s">
        <v>133</v>
      </c>
      <c r="D564" s="20" t="s">
        <v>1025</v>
      </c>
      <c r="E564" s="32" t="s">
        <v>290</v>
      </c>
      <c r="F564" s="6">
        <f>'Пр.4 ведом.20'!G622</f>
        <v>464.3</v>
      </c>
    </row>
    <row r="565" spans="1:8" ht="15.75" x14ac:dyDescent="0.25">
      <c r="A565" s="41" t="s">
        <v>440</v>
      </c>
      <c r="B565" s="7" t="s">
        <v>279</v>
      </c>
      <c r="C565" s="7" t="s">
        <v>228</v>
      </c>
      <c r="D565" s="7"/>
      <c r="E565" s="7"/>
      <c r="F565" s="4">
        <f>F566+F639+F648</f>
        <v>191118.55900000001</v>
      </c>
      <c r="H565" s="22"/>
    </row>
    <row r="566" spans="1:8" ht="47.25" x14ac:dyDescent="0.25">
      <c r="A566" s="23" t="s">
        <v>441</v>
      </c>
      <c r="B566" s="24" t="s">
        <v>279</v>
      </c>
      <c r="C566" s="24" t="s">
        <v>228</v>
      </c>
      <c r="D566" s="24" t="s">
        <v>421</v>
      </c>
      <c r="E566" s="24"/>
      <c r="F566" s="4">
        <f>F567+F597</f>
        <v>190245.25900000002</v>
      </c>
    </row>
    <row r="567" spans="1:8" ht="36" customHeight="1" x14ac:dyDescent="0.25">
      <c r="A567" s="23" t="s">
        <v>422</v>
      </c>
      <c r="B567" s="24" t="s">
        <v>279</v>
      </c>
      <c r="C567" s="24" t="s">
        <v>228</v>
      </c>
      <c r="D567" s="24" t="s">
        <v>423</v>
      </c>
      <c r="E567" s="24"/>
      <c r="F567" s="4">
        <f>F568+F578</f>
        <v>179775.7</v>
      </c>
    </row>
    <row r="568" spans="1:8" ht="31.5" x14ac:dyDescent="0.25">
      <c r="A568" s="23" t="s">
        <v>1026</v>
      </c>
      <c r="B568" s="24" t="s">
        <v>279</v>
      </c>
      <c r="C568" s="24" t="s">
        <v>228</v>
      </c>
      <c r="D568" s="24" t="s">
        <v>1004</v>
      </c>
      <c r="E568" s="24"/>
      <c r="F568" s="4">
        <f>F569+F572+F575</f>
        <v>27339</v>
      </c>
    </row>
    <row r="569" spans="1:8" ht="47.25" x14ac:dyDescent="0.25">
      <c r="A569" s="25" t="s">
        <v>1066</v>
      </c>
      <c r="B569" s="20" t="s">
        <v>279</v>
      </c>
      <c r="C569" s="20" t="s">
        <v>228</v>
      </c>
      <c r="D569" s="20" t="s">
        <v>1063</v>
      </c>
      <c r="E569" s="20"/>
      <c r="F569" s="338">
        <f t="shared" ref="F569" si="75">F570</f>
        <v>9301.4000000000015</v>
      </c>
    </row>
    <row r="570" spans="1:8" ht="39.75" customHeight="1" x14ac:dyDescent="0.25">
      <c r="A570" s="25" t="s">
        <v>287</v>
      </c>
      <c r="B570" s="20" t="s">
        <v>279</v>
      </c>
      <c r="C570" s="20" t="s">
        <v>228</v>
      </c>
      <c r="D570" s="20" t="s">
        <v>1063</v>
      </c>
      <c r="E570" s="20" t="s">
        <v>288</v>
      </c>
      <c r="F570" s="338">
        <f>'Пр.4 ведом.20'!G629</f>
        <v>9301.4000000000015</v>
      </c>
    </row>
    <row r="571" spans="1:8" ht="15.75" x14ac:dyDescent="0.25">
      <c r="A571" s="25" t="s">
        <v>289</v>
      </c>
      <c r="B571" s="20" t="s">
        <v>279</v>
      </c>
      <c r="C571" s="20" t="s">
        <v>228</v>
      </c>
      <c r="D571" s="20" t="s">
        <v>1063</v>
      </c>
      <c r="E571" s="20" t="s">
        <v>290</v>
      </c>
      <c r="F571" s="6">
        <f>'Пр.4 ведом.20'!G629</f>
        <v>9301.4000000000015</v>
      </c>
    </row>
    <row r="572" spans="1:8" ht="47.25" customHeight="1" x14ac:dyDescent="0.25">
      <c r="A572" s="25" t="s">
        <v>1067</v>
      </c>
      <c r="B572" s="20" t="s">
        <v>279</v>
      </c>
      <c r="C572" s="20" t="s">
        <v>228</v>
      </c>
      <c r="D572" s="20" t="s">
        <v>1064</v>
      </c>
      <c r="E572" s="20"/>
      <c r="F572" s="6">
        <f t="shared" ref="F572:F573" si="76">F573</f>
        <v>11361.7</v>
      </c>
    </row>
    <row r="573" spans="1:8" ht="35.450000000000003" customHeight="1" x14ac:dyDescent="0.25">
      <c r="A573" s="25" t="s">
        <v>287</v>
      </c>
      <c r="B573" s="20" t="s">
        <v>279</v>
      </c>
      <c r="C573" s="20" t="s">
        <v>228</v>
      </c>
      <c r="D573" s="20" t="s">
        <v>1064</v>
      </c>
      <c r="E573" s="20" t="s">
        <v>288</v>
      </c>
      <c r="F573" s="6">
        <f t="shared" si="76"/>
        <v>11361.7</v>
      </c>
    </row>
    <row r="574" spans="1:8" ht="15.75" customHeight="1" x14ac:dyDescent="0.25">
      <c r="A574" s="25" t="s">
        <v>289</v>
      </c>
      <c r="B574" s="20" t="s">
        <v>279</v>
      </c>
      <c r="C574" s="20" t="s">
        <v>228</v>
      </c>
      <c r="D574" s="20" t="s">
        <v>1064</v>
      </c>
      <c r="E574" s="20" t="s">
        <v>290</v>
      </c>
      <c r="F574" s="6">
        <f>'Пр.4 ведом.20'!G632</f>
        <v>11361.7</v>
      </c>
    </row>
    <row r="575" spans="1:8" ht="52.5" customHeight="1" x14ac:dyDescent="0.25">
      <c r="A575" s="25" t="s">
        <v>1068</v>
      </c>
      <c r="B575" s="20" t="s">
        <v>279</v>
      </c>
      <c r="C575" s="20" t="s">
        <v>228</v>
      </c>
      <c r="D575" s="20" t="s">
        <v>1065</v>
      </c>
      <c r="E575" s="20"/>
      <c r="F575" s="6">
        <f>F576</f>
        <v>6675.9</v>
      </c>
    </row>
    <row r="576" spans="1:8" ht="34.5" customHeight="1" x14ac:dyDescent="0.25">
      <c r="A576" s="25" t="s">
        <v>287</v>
      </c>
      <c r="B576" s="20" t="s">
        <v>279</v>
      </c>
      <c r="C576" s="20" t="s">
        <v>228</v>
      </c>
      <c r="D576" s="20" t="s">
        <v>1065</v>
      </c>
      <c r="E576" s="20" t="s">
        <v>288</v>
      </c>
      <c r="F576" s="6">
        <f t="shared" ref="F576" si="77">F577</f>
        <v>6675.9</v>
      </c>
    </row>
    <row r="577" spans="1:8" ht="15" customHeight="1" x14ac:dyDescent="0.25">
      <c r="A577" s="25" t="s">
        <v>289</v>
      </c>
      <c r="B577" s="20" t="s">
        <v>279</v>
      </c>
      <c r="C577" s="20" t="s">
        <v>228</v>
      </c>
      <c r="D577" s="20" t="s">
        <v>1065</v>
      </c>
      <c r="E577" s="20" t="s">
        <v>290</v>
      </c>
      <c r="F577" s="6">
        <f>'Пр.4 ведом.20'!G635</f>
        <v>6675.9</v>
      </c>
    </row>
    <row r="578" spans="1:8" ht="47.25" customHeight="1" x14ac:dyDescent="0.25">
      <c r="A578" s="23" t="s">
        <v>969</v>
      </c>
      <c r="B578" s="24" t="s">
        <v>279</v>
      </c>
      <c r="C578" s="24" t="s">
        <v>228</v>
      </c>
      <c r="D578" s="24" t="s">
        <v>1019</v>
      </c>
      <c r="E578" s="24"/>
      <c r="F578" s="4">
        <f>F582+F585+F588+F591+F594+F579</f>
        <v>152436.70000000001</v>
      </c>
    </row>
    <row r="579" spans="1:8" s="361" customFormat="1" ht="94.5" x14ac:dyDescent="0.25">
      <c r="A579" s="31" t="s">
        <v>308</v>
      </c>
      <c r="B579" s="368" t="s">
        <v>279</v>
      </c>
      <c r="C579" s="368" t="s">
        <v>228</v>
      </c>
      <c r="D579" s="368" t="s">
        <v>1523</v>
      </c>
      <c r="E579" s="368"/>
      <c r="F579" s="6">
        <f>F580</f>
        <v>3821</v>
      </c>
    </row>
    <row r="580" spans="1:8" s="361" customFormat="1" ht="31.5" x14ac:dyDescent="0.25">
      <c r="A580" s="372" t="s">
        <v>287</v>
      </c>
      <c r="B580" s="368" t="s">
        <v>279</v>
      </c>
      <c r="C580" s="368" t="s">
        <v>228</v>
      </c>
      <c r="D580" s="368" t="s">
        <v>1523</v>
      </c>
      <c r="E580" s="368" t="s">
        <v>288</v>
      </c>
      <c r="F580" s="6">
        <f>F581</f>
        <v>3821</v>
      </c>
    </row>
    <row r="581" spans="1:8" s="361" customFormat="1" ht="15.75" x14ac:dyDescent="0.25">
      <c r="A581" s="372" t="s">
        <v>289</v>
      </c>
      <c r="B581" s="368" t="s">
        <v>279</v>
      </c>
      <c r="C581" s="368" t="s">
        <v>228</v>
      </c>
      <c r="D581" s="368" t="s">
        <v>1523</v>
      </c>
      <c r="E581" s="368" t="s">
        <v>290</v>
      </c>
      <c r="F581" s="6">
        <f>'Пр.4 ведом.20'!G639</f>
        <v>3821</v>
      </c>
    </row>
    <row r="582" spans="1:8" ht="90" customHeight="1" x14ac:dyDescent="0.25">
      <c r="A582" s="31" t="s">
        <v>1461</v>
      </c>
      <c r="B582" s="20" t="s">
        <v>279</v>
      </c>
      <c r="C582" s="20" t="s">
        <v>228</v>
      </c>
      <c r="D582" s="20" t="s">
        <v>1047</v>
      </c>
      <c r="E582" s="20"/>
      <c r="F582" s="6">
        <f>F583</f>
        <v>143160</v>
      </c>
    </row>
    <row r="583" spans="1:8" ht="35.450000000000003" customHeight="1" x14ac:dyDescent="0.25">
      <c r="A583" s="25" t="s">
        <v>287</v>
      </c>
      <c r="B583" s="20" t="s">
        <v>279</v>
      </c>
      <c r="C583" s="20" t="s">
        <v>228</v>
      </c>
      <c r="D583" s="20" t="s">
        <v>1047</v>
      </c>
      <c r="E583" s="20" t="s">
        <v>288</v>
      </c>
      <c r="F583" s="6">
        <f t="shared" ref="F583" si="78">F584</f>
        <v>143160</v>
      </c>
    </row>
    <row r="584" spans="1:8" ht="15.75" customHeight="1" x14ac:dyDescent="0.25">
      <c r="A584" s="25" t="s">
        <v>289</v>
      </c>
      <c r="B584" s="20" t="s">
        <v>279</v>
      </c>
      <c r="C584" s="20" t="s">
        <v>228</v>
      </c>
      <c r="D584" s="20" t="s">
        <v>1047</v>
      </c>
      <c r="E584" s="20" t="s">
        <v>290</v>
      </c>
      <c r="F584" s="6">
        <f>'Пр.4 ведом.20'!G642</f>
        <v>143160</v>
      </c>
    </row>
    <row r="585" spans="1:8" ht="72" customHeight="1" x14ac:dyDescent="0.25">
      <c r="A585" s="31" t="s">
        <v>304</v>
      </c>
      <c r="B585" s="20" t="s">
        <v>279</v>
      </c>
      <c r="C585" s="20" t="s">
        <v>228</v>
      </c>
      <c r="D585" s="20" t="s">
        <v>1018</v>
      </c>
      <c r="E585" s="20"/>
      <c r="F585" s="6">
        <f>F586</f>
        <v>1245.5999999999999</v>
      </c>
    </row>
    <row r="586" spans="1:8" ht="31.7" customHeight="1" x14ac:dyDescent="0.25">
      <c r="A586" s="25" t="s">
        <v>287</v>
      </c>
      <c r="B586" s="20" t="s">
        <v>279</v>
      </c>
      <c r="C586" s="20" t="s">
        <v>228</v>
      </c>
      <c r="D586" s="20" t="s">
        <v>1018</v>
      </c>
      <c r="E586" s="20" t="s">
        <v>288</v>
      </c>
      <c r="F586" s="6">
        <f t="shared" ref="F586" si="79">F587</f>
        <v>1245.5999999999999</v>
      </c>
    </row>
    <row r="587" spans="1:8" ht="18" customHeight="1" x14ac:dyDescent="0.25">
      <c r="A587" s="25" t="s">
        <v>289</v>
      </c>
      <c r="B587" s="20" t="s">
        <v>279</v>
      </c>
      <c r="C587" s="20" t="s">
        <v>228</v>
      </c>
      <c r="D587" s="20" t="s">
        <v>1018</v>
      </c>
      <c r="E587" s="20" t="s">
        <v>290</v>
      </c>
      <c r="F587" s="6">
        <f>'Пр.4 ведом.20'!G645</f>
        <v>1245.5999999999999</v>
      </c>
    </row>
    <row r="588" spans="1:8" ht="67.7" customHeight="1" x14ac:dyDescent="0.25">
      <c r="A588" s="31" t="s">
        <v>306</v>
      </c>
      <c r="B588" s="20" t="s">
        <v>279</v>
      </c>
      <c r="C588" s="20" t="s">
        <v>228</v>
      </c>
      <c r="D588" s="20" t="s">
        <v>1021</v>
      </c>
      <c r="E588" s="20"/>
      <c r="F588" s="6">
        <f>F589</f>
        <v>2266.6999999999998</v>
      </c>
    </row>
    <row r="589" spans="1:8" ht="34.5" customHeight="1" x14ac:dyDescent="0.25">
      <c r="A589" s="25" t="s">
        <v>287</v>
      </c>
      <c r="B589" s="20" t="s">
        <v>279</v>
      </c>
      <c r="C589" s="20" t="s">
        <v>228</v>
      </c>
      <c r="D589" s="20" t="s">
        <v>1021</v>
      </c>
      <c r="E589" s="20" t="s">
        <v>288</v>
      </c>
      <c r="F589" s="6">
        <f t="shared" ref="F589" si="80">F590</f>
        <v>2266.6999999999998</v>
      </c>
      <c r="G589" s="22"/>
      <c r="H589" s="22"/>
    </row>
    <row r="590" spans="1:8" ht="15.75" x14ac:dyDescent="0.25">
      <c r="A590" s="25" t="s">
        <v>289</v>
      </c>
      <c r="B590" s="20" t="s">
        <v>279</v>
      </c>
      <c r="C590" s="20" t="s">
        <v>228</v>
      </c>
      <c r="D590" s="20" t="s">
        <v>1021</v>
      </c>
      <c r="E590" s="20" t="s">
        <v>290</v>
      </c>
      <c r="F590" s="6">
        <f>'Пр.4 ведом.20'!G648</f>
        <v>2266.6999999999998</v>
      </c>
    </row>
    <row r="591" spans="1:8" ht="47.25" x14ac:dyDescent="0.25">
      <c r="A591" s="31" t="s">
        <v>477</v>
      </c>
      <c r="B591" s="20" t="s">
        <v>279</v>
      </c>
      <c r="C591" s="20" t="s">
        <v>228</v>
      </c>
      <c r="D591" s="20" t="s">
        <v>1048</v>
      </c>
      <c r="E591" s="20"/>
      <c r="F591" s="6">
        <f>F592</f>
        <v>923.4</v>
      </c>
    </row>
    <row r="592" spans="1:8" ht="36" customHeight="1" x14ac:dyDescent="0.25">
      <c r="A592" s="25" t="s">
        <v>287</v>
      </c>
      <c r="B592" s="20" t="s">
        <v>279</v>
      </c>
      <c r="C592" s="20" t="s">
        <v>228</v>
      </c>
      <c r="D592" s="20" t="s">
        <v>1048</v>
      </c>
      <c r="E592" s="20" t="s">
        <v>288</v>
      </c>
      <c r="F592" s="6">
        <f t="shared" ref="F592" si="81">F593</f>
        <v>923.4</v>
      </c>
    </row>
    <row r="593" spans="1:6" ht="15.75" x14ac:dyDescent="0.25">
      <c r="A593" s="25" t="s">
        <v>289</v>
      </c>
      <c r="B593" s="20" t="s">
        <v>279</v>
      </c>
      <c r="C593" s="20" t="s">
        <v>228</v>
      </c>
      <c r="D593" s="20" t="s">
        <v>1048</v>
      </c>
      <c r="E593" s="20" t="s">
        <v>290</v>
      </c>
      <c r="F593" s="6">
        <f>'Пр.4 ведом.20'!G651</f>
        <v>923.4</v>
      </c>
    </row>
    <row r="594" spans="1:6" ht="94.5" x14ac:dyDescent="0.25">
      <c r="A594" s="31" t="s">
        <v>479</v>
      </c>
      <c r="B594" s="20" t="s">
        <v>279</v>
      </c>
      <c r="C594" s="20" t="s">
        <v>228</v>
      </c>
      <c r="D594" s="20" t="s">
        <v>1022</v>
      </c>
      <c r="E594" s="20"/>
      <c r="F594" s="6">
        <f>F595</f>
        <v>1019.9999999999991</v>
      </c>
    </row>
    <row r="595" spans="1:6" ht="37.5" customHeight="1" x14ac:dyDescent="0.25">
      <c r="A595" s="25" t="s">
        <v>287</v>
      </c>
      <c r="B595" s="20" t="s">
        <v>279</v>
      </c>
      <c r="C595" s="20" t="s">
        <v>228</v>
      </c>
      <c r="D595" s="20" t="s">
        <v>1022</v>
      </c>
      <c r="E595" s="20" t="s">
        <v>288</v>
      </c>
      <c r="F595" s="6">
        <f>F596</f>
        <v>1019.9999999999991</v>
      </c>
    </row>
    <row r="596" spans="1:6" ht="15.75" x14ac:dyDescent="0.25">
      <c r="A596" s="25" t="s">
        <v>289</v>
      </c>
      <c r="B596" s="20" t="s">
        <v>279</v>
      </c>
      <c r="C596" s="20" t="s">
        <v>228</v>
      </c>
      <c r="D596" s="20" t="s">
        <v>1022</v>
      </c>
      <c r="E596" s="20" t="s">
        <v>290</v>
      </c>
      <c r="F596" s="6">
        <f>'Пр.4 ведом.20'!G654</f>
        <v>1019.9999999999991</v>
      </c>
    </row>
    <row r="597" spans="1:6" ht="31.5" x14ac:dyDescent="0.25">
      <c r="A597" s="288" t="s">
        <v>445</v>
      </c>
      <c r="B597" s="24" t="s">
        <v>279</v>
      </c>
      <c r="C597" s="24" t="s">
        <v>228</v>
      </c>
      <c r="D597" s="24" t="s">
        <v>446</v>
      </c>
      <c r="E597" s="24"/>
      <c r="F597" s="4">
        <f>F598+F611+F618+F625+F632+F644</f>
        <v>10469.558999999999</v>
      </c>
    </row>
    <row r="598" spans="1:6" ht="31.5" x14ac:dyDescent="0.25">
      <c r="A598" s="23" t="s">
        <v>1268</v>
      </c>
      <c r="B598" s="24" t="s">
        <v>279</v>
      </c>
      <c r="C598" s="24" t="s">
        <v>228</v>
      </c>
      <c r="D598" s="24" t="s">
        <v>1028</v>
      </c>
      <c r="E598" s="24"/>
      <c r="F598" s="4">
        <f>F599+F602+F605+F608</f>
        <v>688</v>
      </c>
    </row>
    <row r="599" spans="1:6" ht="36" hidden="1" customHeight="1" x14ac:dyDescent="0.25">
      <c r="A599" s="25" t="s">
        <v>455</v>
      </c>
      <c r="B599" s="20" t="s">
        <v>279</v>
      </c>
      <c r="C599" s="20" t="s">
        <v>228</v>
      </c>
      <c r="D599" s="20" t="s">
        <v>1032</v>
      </c>
      <c r="E599" s="20"/>
      <c r="F599" s="6">
        <f t="shared" ref="F599" si="82">F600</f>
        <v>0</v>
      </c>
    </row>
    <row r="600" spans="1:6" ht="35.450000000000003" hidden="1" customHeight="1" x14ac:dyDescent="0.25">
      <c r="A600" s="25" t="s">
        <v>287</v>
      </c>
      <c r="B600" s="20" t="s">
        <v>279</v>
      </c>
      <c r="C600" s="20" t="s">
        <v>228</v>
      </c>
      <c r="D600" s="20" t="s">
        <v>1032</v>
      </c>
      <c r="E600" s="20" t="s">
        <v>288</v>
      </c>
      <c r="F600" s="6">
        <f>F601</f>
        <v>0</v>
      </c>
    </row>
    <row r="601" spans="1:6" ht="15.75" hidden="1" x14ac:dyDescent="0.25">
      <c r="A601" s="25" t="s">
        <v>289</v>
      </c>
      <c r="B601" s="20" t="s">
        <v>279</v>
      </c>
      <c r="C601" s="20" t="s">
        <v>228</v>
      </c>
      <c r="D601" s="20" t="s">
        <v>1032</v>
      </c>
      <c r="E601" s="20" t="s">
        <v>290</v>
      </c>
      <c r="F601" s="6">
        <f>'Пр.4 ведом.20'!G659</f>
        <v>0</v>
      </c>
    </row>
    <row r="602" spans="1:6" ht="31.5" hidden="1" x14ac:dyDescent="0.25">
      <c r="A602" s="25" t="s">
        <v>293</v>
      </c>
      <c r="B602" s="20" t="s">
        <v>279</v>
      </c>
      <c r="C602" s="20" t="s">
        <v>228</v>
      </c>
      <c r="D602" s="20" t="s">
        <v>1033</v>
      </c>
      <c r="E602" s="20"/>
      <c r="F602" s="6">
        <f t="shared" ref="F602" si="83">F603</f>
        <v>0</v>
      </c>
    </row>
    <row r="603" spans="1:6" ht="37.5" hidden="1" customHeight="1" x14ac:dyDescent="0.25">
      <c r="A603" s="25" t="s">
        <v>287</v>
      </c>
      <c r="B603" s="20" t="s">
        <v>279</v>
      </c>
      <c r="C603" s="20" t="s">
        <v>228</v>
      </c>
      <c r="D603" s="20" t="s">
        <v>1033</v>
      </c>
      <c r="E603" s="20" t="s">
        <v>288</v>
      </c>
      <c r="F603" s="6">
        <f>F604</f>
        <v>0</v>
      </c>
    </row>
    <row r="604" spans="1:6" ht="15.75" hidden="1" x14ac:dyDescent="0.25">
      <c r="A604" s="25" t="s">
        <v>289</v>
      </c>
      <c r="B604" s="20" t="s">
        <v>279</v>
      </c>
      <c r="C604" s="20" t="s">
        <v>228</v>
      </c>
      <c r="D604" s="20" t="s">
        <v>1033</v>
      </c>
      <c r="E604" s="20" t="s">
        <v>290</v>
      </c>
      <c r="F604" s="6">
        <f>'Пр.4 ведом.20'!G662</f>
        <v>0</v>
      </c>
    </row>
    <row r="605" spans="1:6" ht="31.5" x14ac:dyDescent="0.25">
      <c r="A605" s="25" t="s">
        <v>295</v>
      </c>
      <c r="B605" s="20" t="s">
        <v>279</v>
      </c>
      <c r="C605" s="20" t="s">
        <v>228</v>
      </c>
      <c r="D605" s="20" t="s">
        <v>1034</v>
      </c>
      <c r="E605" s="20"/>
      <c r="F605" s="6">
        <f t="shared" ref="F605" si="84">F606</f>
        <v>464</v>
      </c>
    </row>
    <row r="606" spans="1:6" ht="31.7" customHeight="1" x14ac:dyDescent="0.25">
      <c r="A606" s="25" t="s">
        <v>287</v>
      </c>
      <c r="B606" s="20" t="s">
        <v>279</v>
      </c>
      <c r="C606" s="20" t="s">
        <v>228</v>
      </c>
      <c r="D606" s="20" t="s">
        <v>1034</v>
      </c>
      <c r="E606" s="20" t="s">
        <v>288</v>
      </c>
      <c r="F606" s="6">
        <f>F607</f>
        <v>464</v>
      </c>
    </row>
    <row r="607" spans="1:6" ht="15.75" x14ac:dyDescent="0.25">
      <c r="A607" s="25" t="s">
        <v>289</v>
      </c>
      <c r="B607" s="20" t="s">
        <v>279</v>
      </c>
      <c r="C607" s="20" t="s">
        <v>228</v>
      </c>
      <c r="D607" s="20" t="s">
        <v>1034</v>
      </c>
      <c r="E607" s="20" t="s">
        <v>290</v>
      </c>
      <c r="F607" s="6">
        <f>'Пр.4 ведом.20'!G665</f>
        <v>464</v>
      </c>
    </row>
    <row r="608" spans="1:6" ht="31.5" x14ac:dyDescent="0.25">
      <c r="A608" s="25" t="s">
        <v>297</v>
      </c>
      <c r="B608" s="20" t="s">
        <v>279</v>
      </c>
      <c r="C608" s="20" t="s">
        <v>228</v>
      </c>
      <c r="D608" s="20" t="s">
        <v>1035</v>
      </c>
      <c r="E608" s="20"/>
      <c r="F608" s="6">
        <f t="shared" ref="F608" si="85">F609</f>
        <v>224</v>
      </c>
    </row>
    <row r="609" spans="1:6" ht="36" customHeight="1" x14ac:dyDescent="0.25">
      <c r="A609" s="25" t="s">
        <v>287</v>
      </c>
      <c r="B609" s="20" t="s">
        <v>279</v>
      </c>
      <c r="C609" s="20" t="s">
        <v>228</v>
      </c>
      <c r="D609" s="20" t="s">
        <v>1035</v>
      </c>
      <c r="E609" s="20" t="s">
        <v>288</v>
      </c>
      <c r="F609" s="6">
        <f>F610</f>
        <v>224</v>
      </c>
    </row>
    <row r="610" spans="1:6" ht="15" customHeight="1" x14ac:dyDescent="0.25">
      <c r="A610" s="25" t="s">
        <v>289</v>
      </c>
      <c r="B610" s="20" t="s">
        <v>279</v>
      </c>
      <c r="C610" s="20" t="s">
        <v>228</v>
      </c>
      <c r="D610" s="20" t="s">
        <v>1035</v>
      </c>
      <c r="E610" s="20" t="s">
        <v>290</v>
      </c>
      <c r="F610" s="6">
        <f>'Пр.4 ведом.20'!G668</f>
        <v>224</v>
      </c>
    </row>
    <row r="611" spans="1:6" ht="35.450000000000003" customHeight="1" x14ac:dyDescent="0.25">
      <c r="A611" s="23" t="s">
        <v>1029</v>
      </c>
      <c r="B611" s="24" t="s">
        <v>279</v>
      </c>
      <c r="C611" s="24" t="s">
        <v>228</v>
      </c>
      <c r="D611" s="24" t="s">
        <v>1030</v>
      </c>
      <c r="E611" s="24"/>
      <c r="F611" s="4">
        <f>F612+F615</f>
        <v>3865.2</v>
      </c>
    </row>
    <row r="612" spans="1:6" s="221" customFormat="1" ht="49.7" customHeight="1" x14ac:dyDescent="0.25">
      <c r="A612" s="29" t="s">
        <v>617</v>
      </c>
      <c r="B612" s="20" t="s">
        <v>279</v>
      </c>
      <c r="C612" s="20" t="s">
        <v>228</v>
      </c>
      <c r="D612" s="20" t="s">
        <v>1036</v>
      </c>
      <c r="E612" s="20"/>
      <c r="F612" s="6">
        <f>F613</f>
        <v>2200</v>
      </c>
    </row>
    <row r="613" spans="1:6" s="221" customFormat="1" ht="38.25" customHeight="1" x14ac:dyDescent="0.25">
      <c r="A613" s="25" t="s">
        <v>287</v>
      </c>
      <c r="B613" s="20" t="s">
        <v>279</v>
      </c>
      <c r="C613" s="20" t="s">
        <v>228</v>
      </c>
      <c r="D613" s="20" t="s">
        <v>1036</v>
      </c>
      <c r="E613" s="20" t="s">
        <v>288</v>
      </c>
      <c r="F613" s="6">
        <f>F614</f>
        <v>2200</v>
      </c>
    </row>
    <row r="614" spans="1:6" s="221" customFormat="1" ht="14.25" customHeight="1" x14ac:dyDescent="0.25">
      <c r="A614" s="25" t="s">
        <v>289</v>
      </c>
      <c r="B614" s="20" t="s">
        <v>279</v>
      </c>
      <c r="C614" s="20" t="s">
        <v>228</v>
      </c>
      <c r="D614" s="20" t="s">
        <v>1036</v>
      </c>
      <c r="E614" s="20" t="s">
        <v>290</v>
      </c>
      <c r="F614" s="6">
        <f>'Пр.4 ведом.20'!G672</f>
        <v>2200</v>
      </c>
    </row>
    <row r="615" spans="1:6" ht="30.75" customHeight="1" x14ac:dyDescent="0.25">
      <c r="A615" s="25" t="s">
        <v>471</v>
      </c>
      <c r="B615" s="20" t="s">
        <v>279</v>
      </c>
      <c r="C615" s="20" t="s">
        <v>228</v>
      </c>
      <c r="D615" s="20" t="s">
        <v>1037</v>
      </c>
      <c r="E615" s="20"/>
      <c r="F615" s="6">
        <f>F616</f>
        <v>1665.2</v>
      </c>
    </row>
    <row r="616" spans="1:6" ht="35.450000000000003" customHeight="1" x14ac:dyDescent="0.25">
      <c r="A616" s="25" t="s">
        <v>287</v>
      </c>
      <c r="B616" s="20" t="s">
        <v>279</v>
      </c>
      <c r="C616" s="20" t="s">
        <v>228</v>
      </c>
      <c r="D616" s="20" t="s">
        <v>1037</v>
      </c>
      <c r="E616" s="20" t="s">
        <v>288</v>
      </c>
      <c r="F616" s="6">
        <f>F617</f>
        <v>1665.2</v>
      </c>
    </row>
    <row r="617" spans="1:6" ht="18" customHeight="1" x14ac:dyDescent="0.25">
      <c r="A617" s="25" t="s">
        <v>289</v>
      </c>
      <c r="B617" s="20" t="s">
        <v>279</v>
      </c>
      <c r="C617" s="20" t="s">
        <v>228</v>
      </c>
      <c r="D617" s="20" t="s">
        <v>1037</v>
      </c>
      <c r="E617" s="20" t="s">
        <v>290</v>
      </c>
      <c r="F617" s="6">
        <f>'Пр.4 ведом.20'!G675</f>
        <v>1665.2</v>
      </c>
    </row>
    <row r="618" spans="1:6" ht="32.25" customHeight="1" x14ac:dyDescent="0.25">
      <c r="A618" s="23" t="s">
        <v>1031</v>
      </c>
      <c r="B618" s="24" t="s">
        <v>279</v>
      </c>
      <c r="C618" s="24" t="s">
        <v>228</v>
      </c>
      <c r="D618" s="24" t="s">
        <v>1038</v>
      </c>
      <c r="E618" s="24"/>
      <c r="F618" s="4">
        <f>F619+F622</f>
        <v>1364.7</v>
      </c>
    </row>
    <row r="619" spans="1:6" ht="48.75" customHeight="1" x14ac:dyDescent="0.25">
      <c r="A619" s="25" t="s">
        <v>453</v>
      </c>
      <c r="B619" s="20" t="s">
        <v>279</v>
      </c>
      <c r="C619" s="20" t="s">
        <v>228</v>
      </c>
      <c r="D619" s="20" t="s">
        <v>1039</v>
      </c>
      <c r="E619" s="20"/>
      <c r="F619" s="6">
        <f>F620</f>
        <v>868</v>
      </c>
    </row>
    <row r="620" spans="1:6" ht="37.5" customHeight="1" x14ac:dyDescent="0.25">
      <c r="A620" s="25" t="s">
        <v>287</v>
      </c>
      <c r="B620" s="20" t="s">
        <v>279</v>
      </c>
      <c r="C620" s="20" t="s">
        <v>228</v>
      </c>
      <c r="D620" s="20" t="s">
        <v>1039</v>
      </c>
      <c r="E620" s="20" t="s">
        <v>288</v>
      </c>
      <c r="F620" s="6">
        <f>F621</f>
        <v>868</v>
      </c>
    </row>
    <row r="621" spans="1:6" ht="15" customHeight="1" x14ac:dyDescent="0.25">
      <c r="A621" s="25" t="s">
        <v>289</v>
      </c>
      <c r="B621" s="20" t="s">
        <v>279</v>
      </c>
      <c r="C621" s="20" t="s">
        <v>228</v>
      </c>
      <c r="D621" s="20" t="s">
        <v>1039</v>
      </c>
      <c r="E621" s="20" t="s">
        <v>290</v>
      </c>
      <c r="F621" s="6">
        <f>'Пр.4 ведом.20'!G679</f>
        <v>868</v>
      </c>
    </row>
    <row r="622" spans="1:6" ht="54" customHeight="1" x14ac:dyDescent="0.25">
      <c r="A622" s="25" t="s">
        <v>473</v>
      </c>
      <c r="B622" s="20" t="s">
        <v>279</v>
      </c>
      <c r="C622" s="20" t="s">
        <v>228</v>
      </c>
      <c r="D622" s="20" t="s">
        <v>1040</v>
      </c>
      <c r="E622" s="20"/>
      <c r="F622" s="6">
        <f>F623</f>
        <v>496.7</v>
      </c>
    </row>
    <row r="623" spans="1:6" ht="36" customHeight="1" x14ac:dyDescent="0.25">
      <c r="A623" s="289" t="s">
        <v>287</v>
      </c>
      <c r="B623" s="20" t="s">
        <v>279</v>
      </c>
      <c r="C623" s="20" t="s">
        <v>228</v>
      </c>
      <c r="D623" s="20" t="s">
        <v>1040</v>
      </c>
      <c r="E623" s="20" t="s">
        <v>288</v>
      </c>
      <c r="F623" s="6">
        <f>F624</f>
        <v>496.7</v>
      </c>
    </row>
    <row r="624" spans="1:6" ht="15.75" x14ac:dyDescent="0.25">
      <c r="A624" s="25" t="s">
        <v>289</v>
      </c>
      <c r="B624" s="20" t="s">
        <v>279</v>
      </c>
      <c r="C624" s="20" t="s">
        <v>228</v>
      </c>
      <c r="D624" s="20" t="s">
        <v>1040</v>
      </c>
      <c r="E624" s="20" t="s">
        <v>290</v>
      </c>
      <c r="F624" s="6">
        <f>'Пр.4 ведом.20'!G682</f>
        <v>496.7</v>
      </c>
    </row>
    <row r="625" spans="1:8" ht="31.5" x14ac:dyDescent="0.25">
      <c r="A625" s="246" t="s">
        <v>1075</v>
      </c>
      <c r="B625" s="24" t="s">
        <v>279</v>
      </c>
      <c r="C625" s="24" t="s">
        <v>228</v>
      </c>
      <c r="D625" s="24" t="s">
        <v>1041</v>
      </c>
      <c r="E625" s="24"/>
      <c r="F625" s="4">
        <f>F626+F629</f>
        <v>2634</v>
      </c>
      <c r="H625" s="22"/>
    </row>
    <row r="626" spans="1:8" ht="33.75" hidden="1" customHeight="1" x14ac:dyDescent="0.25">
      <c r="A626" s="25" t="s">
        <v>299</v>
      </c>
      <c r="B626" s="20" t="s">
        <v>279</v>
      </c>
      <c r="C626" s="20" t="s">
        <v>228</v>
      </c>
      <c r="D626" s="20" t="s">
        <v>1043</v>
      </c>
      <c r="E626" s="20"/>
      <c r="F626" s="6">
        <f t="shared" ref="F626:F627" si="86">F627</f>
        <v>0</v>
      </c>
    </row>
    <row r="627" spans="1:8" ht="33.75" hidden="1" customHeight="1" x14ac:dyDescent="0.25">
      <c r="A627" s="25" t="s">
        <v>287</v>
      </c>
      <c r="B627" s="20" t="s">
        <v>279</v>
      </c>
      <c r="C627" s="20" t="s">
        <v>228</v>
      </c>
      <c r="D627" s="20" t="s">
        <v>1043</v>
      </c>
      <c r="E627" s="20" t="s">
        <v>288</v>
      </c>
      <c r="F627" s="6">
        <f t="shared" si="86"/>
        <v>0</v>
      </c>
    </row>
    <row r="628" spans="1:8" ht="15.75" hidden="1" customHeight="1" x14ac:dyDescent="0.25">
      <c r="A628" s="25" t="s">
        <v>289</v>
      </c>
      <c r="B628" s="20" t="s">
        <v>279</v>
      </c>
      <c r="C628" s="20" t="s">
        <v>228</v>
      </c>
      <c r="D628" s="20" t="s">
        <v>1043</v>
      </c>
      <c r="E628" s="20" t="s">
        <v>290</v>
      </c>
      <c r="F628" s="6">
        <f>'Пр.4 ведом.20'!G686</f>
        <v>0</v>
      </c>
    </row>
    <row r="629" spans="1:8" ht="36" customHeight="1" x14ac:dyDescent="0.25">
      <c r="A629" s="60" t="s">
        <v>785</v>
      </c>
      <c r="B629" s="20" t="s">
        <v>279</v>
      </c>
      <c r="C629" s="20" t="s">
        <v>228</v>
      </c>
      <c r="D629" s="20" t="s">
        <v>1044</v>
      </c>
      <c r="E629" s="20"/>
      <c r="F629" s="6">
        <f t="shared" ref="F629:F630" si="87">F630</f>
        <v>2634</v>
      </c>
    </row>
    <row r="630" spans="1:8" ht="33.75" customHeight="1" x14ac:dyDescent="0.25">
      <c r="A630" s="29" t="s">
        <v>287</v>
      </c>
      <c r="B630" s="20" t="s">
        <v>279</v>
      </c>
      <c r="C630" s="20" t="s">
        <v>228</v>
      </c>
      <c r="D630" s="20" t="s">
        <v>1044</v>
      </c>
      <c r="E630" s="20" t="s">
        <v>288</v>
      </c>
      <c r="F630" s="6">
        <f t="shared" si="87"/>
        <v>2634</v>
      </c>
    </row>
    <row r="631" spans="1:8" ht="15.75" customHeight="1" x14ac:dyDescent="0.25">
      <c r="A631" s="193" t="s">
        <v>289</v>
      </c>
      <c r="B631" s="20" t="s">
        <v>279</v>
      </c>
      <c r="C631" s="20" t="s">
        <v>228</v>
      </c>
      <c r="D631" s="20" t="s">
        <v>1044</v>
      </c>
      <c r="E631" s="20" t="s">
        <v>290</v>
      </c>
      <c r="F631" s="6">
        <f>'Пр.4 ведом.20'!G689</f>
        <v>2634</v>
      </c>
    </row>
    <row r="632" spans="1:8" ht="31.7" customHeight="1" x14ac:dyDescent="0.25">
      <c r="A632" s="244" t="s">
        <v>1046</v>
      </c>
      <c r="B632" s="24" t="s">
        <v>279</v>
      </c>
      <c r="C632" s="24" t="s">
        <v>228</v>
      </c>
      <c r="D632" s="24" t="s">
        <v>1042</v>
      </c>
      <c r="E632" s="24"/>
      <c r="F632" s="4">
        <f>F633+F636</f>
        <v>752.8</v>
      </c>
    </row>
    <row r="633" spans="1:8" ht="51" customHeight="1" x14ac:dyDescent="0.25">
      <c r="A633" s="193" t="s">
        <v>872</v>
      </c>
      <c r="B633" s="20" t="s">
        <v>279</v>
      </c>
      <c r="C633" s="20" t="s">
        <v>228</v>
      </c>
      <c r="D633" s="368" t="s">
        <v>1521</v>
      </c>
      <c r="E633" s="20"/>
      <c r="F633" s="6">
        <f t="shared" ref="F633" si="88">F634</f>
        <v>678</v>
      </c>
    </row>
    <row r="634" spans="1:8" ht="33" customHeight="1" x14ac:dyDescent="0.25">
      <c r="A634" s="31" t="s">
        <v>287</v>
      </c>
      <c r="B634" s="20" t="s">
        <v>279</v>
      </c>
      <c r="C634" s="20" t="s">
        <v>228</v>
      </c>
      <c r="D634" s="368" t="s">
        <v>1521</v>
      </c>
      <c r="E634" s="20" t="s">
        <v>288</v>
      </c>
      <c r="F634" s="6">
        <f>F635</f>
        <v>678</v>
      </c>
    </row>
    <row r="635" spans="1:8" ht="15.75" x14ac:dyDescent="0.25">
      <c r="A635" s="31" t="s">
        <v>289</v>
      </c>
      <c r="B635" s="20" t="s">
        <v>279</v>
      </c>
      <c r="C635" s="20" t="s">
        <v>228</v>
      </c>
      <c r="D635" s="368" t="s">
        <v>1521</v>
      </c>
      <c r="E635" s="20" t="s">
        <v>290</v>
      </c>
      <c r="F635" s="6">
        <f>'Пр.4 ведом.20'!G693</f>
        <v>678</v>
      </c>
    </row>
    <row r="636" spans="1:8" s="361" customFormat="1" ht="31.5" x14ac:dyDescent="0.25">
      <c r="A636" s="31" t="s">
        <v>1520</v>
      </c>
      <c r="B636" s="368" t="s">
        <v>279</v>
      </c>
      <c r="C636" s="368" t="s">
        <v>228</v>
      </c>
      <c r="D636" s="368" t="s">
        <v>1522</v>
      </c>
      <c r="E636" s="368"/>
      <c r="F636" s="6">
        <f>F637</f>
        <v>74.8</v>
      </c>
    </row>
    <row r="637" spans="1:8" s="361" customFormat="1" ht="31.5" x14ac:dyDescent="0.25">
      <c r="A637" s="31" t="s">
        <v>287</v>
      </c>
      <c r="B637" s="368" t="s">
        <v>279</v>
      </c>
      <c r="C637" s="368" t="s">
        <v>228</v>
      </c>
      <c r="D637" s="368" t="s">
        <v>1522</v>
      </c>
      <c r="E637" s="368" t="s">
        <v>288</v>
      </c>
      <c r="F637" s="6">
        <f>F638</f>
        <v>74.8</v>
      </c>
    </row>
    <row r="638" spans="1:8" s="361" customFormat="1" ht="15.75" x14ac:dyDescent="0.25">
      <c r="A638" s="31" t="s">
        <v>289</v>
      </c>
      <c r="B638" s="368" t="s">
        <v>279</v>
      </c>
      <c r="C638" s="368" t="s">
        <v>228</v>
      </c>
      <c r="D638" s="368" t="s">
        <v>1522</v>
      </c>
      <c r="E638" s="368" t="s">
        <v>290</v>
      </c>
      <c r="F638" s="6">
        <f>'Пр.4 ведом.20'!G696</f>
        <v>74.8</v>
      </c>
    </row>
    <row r="639" spans="1:8" ht="63" customHeight="1" x14ac:dyDescent="0.25">
      <c r="A639" s="34" t="s">
        <v>803</v>
      </c>
      <c r="B639" s="24" t="s">
        <v>279</v>
      </c>
      <c r="C639" s="24" t="s">
        <v>228</v>
      </c>
      <c r="D639" s="24" t="s">
        <v>339</v>
      </c>
      <c r="E639" s="24"/>
      <c r="F639" s="4">
        <f t="shared" ref="F639" si="89">F640</f>
        <v>150</v>
      </c>
    </row>
    <row r="640" spans="1:8" ht="63" x14ac:dyDescent="0.25">
      <c r="A640" s="34" t="s">
        <v>1188</v>
      </c>
      <c r="B640" s="24" t="s">
        <v>279</v>
      </c>
      <c r="C640" s="24" t="s">
        <v>228</v>
      </c>
      <c r="D640" s="24" t="s">
        <v>1023</v>
      </c>
      <c r="E640" s="24"/>
      <c r="F640" s="4">
        <f>F641</f>
        <v>150</v>
      </c>
    </row>
    <row r="641" spans="1:12" ht="47.25" x14ac:dyDescent="0.25">
      <c r="A641" s="31" t="s">
        <v>1159</v>
      </c>
      <c r="B641" s="20" t="s">
        <v>279</v>
      </c>
      <c r="C641" s="20" t="s">
        <v>228</v>
      </c>
      <c r="D641" s="20" t="s">
        <v>1024</v>
      </c>
      <c r="E641" s="20"/>
      <c r="F641" s="6">
        <f t="shared" ref="F641:F642" si="90">F642</f>
        <v>150</v>
      </c>
    </row>
    <row r="642" spans="1:12" ht="31.5" x14ac:dyDescent="0.25">
      <c r="A642" s="31" t="s">
        <v>287</v>
      </c>
      <c r="B642" s="20" t="s">
        <v>279</v>
      </c>
      <c r="C642" s="20" t="s">
        <v>228</v>
      </c>
      <c r="D642" s="20" t="s">
        <v>1024</v>
      </c>
      <c r="E642" s="20" t="s">
        <v>288</v>
      </c>
      <c r="F642" s="6">
        <f t="shared" si="90"/>
        <v>150</v>
      </c>
    </row>
    <row r="643" spans="1:12" ht="15.75" x14ac:dyDescent="0.25">
      <c r="A643" s="31" t="s">
        <v>289</v>
      </c>
      <c r="B643" s="20" t="s">
        <v>279</v>
      </c>
      <c r="C643" s="20" t="s">
        <v>228</v>
      </c>
      <c r="D643" s="20" t="s">
        <v>1024</v>
      </c>
      <c r="E643" s="20" t="s">
        <v>290</v>
      </c>
      <c r="F643" s="6">
        <f>'Пр.4 ведом.20'!G701</f>
        <v>150</v>
      </c>
    </row>
    <row r="644" spans="1:12" s="221" customFormat="1" ht="47.25" x14ac:dyDescent="0.25">
      <c r="A644" s="244" t="s">
        <v>1418</v>
      </c>
      <c r="B644" s="24" t="s">
        <v>279</v>
      </c>
      <c r="C644" s="24" t="s">
        <v>228</v>
      </c>
      <c r="D644" s="24" t="s">
        <v>1416</v>
      </c>
      <c r="E644" s="24"/>
      <c r="F644" s="21">
        <f>F645</f>
        <v>1164.8589999999999</v>
      </c>
    </row>
    <row r="645" spans="1:12" s="221" customFormat="1" ht="47.25" x14ac:dyDescent="0.25">
      <c r="A645" s="193" t="s">
        <v>1457</v>
      </c>
      <c r="B645" s="20" t="s">
        <v>279</v>
      </c>
      <c r="C645" s="20" t="s">
        <v>228</v>
      </c>
      <c r="D645" s="20" t="s">
        <v>1417</v>
      </c>
      <c r="E645" s="20"/>
      <c r="F645" s="26">
        <f>F646</f>
        <v>1164.8589999999999</v>
      </c>
    </row>
    <row r="646" spans="1:12" s="221" customFormat="1" ht="31.5" x14ac:dyDescent="0.25">
      <c r="A646" s="31" t="s">
        <v>287</v>
      </c>
      <c r="B646" s="20" t="s">
        <v>279</v>
      </c>
      <c r="C646" s="20" t="s">
        <v>228</v>
      </c>
      <c r="D646" s="20" t="s">
        <v>1417</v>
      </c>
      <c r="E646" s="20" t="s">
        <v>288</v>
      </c>
      <c r="F646" s="26">
        <f>F647</f>
        <v>1164.8589999999999</v>
      </c>
    </row>
    <row r="647" spans="1:12" s="221" customFormat="1" ht="15.75" x14ac:dyDescent="0.25">
      <c r="A647" s="31" t="s">
        <v>289</v>
      </c>
      <c r="B647" s="20" t="s">
        <v>279</v>
      </c>
      <c r="C647" s="20" t="s">
        <v>228</v>
      </c>
      <c r="D647" s="20" t="s">
        <v>1417</v>
      </c>
      <c r="E647" s="20" t="s">
        <v>290</v>
      </c>
      <c r="F647" s="26">
        <f>'Пр.4 ведом.20'!G705</f>
        <v>1164.8589999999999</v>
      </c>
    </row>
    <row r="648" spans="1:12" ht="63" x14ac:dyDescent="0.25">
      <c r="A648" s="41" t="s">
        <v>1177</v>
      </c>
      <c r="B648" s="24" t="s">
        <v>279</v>
      </c>
      <c r="C648" s="24" t="s">
        <v>228</v>
      </c>
      <c r="D648" s="24" t="s">
        <v>726</v>
      </c>
      <c r="E648" s="250"/>
      <c r="F648" s="4">
        <f t="shared" ref="F648:F649" si="91">F649</f>
        <v>723.3</v>
      </c>
    </row>
    <row r="649" spans="1:12" ht="47.25" x14ac:dyDescent="0.25">
      <c r="A649" s="41" t="s">
        <v>947</v>
      </c>
      <c r="B649" s="24" t="s">
        <v>279</v>
      </c>
      <c r="C649" s="24" t="s">
        <v>228</v>
      </c>
      <c r="D649" s="24" t="s">
        <v>945</v>
      </c>
      <c r="E649" s="250"/>
      <c r="F649" s="4">
        <f t="shared" si="91"/>
        <v>723.3</v>
      </c>
    </row>
    <row r="650" spans="1:12" ht="47.25" x14ac:dyDescent="0.25">
      <c r="A650" s="99" t="s">
        <v>801</v>
      </c>
      <c r="B650" s="20" t="s">
        <v>279</v>
      </c>
      <c r="C650" s="20" t="s">
        <v>228</v>
      </c>
      <c r="D650" s="20" t="s">
        <v>1025</v>
      </c>
      <c r="E650" s="32"/>
      <c r="F650" s="6">
        <f>F651</f>
        <v>723.3</v>
      </c>
    </row>
    <row r="651" spans="1:12" ht="36.75" customHeight="1" x14ac:dyDescent="0.25">
      <c r="A651" s="29" t="s">
        <v>287</v>
      </c>
      <c r="B651" s="20" t="s">
        <v>279</v>
      </c>
      <c r="C651" s="20" t="s">
        <v>228</v>
      </c>
      <c r="D651" s="20" t="s">
        <v>1025</v>
      </c>
      <c r="E651" s="32" t="s">
        <v>288</v>
      </c>
      <c r="F651" s="6">
        <f t="shared" ref="F651" si="92">F652</f>
        <v>723.3</v>
      </c>
    </row>
    <row r="652" spans="1:12" ht="15.75" x14ac:dyDescent="0.25">
      <c r="A652" s="193" t="s">
        <v>289</v>
      </c>
      <c r="B652" s="20" t="s">
        <v>279</v>
      </c>
      <c r="C652" s="20" t="s">
        <v>228</v>
      </c>
      <c r="D652" s="20" t="s">
        <v>1025</v>
      </c>
      <c r="E652" s="32" t="s">
        <v>290</v>
      </c>
      <c r="F652" s="6">
        <f>'Пр.4 ведом.20'!G710</f>
        <v>723.3</v>
      </c>
    </row>
    <row r="653" spans="1:12" ht="15.75" x14ac:dyDescent="0.25">
      <c r="A653" s="41" t="s">
        <v>280</v>
      </c>
      <c r="B653" s="7" t="s">
        <v>279</v>
      </c>
      <c r="C653" s="7" t="s">
        <v>230</v>
      </c>
      <c r="D653" s="24"/>
      <c r="E653" s="7"/>
      <c r="F653" s="4">
        <f>F654+F682+F719</f>
        <v>52627.999999999993</v>
      </c>
    </row>
    <row r="654" spans="1:12" ht="47.25" x14ac:dyDescent="0.25">
      <c r="A654" s="23" t="s">
        <v>441</v>
      </c>
      <c r="B654" s="24" t="s">
        <v>279</v>
      </c>
      <c r="C654" s="24" t="s">
        <v>230</v>
      </c>
      <c r="D654" s="24" t="s">
        <v>421</v>
      </c>
      <c r="E654" s="24"/>
      <c r="F654" s="4">
        <f>F655+F673</f>
        <v>34926.199999999997</v>
      </c>
      <c r="G654" s="22"/>
      <c r="L654" s="22"/>
    </row>
    <row r="655" spans="1:12" ht="33.75" customHeight="1" x14ac:dyDescent="0.25">
      <c r="A655" s="23" t="s">
        <v>422</v>
      </c>
      <c r="B655" s="24" t="s">
        <v>279</v>
      </c>
      <c r="C655" s="24" t="s">
        <v>230</v>
      </c>
      <c r="D655" s="24" t="s">
        <v>423</v>
      </c>
      <c r="E655" s="24"/>
      <c r="F655" s="4">
        <f>F656+F660</f>
        <v>34237.199999999997</v>
      </c>
      <c r="G655" s="22"/>
      <c r="L655" s="22"/>
    </row>
    <row r="656" spans="1:12" ht="31.5" x14ac:dyDescent="0.25">
      <c r="A656" s="23" t="s">
        <v>1026</v>
      </c>
      <c r="B656" s="24" t="s">
        <v>279</v>
      </c>
      <c r="C656" s="24" t="s">
        <v>230</v>
      </c>
      <c r="D656" s="24" t="s">
        <v>1004</v>
      </c>
      <c r="E656" s="24"/>
      <c r="F656" s="4">
        <f t="shared" ref="F656:F657" si="93">F657</f>
        <v>32614.999999999996</v>
      </c>
    </row>
    <row r="657" spans="1:6" ht="47.25" x14ac:dyDescent="0.25">
      <c r="A657" s="25" t="s">
        <v>285</v>
      </c>
      <c r="B657" s="20" t="s">
        <v>279</v>
      </c>
      <c r="C657" s="20" t="s">
        <v>230</v>
      </c>
      <c r="D657" s="20" t="s">
        <v>1049</v>
      </c>
      <c r="E657" s="20"/>
      <c r="F657" s="6">
        <f t="shared" si="93"/>
        <v>32614.999999999996</v>
      </c>
    </row>
    <row r="658" spans="1:6" ht="40.700000000000003" customHeight="1" x14ac:dyDescent="0.25">
      <c r="A658" s="25" t="s">
        <v>287</v>
      </c>
      <c r="B658" s="20" t="s">
        <v>279</v>
      </c>
      <c r="C658" s="20" t="s">
        <v>230</v>
      </c>
      <c r="D658" s="20" t="s">
        <v>1049</v>
      </c>
      <c r="E658" s="20" t="s">
        <v>288</v>
      </c>
      <c r="F658" s="6">
        <f>'Пр.4 ведом.20'!G717</f>
        <v>32614.999999999996</v>
      </c>
    </row>
    <row r="659" spans="1:6" ht="15.75" x14ac:dyDescent="0.25">
      <c r="A659" s="25" t="s">
        <v>289</v>
      </c>
      <c r="B659" s="20" t="s">
        <v>279</v>
      </c>
      <c r="C659" s="20" t="s">
        <v>230</v>
      </c>
      <c r="D659" s="20" t="s">
        <v>1049</v>
      </c>
      <c r="E659" s="20" t="s">
        <v>290</v>
      </c>
      <c r="F659" s="6">
        <f>'Пр.4 ведом.20'!G717</f>
        <v>32614.999999999996</v>
      </c>
    </row>
    <row r="660" spans="1:6" ht="47.25" x14ac:dyDescent="0.25">
      <c r="A660" s="23" t="s">
        <v>969</v>
      </c>
      <c r="B660" s="24" t="s">
        <v>279</v>
      </c>
      <c r="C660" s="24" t="s">
        <v>230</v>
      </c>
      <c r="D660" s="24" t="s">
        <v>1019</v>
      </c>
      <c r="E660" s="24"/>
      <c r="F660" s="4">
        <f>F664+F667+F670+F661</f>
        <v>1622.2</v>
      </c>
    </row>
    <row r="661" spans="1:6" s="361" customFormat="1" ht="94.5" x14ac:dyDescent="0.25">
      <c r="A661" s="31" t="s">
        <v>308</v>
      </c>
      <c r="B661" s="368" t="s">
        <v>279</v>
      </c>
      <c r="C661" s="368" t="s">
        <v>230</v>
      </c>
      <c r="D661" s="368" t="s">
        <v>1523</v>
      </c>
      <c r="E661" s="368"/>
      <c r="F661" s="6">
        <f>F662</f>
        <v>216.9</v>
      </c>
    </row>
    <row r="662" spans="1:6" s="361" customFormat="1" ht="31.5" x14ac:dyDescent="0.25">
      <c r="A662" s="372" t="s">
        <v>287</v>
      </c>
      <c r="B662" s="368" t="s">
        <v>279</v>
      </c>
      <c r="C662" s="368" t="s">
        <v>230</v>
      </c>
      <c r="D662" s="368" t="s">
        <v>1523</v>
      </c>
      <c r="E662" s="368" t="s">
        <v>288</v>
      </c>
      <c r="F662" s="6">
        <f>F663</f>
        <v>216.9</v>
      </c>
    </row>
    <row r="663" spans="1:6" s="361" customFormat="1" ht="15.75" x14ac:dyDescent="0.25">
      <c r="A663" s="372" t="s">
        <v>289</v>
      </c>
      <c r="B663" s="368" t="s">
        <v>279</v>
      </c>
      <c r="C663" s="368" t="s">
        <v>230</v>
      </c>
      <c r="D663" s="368" t="s">
        <v>1523</v>
      </c>
      <c r="E663" s="368" t="s">
        <v>290</v>
      </c>
      <c r="F663" s="6">
        <f>'Пр.4 ведом.20'!G721</f>
        <v>216.9</v>
      </c>
    </row>
    <row r="664" spans="1:6" ht="63" x14ac:dyDescent="0.25">
      <c r="A664" s="31" t="s">
        <v>304</v>
      </c>
      <c r="B664" s="20" t="s">
        <v>279</v>
      </c>
      <c r="C664" s="20" t="s">
        <v>230</v>
      </c>
      <c r="D664" s="20" t="s">
        <v>1018</v>
      </c>
      <c r="E664" s="20"/>
      <c r="F664" s="6">
        <f t="shared" ref="F664" si="94">F665</f>
        <v>169.3</v>
      </c>
    </row>
    <row r="665" spans="1:6" ht="31.5" x14ac:dyDescent="0.25">
      <c r="A665" s="25" t="s">
        <v>287</v>
      </c>
      <c r="B665" s="20" t="s">
        <v>279</v>
      </c>
      <c r="C665" s="20" t="s">
        <v>230</v>
      </c>
      <c r="D665" s="20" t="s">
        <v>1018</v>
      </c>
      <c r="E665" s="20" t="s">
        <v>288</v>
      </c>
      <c r="F665" s="6">
        <f>F666</f>
        <v>169.3</v>
      </c>
    </row>
    <row r="666" spans="1:6" ht="15.75" x14ac:dyDescent="0.25">
      <c r="A666" s="25" t="s">
        <v>289</v>
      </c>
      <c r="B666" s="20" t="s">
        <v>279</v>
      </c>
      <c r="C666" s="20" t="s">
        <v>230</v>
      </c>
      <c r="D666" s="20" t="s">
        <v>1018</v>
      </c>
      <c r="E666" s="20" t="s">
        <v>290</v>
      </c>
      <c r="F666" s="6">
        <f>'Пр.4 ведом.20'!G724</f>
        <v>169.3</v>
      </c>
    </row>
    <row r="667" spans="1:6" ht="63" x14ac:dyDescent="0.25">
      <c r="A667" s="31" t="s">
        <v>306</v>
      </c>
      <c r="B667" s="20" t="s">
        <v>279</v>
      </c>
      <c r="C667" s="20" t="s">
        <v>230</v>
      </c>
      <c r="D667" s="20" t="s">
        <v>1021</v>
      </c>
      <c r="E667" s="20"/>
      <c r="F667" s="6">
        <f t="shared" ref="F667" si="95">F668</f>
        <v>549.5</v>
      </c>
    </row>
    <row r="668" spans="1:6" ht="31.5" x14ac:dyDescent="0.25">
      <c r="A668" s="25" t="s">
        <v>287</v>
      </c>
      <c r="B668" s="20" t="s">
        <v>279</v>
      </c>
      <c r="C668" s="20" t="s">
        <v>230</v>
      </c>
      <c r="D668" s="20" t="s">
        <v>1021</v>
      </c>
      <c r="E668" s="20" t="s">
        <v>288</v>
      </c>
      <c r="F668" s="6">
        <f>F669</f>
        <v>549.5</v>
      </c>
    </row>
    <row r="669" spans="1:6" ht="15.75" x14ac:dyDescent="0.25">
      <c r="A669" s="25" t="s">
        <v>289</v>
      </c>
      <c r="B669" s="20" t="s">
        <v>279</v>
      </c>
      <c r="C669" s="20" t="s">
        <v>230</v>
      </c>
      <c r="D669" s="20" t="s">
        <v>1021</v>
      </c>
      <c r="E669" s="20" t="s">
        <v>290</v>
      </c>
      <c r="F669" s="6">
        <f>'Пр.4 ведом.20'!G727</f>
        <v>549.5</v>
      </c>
    </row>
    <row r="670" spans="1:6" ht="94.5" x14ac:dyDescent="0.25">
      <c r="A670" s="31" t="s">
        <v>308</v>
      </c>
      <c r="B670" s="20" t="s">
        <v>279</v>
      </c>
      <c r="C670" s="20" t="s">
        <v>230</v>
      </c>
      <c r="D670" s="20" t="s">
        <v>1022</v>
      </c>
      <c r="E670" s="20"/>
      <c r="F670" s="6">
        <f>F671</f>
        <v>686.5</v>
      </c>
    </row>
    <row r="671" spans="1:6" ht="31.5" x14ac:dyDescent="0.25">
      <c r="A671" s="25" t="s">
        <v>287</v>
      </c>
      <c r="B671" s="20" t="s">
        <v>279</v>
      </c>
      <c r="C671" s="20" t="s">
        <v>230</v>
      </c>
      <c r="D671" s="20" t="s">
        <v>1022</v>
      </c>
      <c r="E671" s="20" t="s">
        <v>288</v>
      </c>
      <c r="F671" s="6">
        <f t="shared" ref="F671" si="96">F672</f>
        <v>686.5</v>
      </c>
    </row>
    <row r="672" spans="1:6" ht="15.75" x14ac:dyDescent="0.25">
      <c r="A672" s="25" t="s">
        <v>289</v>
      </c>
      <c r="B672" s="20" t="s">
        <v>279</v>
      </c>
      <c r="C672" s="20" t="s">
        <v>230</v>
      </c>
      <c r="D672" s="20" t="s">
        <v>1022</v>
      </c>
      <c r="E672" s="20" t="s">
        <v>290</v>
      </c>
      <c r="F672" s="6">
        <f>'Пр.4 ведом.20'!G730</f>
        <v>686.5</v>
      </c>
    </row>
    <row r="673" spans="1:6" ht="30.2" customHeight="1" x14ac:dyDescent="0.25">
      <c r="A673" s="34" t="s">
        <v>719</v>
      </c>
      <c r="B673" s="24" t="s">
        <v>279</v>
      </c>
      <c r="C673" s="24" t="s">
        <v>230</v>
      </c>
      <c r="D673" s="24" t="s">
        <v>462</v>
      </c>
      <c r="E673" s="24"/>
      <c r="F673" s="4">
        <f>F674+F678</f>
        <v>689</v>
      </c>
    </row>
    <row r="674" spans="1:6" ht="31.7" hidden="1" customHeight="1" x14ac:dyDescent="0.25">
      <c r="A674" s="23" t="s">
        <v>1050</v>
      </c>
      <c r="B674" s="24" t="s">
        <v>279</v>
      </c>
      <c r="C674" s="24" t="s">
        <v>230</v>
      </c>
      <c r="D674" s="24" t="s">
        <v>1233</v>
      </c>
      <c r="E674" s="24"/>
      <c r="F674" s="4">
        <f>F675</f>
        <v>0</v>
      </c>
    </row>
    <row r="675" spans="1:6" ht="35.450000000000003" hidden="1" customHeight="1" x14ac:dyDescent="0.25">
      <c r="A675" s="45" t="s">
        <v>787</v>
      </c>
      <c r="B675" s="20" t="s">
        <v>279</v>
      </c>
      <c r="C675" s="20" t="s">
        <v>230</v>
      </c>
      <c r="D675" s="20" t="s">
        <v>1234</v>
      </c>
      <c r="E675" s="20"/>
      <c r="F675" s="6">
        <f>F676</f>
        <v>0</v>
      </c>
    </row>
    <row r="676" spans="1:6" ht="39.75" hidden="1" customHeight="1" x14ac:dyDescent="0.25">
      <c r="A676" s="31" t="s">
        <v>287</v>
      </c>
      <c r="B676" s="20" t="s">
        <v>279</v>
      </c>
      <c r="C676" s="20" t="s">
        <v>230</v>
      </c>
      <c r="D676" s="20" t="s">
        <v>1234</v>
      </c>
      <c r="E676" s="20" t="s">
        <v>288</v>
      </c>
      <c r="F676" s="6">
        <f>F677</f>
        <v>0</v>
      </c>
    </row>
    <row r="677" spans="1:6" ht="19.5" hidden="1" customHeight="1" x14ac:dyDescent="0.25">
      <c r="A677" s="31" t="s">
        <v>289</v>
      </c>
      <c r="B677" s="20" t="s">
        <v>279</v>
      </c>
      <c r="C677" s="20" t="s">
        <v>230</v>
      </c>
      <c r="D677" s="20" t="s">
        <v>1234</v>
      </c>
      <c r="E677" s="20" t="s">
        <v>290</v>
      </c>
      <c r="F677" s="6">
        <f>'Пр.4 ведом.20'!G735</f>
        <v>0</v>
      </c>
    </row>
    <row r="678" spans="1:6" ht="33" customHeight="1" x14ac:dyDescent="0.25">
      <c r="A678" s="246" t="s">
        <v>1075</v>
      </c>
      <c r="B678" s="24" t="s">
        <v>279</v>
      </c>
      <c r="C678" s="24" t="s">
        <v>230</v>
      </c>
      <c r="D678" s="24" t="s">
        <v>1051</v>
      </c>
      <c r="E678" s="24"/>
      <c r="F678" s="4">
        <f>F679</f>
        <v>689</v>
      </c>
    </row>
    <row r="679" spans="1:6" ht="46.5" customHeight="1" x14ac:dyDescent="0.25">
      <c r="A679" s="45" t="s">
        <v>785</v>
      </c>
      <c r="B679" s="20" t="s">
        <v>279</v>
      </c>
      <c r="C679" s="20" t="s">
        <v>230</v>
      </c>
      <c r="D679" s="20" t="s">
        <v>1052</v>
      </c>
      <c r="E679" s="20"/>
      <c r="F679" s="6">
        <f>F680</f>
        <v>689</v>
      </c>
    </row>
    <row r="680" spans="1:6" ht="31.5" x14ac:dyDescent="0.25">
      <c r="A680" s="25" t="s">
        <v>287</v>
      </c>
      <c r="B680" s="20" t="s">
        <v>279</v>
      </c>
      <c r="C680" s="20" t="s">
        <v>230</v>
      </c>
      <c r="D680" s="20" t="s">
        <v>1052</v>
      </c>
      <c r="E680" s="20" t="s">
        <v>288</v>
      </c>
      <c r="F680" s="6">
        <f t="shared" ref="F680" si="97">F681</f>
        <v>689</v>
      </c>
    </row>
    <row r="681" spans="1:6" ht="15.75" x14ac:dyDescent="0.25">
      <c r="A681" s="31" t="s">
        <v>289</v>
      </c>
      <c r="B681" s="20" t="s">
        <v>279</v>
      </c>
      <c r="C681" s="20" t="s">
        <v>230</v>
      </c>
      <c r="D681" s="20" t="s">
        <v>1052</v>
      </c>
      <c r="E681" s="20" t="s">
        <v>290</v>
      </c>
      <c r="F681" s="6">
        <f>'Пр.4 ведом.20'!G739</f>
        <v>689</v>
      </c>
    </row>
    <row r="682" spans="1:6" s="221" customFormat="1" ht="34.5" customHeight="1" x14ac:dyDescent="0.25">
      <c r="A682" s="23" t="s">
        <v>281</v>
      </c>
      <c r="B682" s="24" t="s">
        <v>279</v>
      </c>
      <c r="C682" s="24" t="s">
        <v>230</v>
      </c>
      <c r="D682" s="24" t="s">
        <v>282</v>
      </c>
      <c r="E682" s="24"/>
      <c r="F682" s="4">
        <f>F683</f>
        <v>17073.7</v>
      </c>
    </row>
    <row r="683" spans="1:6" s="221" customFormat="1" ht="50.25" customHeight="1" x14ac:dyDescent="0.25">
      <c r="A683" s="23" t="s">
        <v>283</v>
      </c>
      <c r="B683" s="24" t="s">
        <v>279</v>
      </c>
      <c r="C683" s="24" t="s">
        <v>230</v>
      </c>
      <c r="D683" s="24" t="s">
        <v>284</v>
      </c>
      <c r="E683" s="24"/>
      <c r="F683" s="4">
        <f>F684+F692+F696+F702+F706</f>
        <v>17073.7</v>
      </c>
    </row>
    <row r="684" spans="1:6" s="221" customFormat="1" ht="36" customHeight="1" x14ac:dyDescent="0.25">
      <c r="A684" s="23" t="s">
        <v>939</v>
      </c>
      <c r="B684" s="24" t="s">
        <v>279</v>
      </c>
      <c r="C684" s="24" t="s">
        <v>230</v>
      </c>
      <c r="D684" s="24" t="s">
        <v>940</v>
      </c>
      <c r="E684" s="24"/>
      <c r="F684" s="4">
        <f>F685</f>
        <v>15441</v>
      </c>
    </row>
    <row r="685" spans="1:6" s="221" customFormat="1" ht="15.75" x14ac:dyDescent="0.25">
      <c r="A685" s="25" t="s">
        <v>830</v>
      </c>
      <c r="B685" s="20" t="s">
        <v>279</v>
      </c>
      <c r="C685" s="20" t="s">
        <v>230</v>
      </c>
      <c r="D685" s="20" t="s">
        <v>938</v>
      </c>
      <c r="E685" s="20"/>
      <c r="F685" s="6">
        <f>F686+F688+F690</f>
        <v>15441</v>
      </c>
    </row>
    <row r="686" spans="1:6" s="221" customFormat="1" ht="78.75" x14ac:dyDescent="0.25">
      <c r="A686" s="25" t="s">
        <v>142</v>
      </c>
      <c r="B686" s="20" t="s">
        <v>279</v>
      </c>
      <c r="C686" s="20" t="s">
        <v>230</v>
      </c>
      <c r="D686" s="20" t="s">
        <v>938</v>
      </c>
      <c r="E686" s="20" t="s">
        <v>143</v>
      </c>
      <c r="F686" s="6">
        <f>F687</f>
        <v>13412.5</v>
      </c>
    </row>
    <row r="687" spans="1:6" s="221" customFormat="1" ht="21.2" customHeight="1" x14ac:dyDescent="0.25">
      <c r="A687" s="46" t="s">
        <v>357</v>
      </c>
      <c r="B687" s="20" t="s">
        <v>279</v>
      </c>
      <c r="C687" s="20" t="s">
        <v>230</v>
      </c>
      <c r="D687" s="20" t="s">
        <v>938</v>
      </c>
      <c r="E687" s="20" t="s">
        <v>224</v>
      </c>
      <c r="F687" s="6">
        <f>'Пр.4 ведом.20'!G280</f>
        <v>13412.5</v>
      </c>
    </row>
    <row r="688" spans="1:6" s="221" customFormat="1" ht="31.5" x14ac:dyDescent="0.25">
      <c r="A688" s="25" t="s">
        <v>146</v>
      </c>
      <c r="B688" s="20" t="s">
        <v>279</v>
      </c>
      <c r="C688" s="20" t="s">
        <v>230</v>
      </c>
      <c r="D688" s="20" t="s">
        <v>938</v>
      </c>
      <c r="E688" s="20" t="s">
        <v>147</v>
      </c>
      <c r="F688" s="6">
        <f>F689</f>
        <v>1950.5</v>
      </c>
    </row>
    <row r="689" spans="1:6" s="221" customFormat="1" ht="31.5" x14ac:dyDescent="0.25">
      <c r="A689" s="25" t="s">
        <v>148</v>
      </c>
      <c r="B689" s="20" t="s">
        <v>279</v>
      </c>
      <c r="C689" s="20" t="s">
        <v>230</v>
      </c>
      <c r="D689" s="20" t="s">
        <v>938</v>
      </c>
      <c r="E689" s="20" t="s">
        <v>149</v>
      </c>
      <c r="F689" s="6">
        <f>'Пр.4 ведом.20'!G282</f>
        <v>1950.5</v>
      </c>
    </row>
    <row r="690" spans="1:6" s="221" customFormat="1" ht="15.75" x14ac:dyDescent="0.25">
      <c r="A690" s="25" t="s">
        <v>150</v>
      </c>
      <c r="B690" s="20" t="s">
        <v>279</v>
      </c>
      <c r="C690" s="20" t="s">
        <v>230</v>
      </c>
      <c r="D690" s="20" t="s">
        <v>938</v>
      </c>
      <c r="E690" s="20" t="s">
        <v>160</v>
      </c>
      <c r="F690" s="6">
        <f>F691</f>
        <v>78</v>
      </c>
    </row>
    <row r="691" spans="1:6" s="221" customFormat="1" ht="15.75" x14ac:dyDescent="0.25">
      <c r="A691" s="25" t="s">
        <v>725</v>
      </c>
      <c r="B691" s="20" t="s">
        <v>279</v>
      </c>
      <c r="C691" s="20" t="s">
        <v>230</v>
      </c>
      <c r="D691" s="20" t="s">
        <v>938</v>
      </c>
      <c r="E691" s="20" t="s">
        <v>153</v>
      </c>
      <c r="F691" s="6">
        <f>'Пр.4 ведом.20'!G284</f>
        <v>78</v>
      </c>
    </row>
    <row r="692" spans="1:6" s="221" customFormat="1" ht="47.25" x14ac:dyDescent="0.25">
      <c r="A692" s="243" t="s">
        <v>1187</v>
      </c>
      <c r="B692" s="24" t="s">
        <v>279</v>
      </c>
      <c r="C692" s="24" t="s">
        <v>230</v>
      </c>
      <c r="D692" s="24" t="s">
        <v>942</v>
      </c>
      <c r="E692" s="24"/>
      <c r="F692" s="4">
        <f>F693</f>
        <v>45</v>
      </c>
    </row>
    <row r="693" spans="1:6" s="221" customFormat="1" ht="31.5" x14ac:dyDescent="0.25">
      <c r="A693" s="212" t="s">
        <v>829</v>
      </c>
      <c r="B693" s="20" t="s">
        <v>279</v>
      </c>
      <c r="C693" s="20" t="s">
        <v>230</v>
      </c>
      <c r="D693" s="20" t="s">
        <v>941</v>
      </c>
      <c r="E693" s="20"/>
      <c r="F693" s="6">
        <f>F694</f>
        <v>45</v>
      </c>
    </row>
    <row r="694" spans="1:6" s="221" customFormat="1" ht="20.25" customHeight="1" x14ac:dyDescent="0.25">
      <c r="A694" s="25" t="s">
        <v>263</v>
      </c>
      <c r="B694" s="20" t="s">
        <v>279</v>
      </c>
      <c r="C694" s="20" t="s">
        <v>230</v>
      </c>
      <c r="D694" s="20" t="s">
        <v>941</v>
      </c>
      <c r="E694" s="20" t="s">
        <v>264</v>
      </c>
      <c r="F694" s="6">
        <f>F695</f>
        <v>45</v>
      </c>
    </row>
    <row r="695" spans="1:6" s="221" customFormat="1" ht="15.75" x14ac:dyDescent="0.25">
      <c r="A695" s="25" t="s">
        <v>863</v>
      </c>
      <c r="B695" s="20" t="s">
        <v>279</v>
      </c>
      <c r="C695" s="20" t="s">
        <v>230</v>
      </c>
      <c r="D695" s="20" t="s">
        <v>941</v>
      </c>
      <c r="E695" s="20" t="s">
        <v>862</v>
      </c>
      <c r="F695" s="6">
        <f>'Пр.4 ведом.20'!G288</f>
        <v>45</v>
      </c>
    </row>
    <row r="696" spans="1:6" ht="47.25" x14ac:dyDescent="0.25">
      <c r="A696" s="248" t="s">
        <v>1166</v>
      </c>
      <c r="B696" s="24" t="s">
        <v>279</v>
      </c>
      <c r="C696" s="24" t="s">
        <v>230</v>
      </c>
      <c r="D696" s="24" t="s">
        <v>943</v>
      </c>
      <c r="E696" s="24"/>
      <c r="F696" s="4">
        <f>F697</f>
        <v>250.00000000000003</v>
      </c>
    </row>
    <row r="697" spans="1:6" ht="31.5" x14ac:dyDescent="0.25">
      <c r="A697" s="31" t="s">
        <v>858</v>
      </c>
      <c r="B697" s="20" t="s">
        <v>279</v>
      </c>
      <c r="C697" s="20" t="s">
        <v>230</v>
      </c>
      <c r="D697" s="20" t="s">
        <v>944</v>
      </c>
      <c r="E697" s="20"/>
      <c r="F697" s="6">
        <f>F698+F700</f>
        <v>250.00000000000003</v>
      </c>
    </row>
    <row r="698" spans="1:6" ht="78.75" x14ac:dyDescent="0.25">
      <c r="A698" s="25" t="s">
        <v>142</v>
      </c>
      <c r="B698" s="20" t="s">
        <v>279</v>
      </c>
      <c r="C698" s="20" t="s">
        <v>230</v>
      </c>
      <c r="D698" s="20" t="s">
        <v>944</v>
      </c>
      <c r="E698" s="20" t="s">
        <v>143</v>
      </c>
      <c r="F698" s="6">
        <f>F699</f>
        <v>250.00000000000003</v>
      </c>
    </row>
    <row r="699" spans="1:6" s="221" customFormat="1" ht="18.75" customHeight="1" x14ac:dyDescent="0.25">
      <c r="A699" s="46" t="s">
        <v>357</v>
      </c>
      <c r="B699" s="20" t="s">
        <v>279</v>
      </c>
      <c r="C699" s="20" t="s">
        <v>230</v>
      </c>
      <c r="D699" s="20" t="s">
        <v>944</v>
      </c>
      <c r="E699" s="20" t="s">
        <v>224</v>
      </c>
      <c r="F699" s="6">
        <f>'Пр.4 ведом.20'!G292</f>
        <v>250.00000000000003</v>
      </c>
    </row>
    <row r="700" spans="1:6" s="221" customFormat="1" ht="31.5" x14ac:dyDescent="0.25">
      <c r="A700" s="25" t="s">
        <v>146</v>
      </c>
      <c r="B700" s="20" t="s">
        <v>279</v>
      </c>
      <c r="C700" s="20" t="s">
        <v>230</v>
      </c>
      <c r="D700" s="20" t="s">
        <v>944</v>
      </c>
      <c r="E700" s="20" t="s">
        <v>147</v>
      </c>
      <c r="F700" s="6">
        <f>F701</f>
        <v>0</v>
      </c>
    </row>
    <row r="701" spans="1:6" s="221" customFormat="1" ht="31.5" x14ac:dyDescent="0.25">
      <c r="A701" s="25" t="s">
        <v>148</v>
      </c>
      <c r="B701" s="20" t="s">
        <v>279</v>
      </c>
      <c r="C701" s="20" t="s">
        <v>230</v>
      </c>
      <c r="D701" s="20" t="s">
        <v>944</v>
      </c>
      <c r="E701" s="20" t="s">
        <v>149</v>
      </c>
      <c r="F701" s="6">
        <f>'Пр.4 ведом.20'!G294</f>
        <v>0</v>
      </c>
    </row>
    <row r="702" spans="1:6" s="221" customFormat="1" ht="31.5" x14ac:dyDescent="0.25">
      <c r="A702" s="23" t="s">
        <v>1074</v>
      </c>
      <c r="B702" s="24" t="s">
        <v>279</v>
      </c>
      <c r="C702" s="24" t="s">
        <v>230</v>
      </c>
      <c r="D702" s="24" t="s">
        <v>949</v>
      </c>
      <c r="E702" s="24"/>
      <c r="F702" s="4">
        <f>F703</f>
        <v>336</v>
      </c>
    </row>
    <row r="703" spans="1:6" s="221" customFormat="1" ht="47.25" x14ac:dyDescent="0.25">
      <c r="A703" s="25" t="s">
        <v>883</v>
      </c>
      <c r="B703" s="20" t="s">
        <v>279</v>
      </c>
      <c r="C703" s="20" t="s">
        <v>230</v>
      </c>
      <c r="D703" s="20" t="s">
        <v>1263</v>
      </c>
      <c r="E703" s="20"/>
      <c r="F703" s="6">
        <f>F704</f>
        <v>336</v>
      </c>
    </row>
    <row r="704" spans="1:6" s="221" customFormat="1" ht="78.75" x14ac:dyDescent="0.25">
      <c r="A704" s="25" t="s">
        <v>142</v>
      </c>
      <c r="B704" s="20" t="s">
        <v>279</v>
      </c>
      <c r="C704" s="20" t="s">
        <v>230</v>
      </c>
      <c r="D704" s="20" t="s">
        <v>1263</v>
      </c>
      <c r="E704" s="20" t="s">
        <v>143</v>
      </c>
      <c r="F704" s="6">
        <f>F705</f>
        <v>336</v>
      </c>
    </row>
    <row r="705" spans="1:6" s="221" customFormat="1" ht="31.5" x14ac:dyDescent="0.25">
      <c r="A705" s="25" t="s">
        <v>144</v>
      </c>
      <c r="B705" s="20" t="s">
        <v>279</v>
      </c>
      <c r="C705" s="20" t="s">
        <v>230</v>
      </c>
      <c r="D705" s="20" t="s">
        <v>1263</v>
      </c>
      <c r="E705" s="20" t="s">
        <v>224</v>
      </c>
      <c r="F705" s="6">
        <f>'Пр.4 ведом.20'!G298</f>
        <v>336</v>
      </c>
    </row>
    <row r="706" spans="1:6" s="221" customFormat="1" ht="47.25" x14ac:dyDescent="0.25">
      <c r="A706" s="23" t="s">
        <v>969</v>
      </c>
      <c r="B706" s="24" t="s">
        <v>279</v>
      </c>
      <c r="C706" s="24" t="s">
        <v>230</v>
      </c>
      <c r="D706" s="24" t="s">
        <v>1264</v>
      </c>
      <c r="E706" s="24"/>
      <c r="F706" s="4">
        <f>F710+F713+F716+F707</f>
        <v>1001.7</v>
      </c>
    </row>
    <row r="707" spans="1:6" s="361" customFormat="1" ht="94.5" x14ac:dyDescent="0.25">
      <c r="A707" s="31" t="s">
        <v>308</v>
      </c>
      <c r="B707" s="368" t="s">
        <v>279</v>
      </c>
      <c r="C707" s="368" t="s">
        <v>230</v>
      </c>
      <c r="D707" s="368" t="s">
        <v>1524</v>
      </c>
      <c r="E707" s="368"/>
      <c r="F707" s="6">
        <f>F708</f>
        <v>422.5</v>
      </c>
    </row>
    <row r="708" spans="1:6" s="361" customFormat="1" ht="78.75" x14ac:dyDescent="0.25">
      <c r="A708" s="372" t="s">
        <v>142</v>
      </c>
      <c r="B708" s="368" t="s">
        <v>279</v>
      </c>
      <c r="C708" s="368" t="s">
        <v>230</v>
      </c>
      <c r="D708" s="368" t="s">
        <v>1524</v>
      </c>
      <c r="E708" s="368" t="s">
        <v>143</v>
      </c>
      <c r="F708" s="6">
        <f>F709</f>
        <v>422.5</v>
      </c>
    </row>
    <row r="709" spans="1:6" s="361" customFormat="1" ht="31.5" x14ac:dyDescent="0.25">
      <c r="A709" s="46" t="s">
        <v>357</v>
      </c>
      <c r="B709" s="368" t="s">
        <v>279</v>
      </c>
      <c r="C709" s="368" t="s">
        <v>230</v>
      </c>
      <c r="D709" s="368" t="s">
        <v>1524</v>
      </c>
      <c r="E709" s="368" t="s">
        <v>224</v>
      </c>
      <c r="F709" s="6">
        <f>'Пр.4 ведом.20'!G302</f>
        <v>422.5</v>
      </c>
    </row>
    <row r="710" spans="1:6" s="221" customFormat="1" ht="63" x14ac:dyDescent="0.25">
      <c r="A710" s="31" t="s">
        <v>304</v>
      </c>
      <c r="B710" s="20" t="s">
        <v>279</v>
      </c>
      <c r="C710" s="20" t="s">
        <v>230</v>
      </c>
      <c r="D710" s="20" t="s">
        <v>1265</v>
      </c>
      <c r="E710" s="20"/>
      <c r="F710" s="6">
        <f>F711</f>
        <v>100.8</v>
      </c>
    </row>
    <row r="711" spans="1:6" s="221" customFormat="1" ht="78.75" x14ac:dyDescent="0.25">
      <c r="A711" s="25" t="s">
        <v>142</v>
      </c>
      <c r="B711" s="20" t="s">
        <v>279</v>
      </c>
      <c r="C711" s="20" t="s">
        <v>230</v>
      </c>
      <c r="D711" s="20" t="s">
        <v>1265</v>
      </c>
      <c r="E711" s="20" t="s">
        <v>143</v>
      </c>
      <c r="F711" s="6">
        <f>F712</f>
        <v>100.8</v>
      </c>
    </row>
    <row r="712" spans="1:6" s="221" customFormat="1" ht="21.2" customHeight="1" x14ac:dyDescent="0.25">
      <c r="A712" s="46" t="s">
        <v>357</v>
      </c>
      <c r="B712" s="20" t="s">
        <v>279</v>
      </c>
      <c r="C712" s="20" t="s">
        <v>230</v>
      </c>
      <c r="D712" s="20" t="s">
        <v>1265</v>
      </c>
      <c r="E712" s="20" t="s">
        <v>224</v>
      </c>
      <c r="F712" s="6">
        <f>'Пр.4 ведом.20'!G305</f>
        <v>100.8</v>
      </c>
    </row>
    <row r="713" spans="1:6" s="221" customFormat="1" ht="63" x14ac:dyDescent="0.25">
      <c r="A713" s="31" t="s">
        <v>306</v>
      </c>
      <c r="B713" s="20" t="s">
        <v>279</v>
      </c>
      <c r="C713" s="20" t="s">
        <v>230</v>
      </c>
      <c r="D713" s="20" t="s">
        <v>1266</v>
      </c>
      <c r="E713" s="20"/>
      <c r="F713" s="6">
        <f>F714</f>
        <v>298.40000000000003</v>
      </c>
    </row>
    <row r="714" spans="1:6" s="221" customFormat="1" ht="78.75" x14ac:dyDescent="0.25">
      <c r="A714" s="25" t="s">
        <v>142</v>
      </c>
      <c r="B714" s="20" t="s">
        <v>279</v>
      </c>
      <c r="C714" s="20" t="s">
        <v>230</v>
      </c>
      <c r="D714" s="20" t="s">
        <v>1266</v>
      </c>
      <c r="E714" s="20" t="s">
        <v>143</v>
      </c>
      <c r="F714" s="6">
        <f>F715</f>
        <v>298.40000000000003</v>
      </c>
    </row>
    <row r="715" spans="1:6" s="221" customFormat="1" ht="21.2" customHeight="1" x14ac:dyDescent="0.25">
      <c r="A715" s="46" t="s">
        <v>357</v>
      </c>
      <c r="B715" s="20" t="s">
        <v>279</v>
      </c>
      <c r="C715" s="20" t="s">
        <v>230</v>
      </c>
      <c r="D715" s="20" t="s">
        <v>1266</v>
      </c>
      <c r="E715" s="20" t="s">
        <v>224</v>
      </c>
      <c r="F715" s="6">
        <f>'Пр.4 ведом.20'!G308</f>
        <v>298.40000000000003</v>
      </c>
    </row>
    <row r="716" spans="1:6" s="221" customFormat="1" ht="94.5" x14ac:dyDescent="0.25">
      <c r="A716" s="31" t="s">
        <v>308</v>
      </c>
      <c r="B716" s="20" t="s">
        <v>279</v>
      </c>
      <c r="C716" s="20" t="s">
        <v>230</v>
      </c>
      <c r="D716" s="20" t="s">
        <v>1267</v>
      </c>
      <c r="E716" s="20"/>
      <c r="F716" s="6">
        <f>F717</f>
        <v>180</v>
      </c>
    </row>
    <row r="717" spans="1:6" s="221" customFormat="1" ht="78.75" x14ac:dyDescent="0.25">
      <c r="A717" s="25" t="s">
        <v>142</v>
      </c>
      <c r="B717" s="20" t="s">
        <v>279</v>
      </c>
      <c r="C717" s="20" t="s">
        <v>230</v>
      </c>
      <c r="D717" s="20" t="s">
        <v>1267</v>
      </c>
      <c r="E717" s="20" t="s">
        <v>143</v>
      </c>
      <c r="F717" s="6">
        <f>F718</f>
        <v>180</v>
      </c>
    </row>
    <row r="718" spans="1:6" s="221" customFormat="1" ht="20.25" customHeight="1" x14ac:dyDescent="0.25">
      <c r="A718" s="46" t="s">
        <v>357</v>
      </c>
      <c r="B718" s="20" t="s">
        <v>279</v>
      </c>
      <c r="C718" s="20" t="s">
        <v>230</v>
      </c>
      <c r="D718" s="20" t="s">
        <v>1267</v>
      </c>
      <c r="E718" s="20" t="s">
        <v>224</v>
      </c>
      <c r="F718" s="6">
        <f>'Пр.4 ведом.20'!G311</f>
        <v>180</v>
      </c>
    </row>
    <row r="719" spans="1:6" s="221" customFormat="1" ht="63" x14ac:dyDescent="0.25">
      <c r="A719" s="41" t="s">
        <v>728</v>
      </c>
      <c r="B719" s="24" t="s">
        <v>279</v>
      </c>
      <c r="C719" s="24" t="s">
        <v>230</v>
      </c>
      <c r="D719" s="24" t="s">
        <v>726</v>
      </c>
      <c r="E719" s="24"/>
      <c r="F719" s="4">
        <f>F720</f>
        <v>628.09999999999991</v>
      </c>
    </row>
    <row r="720" spans="1:6" s="221" customFormat="1" ht="47.25" x14ac:dyDescent="0.25">
      <c r="A720" s="41" t="s">
        <v>947</v>
      </c>
      <c r="B720" s="24" t="s">
        <v>279</v>
      </c>
      <c r="C720" s="24" t="s">
        <v>230</v>
      </c>
      <c r="D720" s="24" t="s">
        <v>945</v>
      </c>
      <c r="E720" s="24"/>
      <c r="F720" s="4">
        <f>F721+F724</f>
        <v>628.09999999999991</v>
      </c>
    </row>
    <row r="721" spans="1:6" s="221" customFormat="1" ht="35.450000000000003" customHeight="1" x14ac:dyDescent="0.25">
      <c r="A721" s="99" t="s">
        <v>1155</v>
      </c>
      <c r="B721" s="20" t="s">
        <v>279</v>
      </c>
      <c r="C721" s="20" t="s">
        <v>230</v>
      </c>
      <c r="D721" s="20" t="s">
        <v>946</v>
      </c>
      <c r="E721" s="32"/>
      <c r="F721" s="6">
        <f>F722</f>
        <v>327.39999999999998</v>
      </c>
    </row>
    <row r="722" spans="1:6" s="221" customFormat="1" ht="31.5" x14ac:dyDescent="0.25">
      <c r="A722" s="25" t="s">
        <v>146</v>
      </c>
      <c r="B722" s="20" t="s">
        <v>279</v>
      </c>
      <c r="C722" s="20" t="s">
        <v>230</v>
      </c>
      <c r="D722" s="20" t="s">
        <v>946</v>
      </c>
      <c r="E722" s="32" t="s">
        <v>147</v>
      </c>
      <c r="F722" s="6">
        <f>F723</f>
        <v>327.39999999999998</v>
      </c>
    </row>
    <row r="723" spans="1:6" s="221" customFormat="1" ht="36.75" customHeight="1" x14ac:dyDescent="0.25">
      <c r="A723" s="25" t="s">
        <v>148</v>
      </c>
      <c r="B723" s="20" t="s">
        <v>279</v>
      </c>
      <c r="C723" s="20" t="s">
        <v>230</v>
      </c>
      <c r="D723" s="20" t="s">
        <v>946</v>
      </c>
      <c r="E723" s="32" t="s">
        <v>149</v>
      </c>
      <c r="F723" s="6">
        <f>'Пр.4 ведом.20'!G316</f>
        <v>327.39999999999998</v>
      </c>
    </row>
    <row r="724" spans="1:6" s="221" customFormat="1" ht="47.25" x14ac:dyDescent="0.25">
      <c r="A724" s="99" t="s">
        <v>801</v>
      </c>
      <c r="B724" s="20" t="s">
        <v>279</v>
      </c>
      <c r="C724" s="20" t="s">
        <v>230</v>
      </c>
      <c r="D724" s="20" t="s">
        <v>1025</v>
      </c>
      <c r="E724" s="32"/>
      <c r="F724" s="6">
        <f>F725</f>
        <v>300.7</v>
      </c>
    </row>
    <row r="725" spans="1:6" s="221" customFormat="1" ht="31.5" x14ac:dyDescent="0.25">
      <c r="A725" s="29" t="s">
        <v>287</v>
      </c>
      <c r="B725" s="20" t="s">
        <v>279</v>
      </c>
      <c r="C725" s="20" t="s">
        <v>230</v>
      </c>
      <c r="D725" s="20" t="s">
        <v>1025</v>
      </c>
      <c r="E725" s="32" t="s">
        <v>288</v>
      </c>
      <c r="F725" s="6">
        <f>F726</f>
        <v>300.7</v>
      </c>
    </row>
    <row r="726" spans="1:6" s="221" customFormat="1" ht="15.75" x14ac:dyDescent="0.25">
      <c r="A726" s="193" t="s">
        <v>289</v>
      </c>
      <c r="B726" s="20" t="s">
        <v>279</v>
      </c>
      <c r="C726" s="20" t="s">
        <v>230</v>
      </c>
      <c r="D726" s="20" t="s">
        <v>1025</v>
      </c>
      <c r="E726" s="32" t="s">
        <v>290</v>
      </c>
      <c r="F726" s="6">
        <f>'Пр.4 ведом.20'!G744</f>
        <v>300.7</v>
      </c>
    </row>
    <row r="727" spans="1:6" s="221" customFormat="1" ht="15.75" x14ac:dyDescent="0.25">
      <c r="A727" s="23" t="s">
        <v>481</v>
      </c>
      <c r="B727" s="24" t="s">
        <v>279</v>
      </c>
      <c r="C727" s="24" t="s">
        <v>279</v>
      </c>
      <c r="D727" s="24"/>
      <c r="E727" s="250"/>
      <c r="F727" s="4">
        <f>F728+F747</f>
        <v>6564.9</v>
      </c>
    </row>
    <row r="728" spans="1:6" s="221" customFormat="1" ht="47.25" x14ac:dyDescent="0.25">
      <c r="A728" s="23" t="s">
        <v>358</v>
      </c>
      <c r="B728" s="24" t="s">
        <v>279</v>
      </c>
      <c r="C728" s="24" t="s">
        <v>279</v>
      </c>
      <c r="D728" s="24" t="s">
        <v>359</v>
      </c>
      <c r="E728" s="24"/>
      <c r="F728" s="4">
        <f>F729</f>
        <v>760</v>
      </c>
    </row>
    <row r="729" spans="1:6" s="221" customFormat="1" ht="31.5" x14ac:dyDescent="0.25">
      <c r="A729" s="23" t="s">
        <v>360</v>
      </c>
      <c r="B729" s="24" t="s">
        <v>279</v>
      </c>
      <c r="C729" s="24" t="s">
        <v>279</v>
      </c>
      <c r="D729" s="24" t="s">
        <v>361</v>
      </c>
      <c r="E729" s="24"/>
      <c r="F729" s="4">
        <f>F730+F737+F743</f>
        <v>760</v>
      </c>
    </row>
    <row r="730" spans="1:6" s="221" customFormat="1" ht="47.25" x14ac:dyDescent="0.25">
      <c r="A730" s="238" t="s">
        <v>1196</v>
      </c>
      <c r="B730" s="24" t="s">
        <v>279</v>
      </c>
      <c r="C730" s="24" t="s">
        <v>279</v>
      </c>
      <c r="D730" s="24" t="s">
        <v>950</v>
      </c>
      <c r="E730" s="24"/>
      <c r="F730" s="4">
        <f>F731+F734</f>
        <v>280</v>
      </c>
    </row>
    <row r="731" spans="1:6" s="221" customFormat="1" ht="31.5" x14ac:dyDescent="0.25">
      <c r="A731" s="99" t="s">
        <v>1202</v>
      </c>
      <c r="B731" s="20" t="s">
        <v>279</v>
      </c>
      <c r="C731" s="20" t="s">
        <v>279</v>
      </c>
      <c r="D731" s="20" t="s">
        <v>951</v>
      </c>
      <c r="E731" s="20"/>
      <c r="F731" s="6">
        <f>F732</f>
        <v>280</v>
      </c>
    </row>
    <row r="732" spans="1:6" s="221" customFormat="1" ht="78.75" x14ac:dyDescent="0.25">
      <c r="A732" s="25" t="s">
        <v>142</v>
      </c>
      <c r="B732" s="20" t="s">
        <v>279</v>
      </c>
      <c r="C732" s="20" t="s">
        <v>279</v>
      </c>
      <c r="D732" s="20" t="s">
        <v>951</v>
      </c>
      <c r="E732" s="20" t="s">
        <v>143</v>
      </c>
      <c r="F732" s="6">
        <f>F733</f>
        <v>280</v>
      </c>
    </row>
    <row r="733" spans="1:6" s="221" customFormat="1" ht="17.45" customHeight="1" x14ac:dyDescent="0.25">
      <c r="A733" s="25" t="s">
        <v>357</v>
      </c>
      <c r="B733" s="20" t="s">
        <v>279</v>
      </c>
      <c r="C733" s="20" t="s">
        <v>279</v>
      </c>
      <c r="D733" s="20" t="s">
        <v>951</v>
      </c>
      <c r="E733" s="20" t="s">
        <v>224</v>
      </c>
      <c r="F733" s="6">
        <f>'Пр.4 ведом.20'!G323</f>
        <v>280</v>
      </c>
    </row>
    <row r="734" spans="1:6" s="221" customFormat="1" ht="19.5" hidden="1" customHeight="1" x14ac:dyDescent="0.25">
      <c r="A734" s="25" t="s">
        <v>1197</v>
      </c>
      <c r="B734" s="20" t="s">
        <v>279</v>
      </c>
      <c r="C734" s="20" t="s">
        <v>279</v>
      </c>
      <c r="D734" s="20" t="s">
        <v>1221</v>
      </c>
      <c r="E734" s="20"/>
      <c r="F734" s="6">
        <f>F735</f>
        <v>0</v>
      </c>
    </row>
    <row r="735" spans="1:6" s="221" customFormat="1" ht="31.5" hidden="1" x14ac:dyDescent="0.25">
      <c r="A735" s="25" t="s">
        <v>146</v>
      </c>
      <c r="B735" s="20" t="s">
        <v>279</v>
      </c>
      <c r="C735" s="20" t="s">
        <v>279</v>
      </c>
      <c r="D735" s="20" t="s">
        <v>1221</v>
      </c>
      <c r="E735" s="20" t="s">
        <v>147</v>
      </c>
      <c r="F735" s="6">
        <f>F736</f>
        <v>0</v>
      </c>
    </row>
    <row r="736" spans="1:6" s="221" customFormat="1" ht="31.5" hidden="1" x14ac:dyDescent="0.25">
      <c r="A736" s="25" t="s">
        <v>148</v>
      </c>
      <c r="B736" s="20" t="s">
        <v>279</v>
      </c>
      <c r="C736" s="20" t="s">
        <v>279</v>
      </c>
      <c r="D736" s="20" t="s">
        <v>1221</v>
      </c>
      <c r="E736" s="20" t="s">
        <v>149</v>
      </c>
      <c r="F736" s="6">
        <f>'Пр.4 ведом.20'!G326</f>
        <v>0</v>
      </c>
    </row>
    <row r="737" spans="1:6" s="221" customFormat="1" ht="63" x14ac:dyDescent="0.25">
      <c r="A737" s="23" t="s">
        <v>1198</v>
      </c>
      <c r="B737" s="24" t="s">
        <v>279</v>
      </c>
      <c r="C737" s="24" t="s">
        <v>279</v>
      </c>
      <c r="D737" s="24" t="s">
        <v>952</v>
      </c>
      <c r="E737" s="24"/>
      <c r="F737" s="4">
        <f>F738</f>
        <v>455</v>
      </c>
    </row>
    <row r="738" spans="1:6" s="221" customFormat="1" ht="15.75" x14ac:dyDescent="0.25">
      <c r="A738" s="25" t="s">
        <v>1199</v>
      </c>
      <c r="B738" s="20" t="s">
        <v>279</v>
      </c>
      <c r="C738" s="20" t="s">
        <v>279</v>
      </c>
      <c r="D738" s="20" t="s">
        <v>970</v>
      </c>
      <c r="E738" s="20"/>
      <c r="F738" s="6">
        <f>F739+F741</f>
        <v>455</v>
      </c>
    </row>
    <row r="739" spans="1:6" s="221" customFormat="1" ht="78.75" x14ac:dyDescent="0.25">
      <c r="A739" s="25" t="s">
        <v>142</v>
      </c>
      <c r="B739" s="20" t="s">
        <v>279</v>
      </c>
      <c r="C739" s="20" t="s">
        <v>279</v>
      </c>
      <c r="D739" s="20" t="s">
        <v>970</v>
      </c>
      <c r="E739" s="20" t="s">
        <v>143</v>
      </c>
      <c r="F739" s="6">
        <f>F740</f>
        <v>40</v>
      </c>
    </row>
    <row r="740" spans="1:6" s="221" customFormat="1" ht="18.75" customHeight="1" x14ac:dyDescent="0.25">
      <c r="A740" s="25" t="s">
        <v>357</v>
      </c>
      <c r="B740" s="20" t="s">
        <v>279</v>
      </c>
      <c r="C740" s="20" t="s">
        <v>279</v>
      </c>
      <c r="D740" s="20" t="s">
        <v>970</v>
      </c>
      <c r="E740" s="20" t="s">
        <v>224</v>
      </c>
      <c r="F740" s="6">
        <f>'Пр.4 ведом.20'!G330</f>
        <v>40</v>
      </c>
    </row>
    <row r="741" spans="1:6" s="221" customFormat="1" ht="31.5" x14ac:dyDescent="0.25">
      <c r="A741" s="25" t="s">
        <v>146</v>
      </c>
      <c r="B741" s="20" t="s">
        <v>279</v>
      </c>
      <c r="C741" s="20" t="s">
        <v>279</v>
      </c>
      <c r="D741" s="20" t="s">
        <v>970</v>
      </c>
      <c r="E741" s="20" t="s">
        <v>147</v>
      </c>
      <c r="F741" s="6">
        <f>F742</f>
        <v>415</v>
      </c>
    </row>
    <row r="742" spans="1:6" s="221" customFormat="1" ht="31.5" x14ac:dyDescent="0.25">
      <c r="A742" s="25" t="s">
        <v>148</v>
      </c>
      <c r="B742" s="20" t="s">
        <v>279</v>
      </c>
      <c r="C742" s="20" t="s">
        <v>279</v>
      </c>
      <c r="D742" s="20" t="s">
        <v>970</v>
      </c>
      <c r="E742" s="20" t="s">
        <v>149</v>
      </c>
      <c r="F742" s="6">
        <f>'Пр.4 ведом.20'!G332</f>
        <v>415</v>
      </c>
    </row>
    <row r="743" spans="1:6" s="221" customFormat="1" ht="31.5" x14ac:dyDescent="0.25">
      <c r="A743" s="23" t="s">
        <v>1204</v>
      </c>
      <c r="B743" s="24" t="s">
        <v>279</v>
      </c>
      <c r="C743" s="24" t="s">
        <v>279</v>
      </c>
      <c r="D743" s="24" t="s">
        <v>1200</v>
      </c>
      <c r="E743" s="24"/>
      <c r="F743" s="4">
        <f>F744</f>
        <v>25</v>
      </c>
    </row>
    <row r="744" spans="1:6" s="221" customFormat="1" ht="47.25" x14ac:dyDescent="0.25">
      <c r="A744" s="264" t="s">
        <v>1201</v>
      </c>
      <c r="B744" s="20" t="s">
        <v>279</v>
      </c>
      <c r="C744" s="20" t="s">
        <v>279</v>
      </c>
      <c r="D744" s="20" t="s">
        <v>1222</v>
      </c>
      <c r="E744" s="20"/>
      <c r="F744" s="6">
        <f>F745</f>
        <v>25</v>
      </c>
    </row>
    <row r="745" spans="1:6" s="221" customFormat="1" ht="21.2" customHeight="1" x14ac:dyDescent="0.25">
      <c r="A745" s="25" t="s">
        <v>263</v>
      </c>
      <c r="B745" s="20" t="s">
        <v>279</v>
      </c>
      <c r="C745" s="20" t="s">
        <v>279</v>
      </c>
      <c r="D745" s="20" t="s">
        <v>1222</v>
      </c>
      <c r="E745" s="20" t="s">
        <v>264</v>
      </c>
      <c r="F745" s="6">
        <f>F746</f>
        <v>25</v>
      </c>
    </row>
    <row r="746" spans="1:6" s="221" customFormat="1" ht="31.5" x14ac:dyDescent="0.25">
      <c r="A746" s="25" t="s">
        <v>363</v>
      </c>
      <c r="B746" s="20" t="s">
        <v>279</v>
      </c>
      <c r="C746" s="20" t="s">
        <v>279</v>
      </c>
      <c r="D746" s="20" t="s">
        <v>1222</v>
      </c>
      <c r="E746" s="20" t="s">
        <v>364</v>
      </c>
      <c r="F746" s="6">
        <f>'Пр.4 ведом.20'!G336</f>
        <v>25</v>
      </c>
    </row>
    <row r="747" spans="1:6" ht="47.25" x14ac:dyDescent="0.25">
      <c r="A747" s="23" t="s">
        <v>441</v>
      </c>
      <c r="B747" s="24" t="s">
        <v>279</v>
      </c>
      <c r="C747" s="24" t="s">
        <v>279</v>
      </c>
      <c r="D747" s="24" t="s">
        <v>421</v>
      </c>
      <c r="E747" s="24"/>
      <c r="F747" s="4">
        <f>F748</f>
        <v>5804.9</v>
      </c>
    </row>
    <row r="748" spans="1:6" ht="31.5" x14ac:dyDescent="0.25">
      <c r="A748" s="23" t="s">
        <v>482</v>
      </c>
      <c r="B748" s="24" t="s">
        <v>279</v>
      </c>
      <c r="C748" s="24" t="s">
        <v>483</v>
      </c>
      <c r="D748" s="24" t="s">
        <v>484</v>
      </c>
      <c r="E748" s="24"/>
      <c r="F748" s="4">
        <f>F749</f>
        <v>5804.9</v>
      </c>
    </row>
    <row r="749" spans="1:6" ht="31.5" x14ac:dyDescent="0.25">
      <c r="A749" s="23" t="s">
        <v>1054</v>
      </c>
      <c r="B749" s="24" t="s">
        <v>279</v>
      </c>
      <c r="C749" s="24" t="s">
        <v>279</v>
      </c>
      <c r="D749" s="24" t="s">
        <v>1055</v>
      </c>
      <c r="E749" s="24"/>
      <c r="F749" s="4">
        <f>F750+F753</f>
        <v>5804.9</v>
      </c>
    </row>
    <row r="750" spans="1:6" ht="42" customHeight="1" x14ac:dyDescent="0.25">
      <c r="A750" s="31" t="s">
        <v>1235</v>
      </c>
      <c r="B750" s="20" t="s">
        <v>279</v>
      </c>
      <c r="C750" s="20" t="s">
        <v>279</v>
      </c>
      <c r="D750" s="20" t="s">
        <v>1056</v>
      </c>
      <c r="E750" s="20"/>
      <c r="F750" s="6">
        <f>F751</f>
        <v>3584</v>
      </c>
    </row>
    <row r="751" spans="1:6" ht="35.450000000000003" customHeight="1" x14ac:dyDescent="0.25">
      <c r="A751" s="25" t="s">
        <v>287</v>
      </c>
      <c r="B751" s="20" t="s">
        <v>279</v>
      </c>
      <c r="C751" s="20" t="s">
        <v>279</v>
      </c>
      <c r="D751" s="20" t="s">
        <v>1056</v>
      </c>
      <c r="E751" s="20" t="s">
        <v>288</v>
      </c>
      <c r="F751" s="6">
        <f>F752</f>
        <v>3584</v>
      </c>
    </row>
    <row r="752" spans="1:6" ht="15.75" x14ac:dyDescent="0.25">
      <c r="A752" s="25" t="s">
        <v>289</v>
      </c>
      <c r="B752" s="20" t="s">
        <v>279</v>
      </c>
      <c r="C752" s="20" t="s">
        <v>279</v>
      </c>
      <c r="D752" s="20" t="s">
        <v>1056</v>
      </c>
      <c r="E752" s="20" t="s">
        <v>290</v>
      </c>
      <c r="F752" s="6">
        <f>'Пр.4 ведом.20'!G751</f>
        <v>3584</v>
      </c>
    </row>
    <row r="753" spans="1:6" ht="31.5" x14ac:dyDescent="0.25">
      <c r="A753" s="31" t="s">
        <v>489</v>
      </c>
      <c r="B753" s="20" t="s">
        <v>279</v>
      </c>
      <c r="C753" s="20" t="s">
        <v>279</v>
      </c>
      <c r="D753" s="20" t="s">
        <v>1057</v>
      </c>
      <c r="E753" s="20"/>
      <c r="F753" s="6">
        <f>F754</f>
        <v>2220.9</v>
      </c>
    </row>
    <row r="754" spans="1:6" ht="31.5" x14ac:dyDescent="0.25">
      <c r="A754" s="25" t="s">
        <v>287</v>
      </c>
      <c r="B754" s="20" t="s">
        <v>279</v>
      </c>
      <c r="C754" s="20" t="s">
        <v>279</v>
      </c>
      <c r="D754" s="20" t="s">
        <v>1057</v>
      </c>
      <c r="E754" s="20" t="s">
        <v>288</v>
      </c>
      <c r="F754" s="6">
        <f>F755</f>
        <v>2220.9</v>
      </c>
    </row>
    <row r="755" spans="1:6" ht="15.75" x14ac:dyDescent="0.25">
      <c r="A755" s="25" t="s">
        <v>289</v>
      </c>
      <c r="B755" s="20" t="s">
        <v>279</v>
      </c>
      <c r="C755" s="20" t="s">
        <v>279</v>
      </c>
      <c r="D755" s="20" t="s">
        <v>1057</v>
      </c>
      <c r="E755" s="20" t="s">
        <v>290</v>
      </c>
      <c r="F755" s="6">
        <f>'Пр.4 ведом.20'!G754</f>
        <v>2220.9</v>
      </c>
    </row>
    <row r="756" spans="1:6" ht="15" customHeight="1" x14ac:dyDescent="0.25">
      <c r="A756" s="23" t="s">
        <v>310</v>
      </c>
      <c r="B756" s="24" t="s">
        <v>279</v>
      </c>
      <c r="C756" s="24" t="s">
        <v>234</v>
      </c>
      <c r="D756" s="24"/>
      <c r="E756" s="24"/>
      <c r="F756" s="4">
        <f>F757+F767</f>
        <v>20647.399999999998</v>
      </c>
    </row>
    <row r="757" spans="1:6" ht="31.5" x14ac:dyDescent="0.25">
      <c r="A757" s="23" t="s">
        <v>988</v>
      </c>
      <c r="B757" s="24" t="s">
        <v>279</v>
      </c>
      <c r="C757" s="24" t="s">
        <v>234</v>
      </c>
      <c r="D757" s="24" t="s">
        <v>902</v>
      </c>
      <c r="E757" s="24"/>
      <c r="F757" s="4">
        <f>F758</f>
        <v>5934.2</v>
      </c>
    </row>
    <row r="758" spans="1:6" ht="15.75" x14ac:dyDescent="0.25">
      <c r="A758" s="23" t="s">
        <v>989</v>
      </c>
      <c r="B758" s="24" t="s">
        <v>279</v>
      </c>
      <c r="C758" s="24" t="s">
        <v>234</v>
      </c>
      <c r="D758" s="24" t="s">
        <v>903</v>
      </c>
      <c r="E758" s="24"/>
      <c r="F758" s="4">
        <f>F759+F764</f>
        <v>5934.2</v>
      </c>
    </row>
    <row r="759" spans="1:6" ht="31.5" x14ac:dyDescent="0.25">
      <c r="A759" s="25" t="s">
        <v>965</v>
      </c>
      <c r="B759" s="20" t="s">
        <v>279</v>
      </c>
      <c r="C759" s="20" t="s">
        <v>234</v>
      </c>
      <c r="D759" s="20" t="s">
        <v>904</v>
      </c>
      <c r="E759" s="20"/>
      <c r="F759" s="6">
        <f>F760+F762</f>
        <v>5808.2</v>
      </c>
    </row>
    <row r="760" spans="1:6" ht="78.75" x14ac:dyDescent="0.25">
      <c r="A760" s="25" t="s">
        <v>142</v>
      </c>
      <c r="B760" s="20" t="s">
        <v>279</v>
      </c>
      <c r="C760" s="20" t="s">
        <v>234</v>
      </c>
      <c r="D760" s="20" t="s">
        <v>904</v>
      </c>
      <c r="E760" s="20" t="s">
        <v>143</v>
      </c>
      <c r="F760" s="6">
        <f>F761</f>
        <v>5596.2</v>
      </c>
    </row>
    <row r="761" spans="1:6" ht="36.75" customHeight="1" x14ac:dyDescent="0.25">
      <c r="A761" s="25" t="s">
        <v>144</v>
      </c>
      <c r="B761" s="20" t="s">
        <v>279</v>
      </c>
      <c r="C761" s="20" t="s">
        <v>234</v>
      </c>
      <c r="D761" s="20" t="s">
        <v>904</v>
      </c>
      <c r="E761" s="20" t="s">
        <v>145</v>
      </c>
      <c r="F761" s="6">
        <f>'Пр.4 ведом.20'!G760</f>
        <v>5596.2</v>
      </c>
    </row>
    <row r="762" spans="1:6" ht="31.5" x14ac:dyDescent="0.25">
      <c r="A762" s="25" t="s">
        <v>146</v>
      </c>
      <c r="B762" s="20" t="s">
        <v>279</v>
      </c>
      <c r="C762" s="20" t="s">
        <v>234</v>
      </c>
      <c r="D762" s="20" t="s">
        <v>904</v>
      </c>
      <c r="E762" s="20" t="s">
        <v>147</v>
      </c>
      <c r="F762" s="6">
        <f>F763</f>
        <v>212</v>
      </c>
    </row>
    <row r="763" spans="1:6" ht="31.5" x14ac:dyDescent="0.25">
      <c r="A763" s="25" t="s">
        <v>148</v>
      </c>
      <c r="B763" s="20" t="s">
        <v>279</v>
      </c>
      <c r="C763" s="20" t="s">
        <v>234</v>
      </c>
      <c r="D763" s="20" t="s">
        <v>904</v>
      </c>
      <c r="E763" s="20" t="s">
        <v>149</v>
      </c>
      <c r="F763" s="6">
        <f>'Пр.4 ведом.20'!G762</f>
        <v>212</v>
      </c>
    </row>
    <row r="764" spans="1:6" ht="47.25" x14ac:dyDescent="0.25">
      <c r="A764" s="25" t="s">
        <v>883</v>
      </c>
      <c r="B764" s="20" t="s">
        <v>279</v>
      </c>
      <c r="C764" s="20" t="s">
        <v>234</v>
      </c>
      <c r="D764" s="20" t="s">
        <v>906</v>
      </c>
      <c r="E764" s="20"/>
      <c r="F764" s="6">
        <f>F765</f>
        <v>126</v>
      </c>
    </row>
    <row r="765" spans="1:6" ht="78.75" x14ac:dyDescent="0.25">
      <c r="A765" s="25" t="s">
        <v>142</v>
      </c>
      <c r="B765" s="20" t="s">
        <v>279</v>
      </c>
      <c r="C765" s="20" t="s">
        <v>234</v>
      </c>
      <c r="D765" s="20" t="s">
        <v>906</v>
      </c>
      <c r="E765" s="20" t="s">
        <v>143</v>
      </c>
      <c r="F765" s="6">
        <f>F766</f>
        <v>126</v>
      </c>
    </row>
    <row r="766" spans="1:6" ht="31.5" x14ac:dyDescent="0.25">
      <c r="A766" s="25" t="s">
        <v>144</v>
      </c>
      <c r="B766" s="20" t="s">
        <v>279</v>
      </c>
      <c r="C766" s="20" t="s">
        <v>234</v>
      </c>
      <c r="D766" s="20" t="s">
        <v>906</v>
      </c>
      <c r="E766" s="20" t="s">
        <v>145</v>
      </c>
      <c r="F766" s="6">
        <f>'Пр.4 ведом.20'!G765</f>
        <v>126</v>
      </c>
    </row>
    <row r="767" spans="1:6" ht="15.75" x14ac:dyDescent="0.25">
      <c r="A767" s="23" t="s">
        <v>156</v>
      </c>
      <c r="B767" s="24" t="s">
        <v>279</v>
      </c>
      <c r="C767" s="24" t="s">
        <v>234</v>
      </c>
      <c r="D767" s="24" t="s">
        <v>910</v>
      </c>
      <c r="E767" s="24"/>
      <c r="F767" s="4">
        <f>F768+F772</f>
        <v>14713.199999999999</v>
      </c>
    </row>
    <row r="768" spans="1:6" ht="31.5" x14ac:dyDescent="0.25">
      <c r="A768" s="23" t="s">
        <v>914</v>
      </c>
      <c r="B768" s="24" t="s">
        <v>279</v>
      </c>
      <c r="C768" s="24" t="s">
        <v>234</v>
      </c>
      <c r="D768" s="24" t="s">
        <v>909</v>
      </c>
      <c r="E768" s="24"/>
      <c r="F768" s="4">
        <f>F769</f>
        <v>550</v>
      </c>
    </row>
    <row r="769" spans="1:10" ht="15.75" x14ac:dyDescent="0.25">
      <c r="A769" s="25" t="s">
        <v>493</v>
      </c>
      <c r="B769" s="20" t="s">
        <v>279</v>
      </c>
      <c r="C769" s="20" t="s">
        <v>234</v>
      </c>
      <c r="D769" s="20" t="s">
        <v>1058</v>
      </c>
      <c r="E769" s="20"/>
      <c r="F769" s="6">
        <f>F770</f>
        <v>550</v>
      </c>
    </row>
    <row r="770" spans="1:10" ht="31.5" x14ac:dyDescent="0.25">
      <c r="A770" s="25" t="s">
        <v>146</v>
      </c>
      <c r="B770" s="20" t="s">
        <v>279</v>
      </c>
      <c r="C770" s="20" t="s">
        <v>234</v>
      </c>
      <c r="D770" s="20" t="s">
        <v>1058</v>
      </c>
      <c r="E770" s="20" t="s">
        <v>147</v>
      </c>
      <c r="F770" s="6">
        <f>F771</f>
        <v>550</v>
      </c>
    </row>
    <row r="771" spans="1:10" ht="39.75" customHeight="1" x14ac:dyDescent="0.25">
      <c r="A771" s="25" t="s">
        <v>148</v>
      </c>
      <c r="B771" s="20" t="s">
        <v>279</v>
      </c>
      <c r="C771" s="20" t="s">
        <v>234</v>
      </c>
      <c r="D771" s="20" t="s">
        <v>1058</v>
      </c>
      <c r="E771" s="20" t="s">
        <v>149</v>
      </c>
      <c r="F771" s="6">
        <f>'Пр.4 ведом.20'!G770</f>
        <v>550</v>
      </c>
    </row>
    <row r="772" spans="1:10" ht="36.75" customHeight="1" x14ac:dyDescent="0.25">
      <c r="A772" s="23" t="s">
        <v>1000</v>
      </c>
      <c r="B772" s="24" t="s">
        <v>279</v>
      </c>
      <c r="C772" s="24" t="s">
        <v>234</v>
      </c>
      <c r="D772" s="24" t="s">
        <v>985</v>
      </c>
      <c r="E772" s="24"/>
      <c r="F772" s="4">
        <f>F773+F780</f>
        <v>14163.199999999999</v>
      </c>
    </row>
    <row r="773" spans="1:10" ht="31.5" x14ac:dyDescent="0.25">
      <c r="A773" s="25" t="s">
        <v>972</v>
      </c>
      <c r="B773" s="20" t="s">
        <v>279</v>
      </c>
      <c r="C773" s="20" t="s">
        <v>234</v>
      </c>
      <c r="D773" s="20" t="s">
        <v>986</v>
      </c>
      <c r="E773" s="20"/>
      <c r="F773" s="338">
        <f>F774+F776+F778</f>
        <v>13827.199999999999</v>
      </c>
    </row>
    <row r="774" spans="1:10" ht="78.75" x14ac:dyDescent="0.25">
      <c r="A774" s="25" t="s">
        <v>142</v>
      </c>
      <c r="B774" s="20" t="s">
        <v>279</v>
      </c>
      <c r="C774" s="20" t="s">
        <v>234</v>
      </c>
      <c r="D774" s="20" t="s">
        <v>986</v>
      </c>
      <c r="E774" s="20" t="s">
        <v>143</v>
      </c>
      <c r="F774" s="338">
        <f>F775</f>
        <v>12735.199999999999</v>
      </c>
    </row>
    <row r="775" spans="1:10" ht="24" customHeight="1" x14ac:dyDescent="0.25">
      <c r="A775" s="25" t="s">
        <v>357</v>
      </c>
      <c r="B775" s="20" t="s">
        <v>279</v>
      </c>
      <c r="C775" s="20" t="s">
        <v>234</v>
      </c>
      <c r="D775" s="20" t="s">
        <v>986</v>
      </c>
      <c r="E775" s="20" t="s">
        <v>224</v>
      </c>
      <c r="F775" s="6">
        <f>'Пр.4 ведом.20'!G774</f>
        <v>12735.199999999999</v>
      </c>
    </row>
    <row r="776" spans="1:10" ht="31.5" x14ac:dyDescent="0.25">
      <c r="A776" s="25" t="s">
        <v>146</v>
      </c>
      <c r="B776" s="20" t="s">
        <v>279</v>
      </c>
      <c r="C776" s="20" t="s">
        <v>234</v>
      </c>
      <c r="D776" s="20" t="s">
        <v>986</v>
      </c>
      <c r="E776" s="20" t="s">
        <v>147</v>
      </c>
      <c r="F776" s="6">
        <f>F777</f>
        <v>1077</v>
      </c>
    </row>
    <row r="777" spans="1:10" ht="31.7" customHeight="1" x14ac:dyDescent="0.25">
      <c r="A777" s="25" t="s">
        <v>148</v>
      </c>
      <c r="B777" s="20" t="s">
        <v>279</v>
      </c>
      <c r="C777" s="20" t="s">
        <v>234</v>
      </c>
      <c r="D777" s="20" t="s">
        <v>986</v>
      </c>
      <c r="E777" s="20" t="s">
        <v>149</v>
      </c>
      <c r="F777" s="6">
        <f>'Пр.4 ведом.20'!G776</f>
        <v>1077</v>
      </c>
    </row>
    <row r="778" spans="1:10" ht="22.7" customHeight="1" x14ac:dyDescent="0.25">
      <c r="A778" s="25" t="s">
        <v>150</v>
      </c>
      <c r="B778" s="20" t="s">
        <v>279</v>
      </c>
      <c r="C778" s="20" t="s">
        <v>234</v>
      </c>
      <c r="D778" s="20" t="s">
        <v>986</v>
      </c>
      <c r="E778" s="20" t="s">
        <v>160</v>
      </c>
      <c r="F778" s="6">
        <f t="shared" ref="F778" si="98">F779</f>
        <v>15</v>
      </c>
    </row>
    <row r="779" spans="1:10" ht="15.75" customHeight="1" x14ac:dyDescent="0.25">
      <c r="A779" s="25" t="s">
        <v>583</v>
      </c>
      <c r="B779" s="20" t="s">
        <v>279</v>
      </c>
      <c r="C779" s="20" t="s">
        <v>234</v>
      </c>
      <c r="D779" s="20" t="s">
        <v>986</v>
      </c>
      <c r="E779" s="20" t="s">
        <v>153</v>
      </c>
      <c r="F779" s="6">
        <f>'Пр.4 ведом.20'!G778</f>
        <v>15</v>
      </c>
    </row>
    <row r="780" spans="1:10" ht="47.25" customHeight="1" x14ac:dyDescent="0.25">
      <c r="A780" s="25" t="s">
        <v>883</v>
      </c>
      <c r="B780" s="20" t="s">
        <v>279</v>
      </c>
      <c r="C780" s="20" t="s">
        <v>234</v>
      </c>
      <c r="D780" s="20" t="s">
        <v>987</v>
      </c>
      <c r="E780" s="20"/>
      <c r="F780" s="6">
        <f>F781</f>
        <v>336</v>
      </c>
    </row>
    <row r="781" spans="1:10" ht="78.75" x14ac:dyDescent="0.25">
      <c r="A781" s="25" t="s">
        <v>142</v>
      </c>
      <c r="B781" s="20" t="s">
        <v>279</v>
      </c>
      <c r="C781" s="20" t="s">
        <v>234</v>
      </c>
      <c r="D781" s="20" t="s">
        <v>987</v>
      </c>
      <c r="E781" s="20" t="s">
        <v>143</v>
      </c>
      <c r="F781" s="6">
        <f>F782</f>
        <v>336</v>
      </c>
    </row>
    <row r="782" spans="1:10" ht="31.5" x14ac:dyDescent="0.25">
      <c r="A782" s="25" t="s">
        <v>144</v>
      </c>
      <c r="B782" s="20" t="s">
        <v>279</v>
      </c>
      <c r="C782" s="20" t="s">
        <v>234</v>
      </c>
      <c r="D782" s="20" t="s">
        <v>987</v>
      </c>
      <c r="E782" s="20" t="s">
        <v>145</v>
      </c>
      <c r="F782" s="6">
        <f>'Пр.4 ведом.20'!G781</f>
        <v>336</v>
      </c>
    </row>
    <row r="783" spans="1:10" ht="15.75" x14ac:dyDescent="0.25">
      <c r="A783" s="41" t="s">
        <v>313</v>
      </c>
      <c r="B783" s="7" t="s">
        <v>314</v>
      </c>
      <c r="C783" s="7"/>
      <c r="D783" s="7"/>
      <c r="E783" s="7"/>
      <c r="F783" s="4">
        <f>F784+F860</f>
        <v>72248.323000000004</v>
      </c>
      <c r="H783" s="22"/>
    </row>
    <row r="784" spans="1:10" ht="15.75" x14ac:dyDescent="0.25">
      <c r="A784" s="41" t="s">
        <v>315</v>
      </c>
      <c r="B784" s="7" t="s">
        <v>314</v>
      </c>
      <c r="C784" s="7" t="s">
        <v>133</v>
      </c>
      <c r="D784" s="7"/>
      <c r="E784" s="7"/>
      <c r="F784" s="4">
        <f>F785+F850+F855</f>
        <v>54353.722999999998</v>
      </c>
      <c r="G784" s="22"/>
      <c r="H784" s="22"/>
      <c r="I784" s="22"/>
      <c r="J784" s="22"/>
    </row>
    <row r="785" spans="1:12" ht="34.5" customHeight="1" x14ac:dyDescent="0.25">
      <c r="A785" s="23" t="s">
        <v>281</v>
      </c>
      <c r="B785" s="24" t="s">
        <v>314</v>
      </c>
      <c r="C785" s="24" t="s">
        <v>133</v>
      </c>
      <c r="D785" s="24" t="s">
        <v>282</v>
      </c>
      <c r="E785" s="24"/>
      <c r="F785" s="4">
        <f>F786+F816</f>
        <v>53419.123</v>
      </c>
      <c r="H785" s="216"/>
    </row>
    <row r="786" spans="1:12" ht="47.25" x14ac:dyDescent="0.25">
      <c r="A786" s="23" t="s">
        <v>316</v>
      </c>
      <c r="B786" s="24" t="s">
        <v>314</v>
      </c>
      <c r="C786" s="24" t="s">
        <v>133</v>
      </c>
      <c r="D786" s="24" t="s">
        <v>317</v>
      </c>
      <c r="E786" s="24"/>
      <c r="F786" s="4">
        <f>F787+F795+F801+F805+F812</f>
        <v>29748.222999999998</v>
      </c>
    </row>
    <row r="787" spans="1:12" ht="34.5" customHeight="1" x14ac:dyDescent="0.25">
      <c r="A787" s="23" t="s">
        <v>954</v>
      </c>
      <c r="B787" s="24" t="s">
        <v>314</v>
      </c>
      <c r="C787" s="24" t="s">
        <v>133</v>
      </c>
      <c r="D787" s="24" t="s">
        <v>955</v>
      </c>
      <c r="E787" s="24"/>
      <c r="F787" s="4">
        <f>F788</f>
        <v>25834</v>
      </c>
    </row>
    <row r="788" spans="1:12" ht="15.75" x14ac:dyDescent="0.25">
      <c r="A788" s="25" t="s">
        <v>830</v>
      </c>
      <c r="B788" s="20" t="s">
        <v>314</v>
      </c>
      <c r="C788" s="20" t="s">
        <v>133</v>
      </c>
      <c r="D788" s="20" t="s">
        <v>953</v>
      </c>
      <c r="E788" s="20"/>
      <c r="F788" s="6">
        <f>F789+F791+F793</f>
        <v>25834</v>
      </c>
    </row>
    <row r="789" spans="1:12" ht="78.75" x14ac:dyDescent="0.25">
      <c r="A789" s="25" t="s">
        <v>142</v>
      </c>
      <c r="B789" s="20" t="s">
        <v>314</v>
      </c>
      <c r="C789" s="20" t="s">
        <v>133</v>
      </c>
      <c r="D789" s="20" t="s">
        <v>953</v>
      </c>
      <c r="E789" s="20" t="s">
        <v>143</v>
      </c>
      <c r="F789" s="6">
        <f>F790</f>
        <v>20047.5</v>
      </c>
    </row>
    <row r="790" spans="1:12" ht="15.75" x14ac:dyDescent="0.25">
      <c r="A790" s="25" t="s">
        <v>223</v>
      </c>
      <c r="B790" s="20" t="s">
        <v>314</v>
      </c>
      <c r="C790" s="20" t="s">
        <v>133</v>
      </c>
      <c r="D790" s="20" t="s">
        <v>953</v>
      </c>
      <c r="E790" s="20" t="s">
        <v>224</v>
      </c>
      <c r="F790" s="6">
        <f>'Пр.4 ведом.20'!G344</f>
        <v>20047.5</v>
      </c>
    </row>
    <row r="791" spans="1:12" ht="31.5" x14ac:dyDescent="0.25">
      <c r="A791" s="25" t="s">
        <v>146</v>
      </c>
      <c r="B791" s="20" t="s">
        <v>314</v>
      </c>
      <c r="C791" s="20" t="s">
        <v>133</v>
      </c>
      <c r="D791" s="20" t="s">
        <v>953</v>
      </c>
      <c r="E791" s="20" t="s">
        <v>147</v>
      </c>
      <c r="F791" s="6">
        <f>F792</f>
        <v>5666.5</v>
      </c>
      <c r="G791" s="22"/>
      <c r="L791" s="22"/>
    </row>
    <row r="792" spans="1:12" ht="31.5" x14ac:dyDescent="0.25">
      <c r="A792" s="25" t="s">
        <v>148</v>
      </c>
      <c r="B792" s="20" t="s">
        <v>314</v>
      </c>
      <c r="C792" s="20" t="s">
        <v>133</v>
      </c>
      <c r="D792" s="20" t="s">
        <v>953</v>
      </c>
      <c r="E792" s="20" t="s">
        <v>149</v>
      </c>
      <c r="F792" s="6">
        <f>'Пр.4 ведом.20'!G346</f>
        <v>5666.5</v>
      </c>
    </row>
    <row r="793" spans="1:12" ht="15.75" x14ac:dyDescent="0.25">
      <c r="A793" s="25" t="s">
        <v>150</v>
      </c>
      <c r="B793" s="20" t="s">
        <v>314</v>
      </c>
      <c r="C793" s="20" t="s">
        <v>133</v>
      </c>
      <c r="D793" s="20" t="s">
        <v>953</v>
      </c>
      <c r="E793" s="20" t="s">
        <v>160</v>
      </c>
      <c r="F793" s="6">
        <f t="shared" ref="F793" si="99">F794</f>
        <v>120</v>
      </c>
    </row>
    <row r="794" spans="1:12" ht="15.75" x14ac:dyDescent="0.25">
      <c r="A794" s="25" t="s">
        <v>583</v>
      </c>
      <c r="B794" s="20" t="s">
        <v>314</v>
      </c>
      <c r="C794" s="20" t="s">
        <v>133</v>
      </c>
      <c r="D794" s="20" t="s">
        <v>953</v>
      </c>
      <c r="E794" s="20" t="s">
        <v>153</v>
      </c>
      <c r="F794" s="6">
        <f>'Пр.4 ведом.20'!G348</f>
        <v>120</v>
      </c>
    </row>
    <row r="795" spans="1:12" ht="31.5" x14ac:dyDescent="0.25">
      <c r="A795" s="244" t="s">
        <v>968</v>
      </c>
      <c r="B795" s="24" t="s">
        <v>314</v>
      </c>
      <c r="C795" s="24" t="s">
        <v>133</v>
      </c>
      <c r="D795" s="24" t="s">
        <v>956</v>
      </c>
      <c r="E795" s="24"/>
      <c r="F795" s="4">
        <f>F796</f>
        <v>1171</v>
      </c>
    </row>
    <row r="796" spans="1:12" ht="31.5" x14ac:dyDescent="0.25">
      <c r="A796" s="31" t="s">
        <v>858</v>
      </c>
      <c r="B796" s="20" t="s">
        <v>314</v>
      </c>
      <c r="C796" s="20" t="s">
        <v>133</v>
      </c>
      <c r="D796" s="20" t="s">
        <v>957</v>
      </c>
      <c r="E796" s="20"/>
      <c r="F796" s="6">
        <f>F797+F799</f>
        <v>1171</v>
      </c>
    </row>
    <row r="797" spans="1:12" ht="78.75" x14ac:dyDescent="0.25">
      <c r="A797" s="25" t="s">
        <v>142</v>
      </c>
      <c r="B797" s="20" t="s">
        <v>314</v>
      </c>
      <c r="C797" s="20" t="s">
        <v>133</v>
      </c>
      <c r="D797" s="20" t="s">
        <v>957</v>
      </c>
      <c r="E797" s="20" t="s">
        <v>143</v>
      </c>
      <c r="F797" s="6">
        <f>F798</f>
        <v>455.4</v>
      </c>
    </row>
    <row r="798" spans="1:12" ht="15.75" x14ac:dyDescent="0.25">
      <c r="A798" s="25" t="s">
        <v>223</v>
      </c>
      <c r="B798" s="20" t="s">
        <v>314</v>
      </c>
      <c r="C798" s="20" t="s">
        <v>133</v>
      </c>
      <c r="D798" s="20" t="s">
        <v>957</v>
      </c>
      <c r="E798" s="20" t="s">
        <v>224</v>
      </c>
      <c r="F798" s="6">
        <f>'Пр.4 ведом.20'!G352</f>
        <v>455.4</v>
      </c>
    </row>
    <row r="799" spans="1:12" ht="31.5" x14ac:dyDescent="0.25">
      <c r="A799" s="25" t="s">
        <v>146</v>
      </c>
      <c r="B799" s="20" t="s">
        <v>314</v>
      </c>
      <c r="C799" s="20" t="s">
        <v>133</v>
      </c>
      <c r="D799" s="20" t="s">
        <v>957</v>
      </c>
      <c r="E799" s="20" t="s">
        <v>147</v>
      </c>
      <c r="F799" s="6">
        <f>F800</f>
        <v>715.6</v>
      </c>
    </row>
    <row r="800" spans="1:12" ht="31.5" x14ac:dyDescent="0.25">
      <c r="A800" s="25" t="s">
        <v>148</v>
      </c>
      <c r="B800" s="20" t="s">
        <v>314</v>
      </c>
      <c r="C800" s="20" t="s">
        <v>133</v>
      </c>
      <c r="D800" s="20" t="s">
        <v>957</v>
      </c>
      <c r="E800" s="20" t="s">
        <v>149</v>
      </c>
      <c r="F800" s="6">
        <f>'Пр.4 ведом.20'!G354</f>
        <v>715.6</v>
      </c>
    </row>
    <row r="801" spans="1:8" ht="31.5" x14ac:dyDescent="0.25">
      <c r="A801" s="23" t="s">
        <v>1074</v>
      </c>
      <c r="B801" s="24" t="s">
        <v>314</v>
      </c>
      <c r="C801" s="24" t="s">
        <v>133</v>
      </c>
      <c r="D801" s="24" t="s">
        <v>1162</v>
      </c>
      <c r="E801" s="24"/>
      <c r="F801" s="4">
        <f>F802</f>
        <v>588</v>
      </c>
    </row>
    <row r="802" spans="1:8" ht="47.25" x14ac:dyDescent="0.25">
      <c r="A802" s="25" t="s">
        <v>883</v>
      </c>
      <c r="B802" s="20" t="s">
        <v>314</v>
      </c>
      <c r="C802" s="20" t="s">
        <v>133</v>
      </c>
      <c r="D802" s="20" t="s">
        <v>1163</v>
      </c>
      <c r="E802" s="20"/>
      <c r="F802" s="6">
        <f>F803</f>
        <v>588</v>
      </c>
    </row>
    <row r="803" spans="1:8" ht="78.75" x14ac:dyDescent="0.25">
      <c r="A803" s="25" t="s">
        <v>142</v>
      </c>
      <c r="B803" s="20" t="s">
        <v>314</v>
      </c>
      <c r="C803" s="20" t="s">
        <v>133</v>
      </c>
      <c r="D803" s="20" t="s">
        <v>1163</v>
      </c>
      <c r="E803" s="20" t="s">
        <v>143</v>
      </c>
      <c r="F803" s="6">
        <f>F804</f>
        <v>588</v>
      </c>
    </row>
    <row r="804" spans="1:8" ht="31.5" x14ac:dyDescent="0.25">
      <c r="A804" s="25" t="s">
        <v>144</v>
      </c>
      <c r="B804" s="20" t="s">
        <v>314</v>
      </c>
      <c r="C804" s="20" t="s">
        <v>133</v>
      </c>
      <c r="D804" s="20" t="s">
        <v>1163</v>
      </c>
      <c r="E804" s="20" t="s">
        <v>224</v>
      </c>
      <c r="F804" s="6">
        <f>'Пр.4 ведом.20'!G358</f>
        <v>588</v>
      </c>
    </row>
    <row r="805" spans="1:8" ht="47.25" x14ac:dyDescent="0.25">
      <c r="A805" s="245" t="s">
        <v>969</v>
      </c>
      <c r="B805" s="24" t="s">
        <v>314</v>
      </c>
      <c r="C805" s="24" t="s">
        <v>133</v>
      </c>
      <c r="D805" s="24" t="s">
        <v>1164</v>
      </c>
      <c r="E805" s="24"/>
      <c r="F805" s="4">
        <f>F809+F806</f>
        <v>824.3</v>
      </c>
    </row>
    <row r="806" spans="1:8" s="361" customFormat="1" ht="94.5" x14ac:dyDescent="0.25">
      <c r="A806" s="31" t="s">
        <v>308</v>
      </c>
      <c r="B806" s="368" t="s">
        <v>314</v>
      </c>
      <c r="C806" s="368" t="s">
        <v>133</v>
      </c>
      <c r="D806" s="368" t="s">
        <v>1527</v>
      </c>
      <c r="E806" s="368"/>
      <c r="F806" s="6">
        <f>F807</f>
        <v>749.3</v>
      </c>
    </row>
    <row r="807" spans="1:8" s="361" customFormat="1" ht="78.75" x14ac:dyDescent="0.25">
      <c r="A807" s="372" t="s">
        <v>142</v>
      </c>
      <c r="B807" s="368" t="s">
        <v>314</v>
      </c>
      <c r="C807" s="368" t="s">
        <v>133</v>
      </c>
      <c r="D807" s="368" t="s">
        <v>1527</v>
      </c>
      <c r="E807" s="368" t="s">
        <v>143</v>
      </c>
      <c r="F807" s="6">
        <f>F808</f>
        <v>749.3</v>
      </c>
    </row>
    <row r="808" spans="1:8" s="361" customFormat="1" ht="22.5" customHeight="1" x14ac:dyDescent="0.25">
      <c r="A808" s="372" t="s">
        <v>223</v>
      </c>
      <c r="B808" s="368" t="s">
        <v>314</v>
      </c>
      <c r="C808" s="368" t="s">
        <v>133</v>
      </c>
      <c r="D808" s="368" t="s">
        <v>1527</v>
      </c>
      <c r="E808" s="368" t="s">
        <v>224</v>
      </c>
      <c r="F808" s="6">
        <f>'Пр.4 ведом.20'!G362</f>
        <v>749.3</v>
      </c>
    </row>
    <row r="809" spans="1:8" s="1" customFormat="1" ht="94.5" x14ac:dyDescent="0.25">
      <c r="A809" s="31" t="s">
        <v>308</v>
      </c>
      <c r="B809" s="20" t="s">
        <v>314</v>
      </c>
      <c r="C809" s="20" t="s">
        <v>133</v>
      </c>
      <c r="D809" s="20" t="s">
        <v>1165</v>
      </c>
      <c r="E809" s="20"/>
      <c r="F809" s="6">
        <f>F810</f>
        <v>75</v>
      </c>
    </row>
    <row r="810" spans="1:8" ht="78.75" x14ac:dyDescent="0.25">
      <c r="A810" s="25" t="s">
        <v>142</v>
      </c>
      <c r="B810" s="20" t="s">
        <v>314</v>
      </c>
      <c r="C810" s="20" t="s">
        <v>133</v>
      </c>
      <c r="D810" s="20" t="s">
        <v>1165</v>
      </c>
      <c r="E810" s="20" t="s">
        <v>143</v>
      </c>
      <c r="F810" s="6">
        <f>F811</f>
        <v>75</v>
      </c>
    </row>
    <row r="811" spans="1:8" ht="15.75" x14ac:dyDescent="0.25">
      <c r="A811" s="25" t="s">
        <v>223</v>
      </c>
      <c r="B811" s="20" t="s">
        <v>314</v>
      </c>
      <c r="C811" s="20" t="s">
        <v>133</v>
      </c>
      <c r="D811" s="20" t="s">
        <v>1165</v>
      </c>
      <c r="E811" s="20" t="s">
        <v>224</v>
      </c>
      <c r="F811" s="6">
        <f>'Пр.4 ведом.20'!G365</f>
        <v>75</v>
      </c>
    </row>
    <row r="812" spans="1:8" s="221" customFormat="1" ht="31.5" x14ac:dyDescent="0.25">
      <c r="A812" s="299" t="s">
        <v>1408</v>
      </c>
      <c r="B812" s="24" t="s">
        <v>314</v>
      </c>
      <c r="C812" s="24" t="s">
        <v>133</v>
      </c>
      <c r="D812" s="24" t="s">
        <v>1409</v>
      </c>
      <c r="E812" s="24"/>
      <c r="F812" s="21">
        <f>F813</f>
        <v>1330.923</v>
      </c>
    </row>
    <row r="813" spans="1:8" s="221" customFormat="1" ht="47.25" x14ac:dyDescent="0.25">
      <c r="A813" s="300" t="s">
        <v>1410</v>
      </c>
      <c r="B813" s="20" t="s">
        <v>314</v>
      </c>
      <c r="C813" s="20" t="s">
        <v>133</v>
      </c>
      <c r="D813" s="20" t="s">
        <v>1411</v>
      </c>
      <c r="E813" s="20"/>
      <c r="F813" s="26">
        <f>F814</f>
        <v>1330.923</v>
      </c>
    </row>
    <row r="814" spans="1:8" s="221" customFormat="1" ht="31.5" x14ac:dyDescent="0.25">
      <c r="A814" s="25" t="s">
        <v>146</v>
      </c>
      <c r="B814" s="20" t="s">
        <v>314</v>
      </c>
      <c r="C814" s="20" t="s">
        <v>133</v>
      </c>
      <c r="D814" s="20" t="s">
        <v>1411</v>
      </c>
      <c r="E814" s="20" t="s">
        <v>147</v>
      </c>
      <c r="F814" s="26">
        <f>F815</f>
        <v>1330.923</v>
      </c>
    </row>
    <row r="815" spans="1:8" s="221" customFormat="1" ht="31.5" x14ac:dyDescent="0.25">
      <c r="A815" s="25" t="s">
        <v>148</v>
      </c>
      <c r="B815" s="20" t="s">
        <v>314</v>
      </c>
      <c r="C815" s="20" t="s">
        <v>133</v>
      </c>
      <c r="D815" s="20" t="s">
        <v>1411</v>
      </c>
      <c r="E815" s="20" t="s">
        <v>149</v>
      </c>
      <c r="F815" s="26">
        <f>'Пр.4 ведом.20'!G369</f>
        <v>1330.923</v>
      </c>
    </row>
    <row r="816" spans="1:8" ht="31.5" x14ac:dyDescent="0.25">
      <c r="A816" s="23" t="s">
        <v>327</v>
      </c>
      <c r="B816" s="24" t="s">
        <v>314</v>
      </c>
      <c r="C816" s="24" t="s">
        <v>133</v>
      </c>
      <c r="D816" s="24" t="s">
        <v>328</v>
      </c>
      <c r="E816" s="24"/>
      <c r="F816" s="4">
        <f>F817+F825+F829+F833+F840</f>
        <v>23670.9</v>
      </c>
      <c r="H816" s="22"/>
    </row>
    <row r="817" spans="1:6" ht="34.5" customHeight="1" x14ac:dyDescent="0.25">
      <c r="A817" s="23" t="s">
        <v>954</v>
      </c>
      <c r="B817" s="24" t="s">
        <v>314</v>
      </c>
      <c r="C817" s="24" t="s">
        <v>133</v>
      </c>
      <c r="D817" s="24" t="s">
        <v>958</v>
      </c>
      <c r="E817" s="24"/>
      <c r="F817" s="4">
        <f>F818</f>
        <v>21449.200000000001</v>
      </c>
    </row>
    <row r="818" spans="1:6" ht="15.75" x14ac:dyDescent="0.25">
      <c r="A818" s="25" t="s">
        <v>830</v>
      </c>
      <c r="B818" s="20" t="s">
        <v>314</v>
      </c>
      <c r="C818" s="20" t="s">
        <v>133</v>
      </c>
      <c r="D818" s="20" t="s">
        <v>959</v>
      </c>
      <c r="E818" s="20"/>
      <c r="F818" s="6">
        <f>F819+F821+F823</f>
        <v>21449.200000000001</v>
      </c>
    </row>
    <row r="819" spans="1:6" ht="78.75" x14ac:dyDescent="0.25">
      <c r="A819" s="25" t="s">
        <v>142</v>
      </c>
      <c r="B819" s="20" t="s">
        <v>314</v>
      </c>
      <c r="C819" s="20" t="s">
        <v>133</v>
      </c>
      <c r="D819" s="20" t="s">
        <v>959</v>
      </c>
      <c r="E819" s="20" t="s">
        <v>143</v>
      </c>
      <c r="F819" s="6">
        <f>'Пр.4 ведом.20'!G374</f>
        <v>17673.2</v>
      </c>
    </row>
    <row r="820" spans="1:6" ht="15.75" x14ac:dyDescent="0.25">
      <c r="A820" s="25" t="s">
        <v>223</v>
      </c>
      <c r="B820" s="20" t="s">
        <v>314</v>
      </c>
      <c r="C820" s="20" t="s">
        <v>133</v>
      </c>
      <c r="D820" s="20" t="s">
        <v>959</v>
      </c>
      <c r="E820" s="20" t="s">
        <v>224</v>
      </c>
      <c r="F820" s="6">
        <f>'Пр.4 ведом.20'!G374</f>
        <v>17673.2</v>
      </c>
    </row>
    <row r="821" spans="1:6" ht="31.5" x14ac:dyDescent="0.25">
      <c r="A821" s="25" t="s">
        <v>146</v>
      </c>
      <c r="B821" s="20" t="s">
        <v>314</v>
      </c>
      <c r="C821" s="20" t="s">
        <v>133</v>
      </c>
      <c r="D821" s="20" t="s">
        <v>959</v>
      </c>
      <c r="E821" s="20" t="s">
        <v>147</v>
      </c>
      <c r="F821" s="6">
        <f>'Пр.4 ведом.20'!G376</f>
        <v>3750</v>
      </c>
    </row>
    <row r="822" spans="1:6" ht="31.5" x14ac:dyDescent="0.25">
      <c r="A822" s="25" t="s">
        <v>148</v>
      </c>
      <c r="B822" s="20" t="s">
        <v>314</v>
      </c>
      <c r="C822" s="20" t="s">
        <v>133</v>
      </c>
      <c r="D822" s="20" t="s">
        <v>959</v>
      </c>
      <c r="E822" s="20" t="s">
        <v>149</v>
      </c>
      <c r="F822" s="6">
        <f>'Пр.4 ведом.20'!G376</f>
        <v>3750</v>
      </c>
    </row>
    <row r="823" spans="1:6" ht="15.75" x14ac:dyDescent="0.25">
      <c r="A823" s="25" t="s">
        <v>150</v>
      </c>
      <c r="B823" s="20" t="s">
        <v>314</v>
      </c>
      <c r="C823" s="20" t="s">
        <v>133</v>
      </c>
      <c r="D823" s="20" t="s">
        <v>959</v>
      </c>
      <c r="E823" s="20" t="s">
        <v>160</v>
      </c>
      <c r="F823" s="6">
        <f>'Пр.4 ведом.20'!G378</f>
        <v>26</v>
      </c>
    </row>
    <row r="824" spans="1:6" ht="15.75" x14ac:dyDescent="0.25">
      <c r="A824" s="25" t="s">
        <v>583</v>
      </c>
      <c r="B824" s="20" t="s">
        <v>314</v>
      </c>
      <c r="C824" s="20" t="s">
        <v>133</v>
      </c>
      <c r="D824" s="20" t="s">
        <v>959</v>
      </c>
      <c r="E824" s="20" t="s">
        <v>153</v>
      </c>
      <c r="F824" s="6">
        <f>'Пр.4 ведом.20'!G378</f>
        <v>26</v>
      </c>
    </row>
    <row r="825" spans="1:6" ht="31.5" x14ac:dyDescent="0.25">
      <c r="A825" s="23" t="s">
        <v>971</v>
      </c>
      <c r="B825" s="24" t="s">
        <v>314</v>
      </c>
      <c r="C825" s="24" t="s">
        <v>133</v>
      </c>
      <c r="D825" s="24" t="s">
        <v>960</v>
      </c>
      <c r="E825" s="24"/>
      <c r="F825" s="4">
        <f>F826</f>
        <v>50</v>
      </c>
    </row>
    <row r="826" spans="1:6" ht="31.5" x14ac:dyDescent="0.25">
      <c r="A826" s="25" t="s">
        <v>864</v>
      </c>
      <c r="B826" s="20" t="s">
        <v>314</v>
      </c>
      <c r="C826" s="20" t="s">
        <v>133</v>
      </c>
      <c r="D826" s="20" t="s">
        <v>961</v>
      </c>
      <c r="E826" s="20"/>
      <c r="F826" s="6">
        <f>F827</f>
        <v>50</v>
      </c>
    </row>
    <row r="827" spans="1:6" ht="31.5" x14ac:dyDescent="0.25">
      <c r="A827" s="25" t="s">
        <v>146</v>
      </c>
      <c r="B827" s="20" t="s">
        <v>314</v>
      </c>
      <c r="C827" s="20" t="s">
        <v>133</v>
      </c>
      <c r="D827" s="20" t="s">
        <v>961</v>
      </c>
      <c r="E827" s="20" t="s">
        <v>147</v>
      </c>
      <c r="F827" s="6">
        <f>F828</f>
        <v>50</v>
      </c>
    </row>
    <row r="828" spans="1:6" ht="31.5" x14ac:dyDescent="0.25">
      <c r="A828" s="25" t="s">
        <v>148</v>
      </c>
      <c r="B828" s="20" t="s">
        <v>314</v>
      </c>
      <c r="C828" s="20" t="s">
        <v>133</v>
      </c>
      <c r="D828" s="20" t="s">
        <v>961</v>
      </c>
      <c r="E828" s="20" t="s">
        <v>149</v>
      </c>
      <c r="F828" s="6">
        <f>'Пр.4 ведом.20'!G382</f>
        <v>50</v>
      </c>
    </row>
    <row r="829" spans="1:6" ht="31.5" x14ac:dyDescent="0.25">
      <c r="A829" s="23" t="s">
        <v>1074</v>
      </c>
      <c r="B829" s="24" t="s">
        <v>314</v>
      </c>
      <c r="C829" s="24" t="s">
        <v>133</v>
      </c>
      <c r="D829" s="24" t="s">
        <v>962</v>
      </c>
      <c r="E829" s="24"/>
      <c r="F829" s="4">
        <f>F830</f>
        <v>507</v>
      </c>
    </row>
    <row r="830" spans="1:6" ht="31.7" customHeight="1" x14ac:dyDescent="0.25">
      <c r="A830" s="25" t="s">
        <v>883</v>
      </c>
      <c r="B830" s="20" t="s">
        <v>314</v>
      </c>
      <c r="C830" s="20" t="s">
        <v>133</v>
      </c>
      <c r="D830" s="20" t="s">
        <v>1252</v>
      </c>
      <c r="E830" s="20"/>
      <c r="F830" s="6">
        <f>F831</f>
        <v>507</v>
      </c>
    </row>
    <row r="831" spans="1:6" ht="31.7" customHeight="1" x14ac:dyDescent="0.25">
      <c r="A831" s="25" t="s">
        <v>142</v>
      </c>
      <c r="B831" s="20" t="s">
        <v>314</v>
      </c>
      <c r="C831" s="20" t="s">
        <v>133</v>
      </c>
      <c r="D831" s="20" t="s">
        <v>1252</v>
      </c>
      <c r="E831" s="20" t="s">
        <v>143</v>
      </c>
      <c r="F831" s="6">
        <f t="shared" ref="F831" si="100">F832</f>
        <v>507</v>
      </c>
    </row>
    <row r="832" spans="1:6" ht="38.25" customHeight="1" x14ac:dyDescent="0.25">
      <c r="A832" s="25" t="s">
        <v>144</v>
      </c>
      <c r="B832" s="20" t="s">
        <v>314</v>
      </c>
      <c r="C832" s="20" t="s">
        <v>133</v>
      </c>
      <c r="D832" s="20" t="s">
        <v>1252</v>
      </c>
      <c r="E832" s="20" t="s">
        <v>224</v>
      </c>
      <c r="F832" s="6">
        <f>'Пр.4 ведом.20'!G386</f>
        <v>507</v>
      </c>
    </row>
    <row r="833" spans="1:6" ht="32.25" customHeight="1" x14ac:dyDescent="0.25">
      <c r="A833" s="23" t="s">
        <v>1161</v>
      </c>
      <c r="B833" s="24" t="s">
        <v>314</v>
      </c>
      <c r="C833" s="24" t="s">
        <v>133</v>
      </c>
      <c r="D833" s="24" t="s">
        <v>963</v>
      </c>
      <c r="E833" s="24"/>
      <c r="F833" s="4">
        <f>F834+F837</f>
        <v>68.7</v>
      </c>
    </row>
    <row r="834" spans="1:6" ht="15.75" customHeight="1" x14ac:dyDescent="0.25">
      <c r="A834" s="25" t="s">
        <v>344</v>
      </c>
      <c r="B834" s="20" t="s">
        <v>314</v>
      </c>
      <c r="C834" s="20" t="s">
        <v>133</v>
      </c>
      <c r="D834" s="20" t="s">
        <v>1253</v>
      </c>
      <c r="E834" s="20"/>
      <c r="F834" s="6">
        <f>F835</f>
        <v>3.5</v>
      </c>
    </row>
    <row r="835" spans="1:6" ht="31.5" x14ac:dyDescent="0.25">
      <c r="A835" s="25" t="s">
        <v>146</v>
      </c>
      <c r="B835" s="20" t="s">
        <v>314</v>
      </c>
      <c r="C835" s="20" t="s">
        <v>133</v>
      </c>
      <c r="D835" s="20" t="s">
        <v>1253</v>
      </c>
      <c r="E835" s="20" t="s">
        <v>147</v>
      </c>
      <c r="F835" s="6">
        <f>F836</f>
        <v>3.5</v>
      </c>
    </row>
    <row r="836" spans="1:6" ht="31.7" customHeight="1" x14ac:dyDescent="0.25">
      <c r="A836" s="25" t="s">
        <v>148</v>
      </c>
      <c r="B836" s="20" t="s">
        <v>314</v>
      </c>
      <c r="C836" s="20" t="s">
        <v>133</v>
      </c>
      <c r="D836" s="20" t="s">
        <v>1253</v>
      </c>
      <c r="E836" s="20" t="s">
        <v>149</v>
      </c>
      <c r="F836" s="6">
        <f>'Пр.4 ведом.20'!G390</f>
        <v>3.5</v>
      </c>
    </row>
    <row r="837" spans="1:6" ht="18.75" customHeight="1" x14ac:dyDescent="0.25">
      <c r="A837" s="25" t="s">
        <v>344</v>
      </c>
      <c r="B837" s="20" t="s">
        <v>314</v>
      </c>
      <c r="C837" s="20" t="s">
        <v>133</v>
      </c>
      <c r="D837" s="20" t="s">
        <v>1254</v>
      </c>
      <c r="E837" s="20"/>
      <c r="F837" s="6">
        <f>F838</f>
        <v>65.2</v>
      </c>
    </row>
    <row r="838" spans="1:6" ht="31.5" x14ac:dyDescent="0.25">
      <c r="A838" s="25" t="s">
        <v>146</v>
      </c>
      <c r="B838" s="20" t="s">
        <v>314</v>
      </c>
      <c r="C838" s="20" t="s">
        <v>133</v>
      </c>
      <c r="D838" s="20" t="s">
        <v>1254</v>
      </c>
      <c r="E838" s="20" t="s">
        <v>147</v>
      </c>
      <c r="F838" s="6">
        <f t="shared" ref="F838" si="101">F839</f>
        <v>65.2</v>
      </c>
    </row>
    <row r="839" spans="1:6" ht="31.5" x14ac:dyDescent="0.25">
      <c r="A839" s="25" t="s">
        <v>148</v>
      </c>
      <c r="B839" s="20" t="s">
        <v>314</v>
      </c>
      <c r="C839" s="20" t="s">
        <v>133</v>
      </c>
      <c r="D839" s="20" t="s">
        <v>1254</v>
      </c>
      <c r="E839" s="38">
        <v>240</v>
      </c>
      <c r="F839" s="6">
        <f>'Пр.4 ведом.20'!G393</f>
        <v>65.2</v>
      </c>
    </row>
    <row r="840" spans="1:6" ht="47.25" x14ac:dyDescent="0.25">
      <c r="A840" s="245" t="s">
        <v>969</v>
      </c>
      <c r="B840" s="24" t="s">
        <v>314</v>
      </c>
      <c r="C840" s="24" t="s">
        <v>133</v>
      </c>
      <c r="D840" s="24" t="s">
        <v>1255</v>
      </c>
      <c r="E840" s="24"/>
      <c r="F840" s="340">
        <f>F844+F847+F841</f>
        <v>1596</v>
      </c>
    </row>
    <row r="841" spans="1:6" s="361" customFormat="1" ht="94.5" x14ac:dyDescent="0.25">
      <c r="A841" s="31" t="s">
        <v>308</v>
      </c>
      <c r="B841" s="368" t="s">
        <v>314</v>
      </c>
      <c r="C841" s="368" t="s">
        <v>133</v>
      </c>
      <c r="D841" s="368" t="s">
        <v>1528</v>
      </c>
      <c r="E841" s="368"/>
      <c r="F841" s="338">
        <f>F842</f>
        <v>1159.3</v>
      </c>
    </row>
    <row r="842" spans="1:6" s="361" customFormat="1" ht="78.75" x14ac:dyDescent="0.25">
      <c r="A842" s="372" t="s">
        <v>142</v>
      </c>
      <c r="B842" s="368" t="s">
        <v>314</v>
      </c>
      <c r="C842" s="368" t="s">
        <v>133</v>
      </c>
      <c r="D842" s="368" t="s">
        <v>1528</v>
      </c>
      <c r="E842" s="368" t="s">
        <v>143</v>
      </c>
      <c r="F842" s="338">
        <f>F843</f>
        <v>1159.3</v>
      </c>
    </row>
    <row r="843" spans="1:6" s="361" customFormat="1" ht="15.75" x14ac:dyDescent="0.25">
      <c r="A843" s="372" t="s">
        <v>223</v>
      </c>
      <c r="B843" s="368" t="s">
        <v>314</v>
      </c>
      <c r="C843" s="368" t="s">
        <v>133</v>
      </c>
      <c r="D843" s="368" t="s">
        <v>1528</v>
      </c>
      <c r="E843" s="368" t="s">
        <v>224</v>
      </c>
      <c r="F843" s="338">
        <f>'Пр.4 ведом.20'!G397</f>
        <v>1159.3</v>
      </c>
    </row>
    <row r="844" spans="1:6" ht="31.7" customHeight="1" x14ac:dyDescent="0.25">
      <c r="A844" s="25" t="s">
        <v>346</v>
      </c>
      <c r="B844" s="20" t="s">
        <v>314</v>
      </c>
      <c r="C844" s="20" t="s">
        <v>133</v>
      </c>
      <c r="D844" s="20" t="s">
        <v>1256</v>
      </c>
      <c r="E844" s="20"/>
      <c r="F844" s="338">
        <f t="shared" ref="F844" si="102">F845</f>
        <v>319.7</v>
      </c>
    </row>
    <row r="845" spans="1:6" ht="47.25" customHeight="1" x14ac:dyDescent="0.25">
      <c r="A845" s="25" t="s">
        <v>142</v>
      </c>
      <c r="B845" s="20" t="s">
        <v>314</v>
      </c>
      <c r="C845" s="20" t="s">
        <v>133</v>
      </c>
      <c r="D845" s="20" t="s">
        <v>1256</v>
      </c>
      <c r="E845" s="20" t="s">
        <v>143</v>
      </c>
      <c r="F845" s="338">
        <f>F846</f>
        <v>319.7</v>
      </c>
    </row>
    <row r="846" spans="1:6" ht="15.75" x14ac:dyDescent="0.25">
      <c r="A846" s="25" t="s">
        <v>223</v>
      </c>
      <c r="B846" s="20" t="s">
        <v>314</v>
      </c>
      <c r="C846" s="20" t="s">
        <v>133</v>
      </c>
      <c r="D846" s="20" t="s">
        <v>1256</v>
      </c>
      <c r="E846" s="20" t="s">
        <v>224</v>
      </c>
      <c r="F846" s="6">
        <f>'Пр.4 ведом.20'!G400</f>
        <v>319.7</v>
      </c>
    </row>
    <row r="847" spans="1:6" ht="94.5" x14ac:dyDescent="0.25">
      <c r="A847" s="31" t="s">
        <v>308</v>
      </c>
      <c r="B847" s="20" t="s">
        <v>314</v>
      </c>
      <c r="C847" s="20" t="s">
        <v>133</v>
      </c>
      <c r="D847" s="20" t="s">
        <v>1257</v>
      </c>
      <c r="E847" s="20"/>
      <c r="F847" s="6">
        <f>F848</f>
        <v>117</v>
      </c>
    </row>
    <row r="848" spans="1:6" ht="78.75" x14ac:dyDescent="0.25">
      <c r="A848" s="25" t="s">
        <v>142</v>
      </c>
      <c r="B848" s="20" t="s">
        <v>314</v>
      </c>
      <c r="C848" s="20" t="s">
        <v>133</v>
      </c>
      <c r="D848" s="20" t="s">
        <v>1257</v>
      </c>
      <c r="E848" s="20" t="s">
        <v>143</v>
      </c>
      <c r="F848" s="338">
        <f t="shared" ref="F848" si="103">F849</f>
        <v>117</v>
      </c>
    </row>
    <row r="849" spans="1:8" ht="15.75" x14ac:dyDescent="0.25">
      <c r="A849" s="25" t="s">
        <v>223</v>
      </c>
      <c r="B849" s="20" t="s">
        <v>314</v>
      </c>
      <c r="C849" s="20" t="s">
        <v>133</v>
      </c>
      <c r="D849" s="20" t="s">
        <v>1257</v>
      </c>
      <c r="E849" s="20" t="s">
        <v>224</v>
      </c>
      <c r="F849" s="338">
        <f>'Пр.4 ведом.20'!G403</f>
        <v>117</v>
      </c>
    </row>
    <row r="850" spans="1:8" ht="63" x14ac:dyDescent="0.25">
      <c r="A850" s="34" t="s">
        <v>803</v>
      </c>
      <c r="B850" s="24" t="s">
        <v>314</v>
      </c>
      <c r="C850" s="24" t="s">
        <v>133</v>
      </c>
      <c r="D850" s="24" t="s">
        <v>339</v>
      </c>
      <c r="E850" s="24"/>
      <c r="F850" s="340">
        <f>F851</f>
        <v>100</v>
      </c>
    </row>
    <row r="851" spans="1:8" ht="63" x14ac:dyDescent="0.25">
      <c r="A851" s="34" t="s">
        <v>1189</v>
      </c>
      <c r="B851" s="24" t="s">
        <v>314</v>
      </c>
      <c r="C851" s="24" t="s">
        <v>133</v>
      </c>
      <c r="D851" s="24" t="s">
        <v>1023</v>
      </c>
      <c r="E851" s="24"/>
      <c r="F851" s="4">
        <f>F852</f>
        <v>100</v>
      </c>
      <c r="H851" s="22"/>
    </row>
    <row r="852" spans="1:8" ht="47.25" x14ac:dyDescent="0.25">
      <c r="A852" s="31" t="s">
        <v>1272</v>
      </c>
      <c r="B852" s="20" t="s">
        <v>314</v>
      </c>
      <c r="C852" s="20" t="s">
        <v>133</v>
      </c>
      <c r="D852" s="20" t="s">
        <v>1190</v>
      </c>
      <c r="E852" s="20"/>
      <c r="F852" s="6">
        <f>F853</f>
        <v>100</v>
      </c>
    </row>
    <row r="853" spans="1:8" ht="31.5" x14ac:dyDescent="0.25">
      <c r="A853" s="25" t="s">
        <v>146</v>
      </c>
      <c r="B853" s="20" t="s">
        <v>314</v>
      </c>
      <c r="C853" s="20" t="s">
        <v>133</v>
      </c>
      <c r="D853" s="20" t="s">
        <v>1190</v>
      </c>
      <c r="E853" s="20" t="s">
        <v>147</v>
      </c>
      <c r="F853" s="6">
        <f>F854</f>
        <v>100</v>
      </c>
    </row>
    <row r="854" spans="1:8" ht="31.5" x14ac:dyDescent="0.25">
      <c r="A854" s="25" t="s">
        <v>148</v>
      </c>
      <c r="B854" s="20" t="s">
        <v>314</v>
      </c>
      <c r="C854" s="20" t="s">
        <v>133</v>
      </c>
      <c r="D854" s="20" t="s">
        <v>1190</v>
      </c>
      <c r="E854" s="20" t="s">
        <v>149</v>
      </c>
      <c r="F854" s="6">
        <f>'Пр.4 ведом.20'!G408</f>
        <v>100</v>
      </c>
    </row>
    <row r="855" spans="1:8" ht="63" x14ac:dyDescent="0.25">
      <c r="A855" s="41" t="s">
        <v>1177</v>
      </c>
      <c r="B855" s="24" t="s">
        <v>314</v>
      </c>
      <c r="C855" s="24" t="s">
        <v>133</v>
      </c>
      <c r="D855" s="24" t="s">
        <v>726</v>
      </c>
      <c r="E855" s="250"/>
      <c r="F855" s="4">
        <f t="shared" ref="F855" si="104">F856</f>
        <v>834.6</v>
      </c>
    </row>
    <row r="856" spans="1:8" ht="47.25" x14ac:dyDescent="0.25">
      <c r="A856" s="41" t="s">
        <v>947</v>
      </c>
      <c r="B856" s="24" t="s">
        <v>314</v>
      </c>
      <c r="C856" s="24" t="s">
        <v>133</v>
      </c>
      <c r="D856" s="24" t="s">
        <v>945</v>
      </c>
      <c r="E856" s="250"/>
      <c r="F856" s="4">
        <f>F857</f>
        <v>834.6</v>
      </c>
      <c r="G856" s="196"/>
      <c r="H856" s="107"/>
    </row>
    <row r="857" spans="1:8" ht="47.25" x14ac:dyDescent="0.25">
      <c r="A857" s="99" t="s">
        <v>1185</v>
      </c>
      <c r="B857" s="20" t="s">
        <v>314</v>
      </c>
      <c r="C857" s="20" t="s">
        <v>133</v>
      </c>
      <c r="D857" s="20" t="s">
        <v>946</v>
      </c>
      <c r="E857" s="32"/>
      <c r="F857" s="338">
        <f>F858</f>
        <v>834.6</v>
      </c>
    </row>
    <row r="858" spans="1:8" ht="31.5" x14ac:dyDescent="0.25">
      <c r="A858" s="25" t="s">
        <v>146</v>
      </c>
      <c r="B858" s="20" t="s">
        <v>314</v>
      </c>
      <c r="C858" s="20" t="s">
        <v>133</v>
      </c>
      <c r="D858" s="20" t="s">
        <v>946</v>
      </c>
      <c r="E858" s="32" t="s">
        <v>147</v>
      </c>
      <c r="F858" s="6">
        <f>F859</f>
        <v>834.6</v>
      </c>
    </row>
    <row r="859" spans="1:8" ht="31.5" x14ac:dyDescent="0.25">
      <c r="A859" s="25" t="s">
        <v>148</v>
      </c>
      <c r="B859" s="20" t="s">
        <v>314</v>
      </c>
      <c r="C859" s="20" t="s">
        <v>133</v>
      </c>
      <c r="D859" s="20" t="s">
        <v>946</v>
      </c>
      <c r="E859" s="32" t="s">
        <v>149</v>
      </c>
      <c r="F859" s="6">
        <f>'Пр.4 ведом.20'!G413</f>
        <v>834.6</v>
      </c>
    </row>
    <row r="860" spans="1:8" s="221" customFormat="1" ht="31.5" x14ac:dyDescent="0.25">
      <c r="A860" s="23" t="s">
        <v>348</v>
      </c>
      <c r="B860" s="24" t="s">
        <v>314</v>
      </c>
      <c r="C860" s="24" t="s">
        <v>165</v>
      </c>
      <c r="D860" s="24"/>
      <c r="E860" s="32"/>
      <c r="F860" s="4">
        <f>F861+F871+F883</f>
        <v>17894.599999999999</v>
      </c>
    </row>
    <row r="861" spans="1:8" s="221" customFormat="1" ht="31.5" x14ac:dyDescent="0.25">
      <c r="A861" s="23" t="s">
        <v>988</v>
      </c>
      <c r="B861" s="24" t="s">
        <v>314</v>
      </c>
      <c r="C861" s="24" t="s">
        <v>165</v>
      </c>
      <c r="D861" s="24" t="s">
        <v>902</v>
      </c>
      <c r="E861" s="32"/>
      <c r="F861" s="4">
        <f>F862</f>
        <v>7272.5</v>
      </c>
    </row>
    <row r="862" spans="1:8" s="221" customFormat="1" ht="15.75" x14ac:dyDescent="0.25">
      <c r="A862" s="23" t="s">
        <v>989</v>
      </c>
      <c r="B862" s="24" t="s">
        <v>314</v>
      </c>
      <c r="C862" s="24" t="s">
        <v>165</v>
      </c>
      <c r="D862" s="24" t="s">
        <v>903</v>
      </c>
      <c r="E862" s="32"/>
      <c r="F862" s="4">
        <f>F863+F868</f>
        <v>7272.5</v>
      </c>
    </row>
    <row r="863" spans="1:8" s="221" customFormat="1" ht="31.5" x14ac:dyDescent="0.25">
      <c r="A863" s="25" t="s">
        <v>965</v>
      </c>
      <c r="B863" s="20" t="s">
        <v>314</v>
      </c>
      <c r="C863" s="20" t="s">
        <v>165</v>
      </c>
      <c r="D863" s="20" t="s">
        <v>904</v>
      </c>
      <c r="E863" s="32"/>
      <c r="F863" s="6">
        <f>F864+F866</f>
        <v>7146.5</v>
      </c>
    </row>
    <row r="864" spans="1:8" s="221" customFormat="1" ht="78.75" x14ac:dyDescent="0.25">
      <c r="A864" s="25" t="s">
        <v>142</v>
      </c>
      <c r="B864" s="20" t="s">
        <v>314</v>
      </c>
      <c r="C864" s="20" t="s">
        <v>165</v>
      </c>
      <c r="D864" s="20" t="s">
        <v>904</v>
      </c>
      <c r="E864" s="32" t="s">
        <v>143</v>
      </c>
      <c r="F864" s="6">
        <f>F865</f>
        <v>7146.5</v>
      </c>
    </row>
    <row r="865" spans="1:6" ht="31.5" x14ac:dyDescent="0.25">
      <c r="A865" s="25" t="s">
        <v>144</v>
      </c>
      <c r="B865" s="20" t="s">
        <v>314</v>
      </c>
      <c r="C865" s="20" t="s">
        <v>165</v>
      </c>
      <c r="D865" s="20" t="s">
        <v>904</v>
      </c>
      <c r="E865" s="40" t="s">
        <v>145</v>
      </c>
      <c r="F865" s="6">
        <f>'Пр.4 ведом.20'!G419</f>
        <v>7146.5</v>
      </c>
    </row>
    <row r="866" spans="1:6" ht="31.5" x14ac:dyDescent="0.25">
      <c r="A866" s="25" t="s">
        <v>146</v>
      </c>
      <c r="B866" s="20" t="s">
        <v>314</v>
      </c>
      <c r="C866" s="20" t="s">
        <v>165</v>
      </c>
      <c r="D866" s="20" t="s">
        <v>904</v>
      </c>
      <c r="E866" s="40" t="s">
        <v>147</v>
      </c>
      <c r="F866" s="6">
        <f>F867</f>
        <v>0</v>
      </c>
    </row>
    <row r="867" spans="1:6" ht="31.5" x14ac:dyDescent="0.25">
      <c r="A867" s="25" t="s">
        <v>148</v>
      </c>
      <c r="B867" s="20" t="s">
        <v>314</v>
      </c>
      <c r="C867" s="20" t="s">
        <v>165</v>
      </c>
      <c r="D867" s="20" t="s">
        <v>904</v>
      </c>
      <c r="E867" s="40" t="s">
        <v>149</v>
      </c>
      <c r="F867" s="6">
        <f>'Пр.4 ведом.20'!G421</f>
        <v>0</v>
      </c>
    </row>
    <row r="868" spans="1:6" ht="47.25" x14ac:dyDescent="0.25">
      <c r="A868" s="25" t="s">
        <v>883</v>
      </c>
      <c r="B868" s="20" t="s">
        <v>314</v>
      </c>
      <c r="C868" s="20" t="s">
        <v>165</v>
      </c>
      <c r="D868" s="20" t="s">
        <v>906</v>
      </c>
      <c r="E868" s="40"/>
      <c r="F868" s="6">
        <f>F869</f>
        <v>126</v>
      </c>
    </row>
    <row r="869" spans="1:6" ht="78.75" x14ac:dyDescent="0.25">
      <c r="A869" s="25" t="s">
        <v>142</v>
      </c>
      <c r="B869" s="20" t="s">
        <v>314</v>
      </c>
      <c r="C869" s="20" t="s">
        <v>165</v>
      </c>
      <c r="D869" s="20" t="s">
        <v>906</v>
      </c>
      <c r="E869" s="40" t="s">
        <v>143</v>
      </c>
      <c r="F869" s="6">
        <f t="shared" ref="F869" si="105">F870</f>
        <v>126</v>
      </c>
    </row>
    <row r="870" spans="1:6" ht="31.5" x14ac:dyDescent="0.25">
      <c r="A870" s="25" t="s">
        <v>144</v>
      </c>
      <c r="B870" s="20" t="s">
        <v>314</v>
      </c>
      <c r="C870" s="20" t="s">
        <v>165</v>
      </c>
      <c r="D870" s="20" t="s">
        <v>906</v>
      </c>
      <c r="E870" s="40" t="s">
        <v>145</v>
      </c>
      <c r="F870" s="6">
        <f>'Пр.4 ведом.20'!G424</f>
        <v>126</v>
      </c>
    </row>
    <row r="871" spans="1:6" ht="15.75" x14ac:dyDescent="0.25">
      <c r="A871" s="23" t="s">
        <v>997</v>
      </c>
      <c r="B871" s="24" t="s">
        <v>314</v>
      </c>
      <c r="C871" s="24" t="s">
        <v>165</v>
      </c>
      <c r="D871" s="24" t="s">
        <v>910</v>
      </c>
      <c r="E871" s="40"/>
      <c r="F871" s="4">
        <f t="shared" ref="F871" si="106">F872</f>
        <v>10362.1</v>
      </c>
    </row>
    <row r="872" spans="1:6" ht="31.5" x14ac:dyDescent="0.25">
      <c r="A872" s="23" t="s">
        <v>1000</v>
      </c>
      <c r="B872" s="24" t="s">
        <v>314</v>
      </c>
      <c r="C872" s="24" t="s">
        <v>165</v>
      </c>
      <c r="D872" s="24" t="s">
        <v>985</v>
      </c>
      <c r="E872" s="40"/>
      <c r="F872" s="4">
        <f>F873+F880</f>
        <v>10362.1</v>
      </c>
    </row>
    <row r="873" spans="1:6" ht="31.5" x14ac:dyDescent="0.25">
      <c r="A873" s="25" t="s">
        <v>972</v>
      </c>
      <c r="B873" s="20" t="s">
        <v>314</v>
      </c>
      <c r="C873" s="20" t="s">
        <v>165</v>
      </c>
      <c r="D873" s="20" t="s">
        <v>986</v>
      </c>
      <c r="E873" s="40"/>
      <c r="F873" s="6">
        <f>F874+F876+F878</f>
        <v>10152.1</v>
      </c>
    </row>
    <row r="874" spans="1:6" ht="78.75" x14ac:dyDescent="0.25">
      <c r="A874" s="25" t="s">
        <v>142</v>
      </c>
      <c r="B874" s="20" t="s">
        <v>314</v>
      </c>
      <c r="C874" s="20" t="s">
        <v>165</v>
      </c>
      <c r="D874" s="20" t="s">
        <v>986</v>
      </c>
      <c r="E874" s="40" t="s">
        <v>143</v>
      </c>
      <c r="F874" s="6">
        <f t="shared" ref="F874" si="107">F875</f>
        <v>8201.1</v>
      </c>
    </row>
    <row r="875" spans="1:6" ht="21.75" customHeight="1" x14ac:dyDescent="0.25">
      <c r="A875" s="25" t="s">
        <v>357</v>
      </c>
      <c r="B875" s="20" t="s">
        <v>314</v>
      </c>
      <c r="C875" s="20" t="s">
        <v>165</v>
      </c>
      <c r="D875" s="20" t="s">
        <v>986</v>
      </c>
      <c r="E875" s="40" t="s">
        <v>224</v>
      </c>
      <c r="F875" s="6">
        <f>'Пр.4 ведом.20'!G429</f>
        <v>8201.1</v>
      </c>
    </row>
    <row r="876" spans="1:6" ht="31.5" x14ac:dyDescent="0.25">
      <c r="A876" s="25" t="s">
        <v>146</v>
      </c>
      <c r="B876" s="20" t="s">
        <v>314</v>
      </c>
      <c r="C876" s="20" t="s">
        <v>165</v>
      </c>
      <c r="D876" s="20" t="s">
        <v>986</v>
      </c>
      <c r="E876" s="40" t="s">
        <v>147</v>
      </c>
      <c r="F876" s="6">
        <f t="shared" ref="F876:F878" si="108">F877</f>
        <v>1937</v>
      </c>
    </row>
    <row r="877" spans="1:6" ht="31.5" x14ac:dyDescent="0.25">
      <c r="A877" s="25" t="s">
        <v>148</v>
      </c>
      <c r="B877" s="20" t="s">
        <v>314</v>
      </c>
      <c r="C877" s="20" t="s">
        <v>165</v>
      </c>
      <c r="D877" s="20" t="s">
        <v>986</v>
      </c>
      <c r="E877" s="40" t="s">
        <v>149</v>
      </c>
      <c r="F877" s="6">
        <f>'Пр.4 ведом.20'!G431</f>
        <v>1937</v>
      </c>
    </row>
    <row r="878" spans="1:6" ht="15.75" x14ac:dyDescent="0.25">
      <c r="A878" s="25" t="s">
        <v>150</v>
      </c>
      <c r="B878" s="20" t="s">
        <v>314</v>
      </c>
      <c r="C878" s="20" t="s">
        <v>165</v>
      </c>
      <c r="D878" s="20" t="s">
        <v>986</v>
      </c>
      <c r="E878" s="40" t="s">
        <v>160</v>
      </c>
      <c r="F878" s="6">
        <f t="shared" si="108"/>
        <v>14</v>
      </c>
    </row>
    <row r="879" spans="1:6" ht="15.75" x14ac:dyDescent="0.25">
      <c r="A879" s="25" t="s">
        <v>583</v>
      </c>
      <c r="B879" s="20" t="s">
        <v>314</v>
      </c>
      <c r="C879" s="20" t="s">
        <v>165</v>
      </c>
      <c r="D879" s="20" t="s">
        <v>986</v>
      </c>
      <c r="E879" s="40" t="s">
        <v>153</v>
      </c>
      <c r="F879" s="6">
        <f>'Пр.4 ведом.20'!G433</f>
        <v>14</v>
      </c>
    </row>
    <row r="880" spans="1:6" ht="47.25" x14ac:dyDescent="0.25">
      <c r="A880" s="25" t="s">
        <v>883</v>
      </c>
      <c r="B880" s="20" t="s">
        <v>314</v>
      </c>
      <c r="C880" s="20" t="s">
        <v>165</v>
      </c>
      <c r="D880" s="20" t="s">
        <v>987</v>
      </c>
      <c r="E880" s="40"/>
      <c r="F880" s="6">
        <f>F881</f>
        <v>210</v>
      </c>
    </row>
    <row r="881" spans="1:8" ht="78.75" x14ac:dyDescent="0.25">
      <c r="A881" s="25" t="s">
        <v>142</v>
      </c>
      <c r="B881" s="20" t="s">
        <v>314</v>
      </c>
      <c r="C881" s="20" t="s">
        <v>165</v>
      </c>
      <c r="D881" s="20" t="s">
        <v>987</v>
      </c>
      <c r="E881" s="40" t="s">
        <v>143</v>
      </c>
      <c r="F881" s="6">
        <f t="shared" ref="F881" si="109">F882</f>
        <v>210</v>
      </c>
    </row>
    <row r="882" spans="1:8" ht="31.5" x14ac:dyDescent="0.25">
      <c r="A882" s="25" t="s">
        <v>144</v>
      </c>
      <c r="B882" s="20" t="s">
        <v>314</v>
      </c>
      <c r="C882" s="20" t="s">
        <v>165</v>
      </c>
      <c r="D882" s="20" t="s">
        <v>987</v>
      </c>
      <c r="E882" s="40" t="s">
        <v>224</v>
      </c>
      <c r="F882" s="6">
        <f>'Пр.4 ведом.20'!G436</f>
        <v>210</v>
      </c>
    </row>
    <row r="883" spans="1:8" ht="47.25" x14ac:dyDescent="0.25">
      <c r="A883" s="23" t="s">
        <v>358</v>
      </c>
      <c r="B883" s="24" t="s">
        <v>314</v>
      </c>
      <c r="C883" s="24" t="s">
        <v>165</v>
      </c>
      <c r="D883" s="24" t="s">
        <v>359</v>
      </c>
      <c r="E883" s="40"/>
      <c r="F883" s="4">
        <f>F884</f>
        <v>260</v>
      </c>
    </row>
    <row r="884" spans="1:8" ht="47.25" x14ac:dyDescent="0.25">
      <c r="A884" s="23" t="s">
        <v>379</v>
      </c>
      <c r="B884" s="24" t="s">
        <v>314</v>
      </c>
      <c r="C884" s="24" t="s">
        <v>165</v>
      </c>
      <c r="D884" s="24" t="s">
        <v>380</v>
      </c>
      <c r="E884" s="40"/>
      <c r="F884" s="4">
        <f>F885</f>
        <v>260</v>
      </c>
    </row>
    <row r="885" spans="1:8" ht="31.5" x14ac:dyDescent="0.25">
      <c r="A885" s="23" t="s">
        <v>1145</v>
      </c>
      <c r="B885" s="24" t="s">
        <v>314</v>
      </c>
      <c r="C885" s="24" t="s">
        <v>165</v>
      </c>
      <c r="D885" s="24" t="s">
        <v>964</v>
      </c>
      <c r="E885" s="40"/>
      <c r="F885" s="4">
        <f>F886</f>
        <v>260</v>
      </c>
    </row>
    <row r="886" spans="1:8" ht="31.5" x14ac:dyDescent="0.25">
      <c r="A886" s="25" t="s">
        <v>1144</v>
      </c>
      <c r="B886" s="20" t="s">
        <v>314</v>
      </c>
      <c r="C886" s="20" t="s">
        <v>165</v>
      </c>
      <c r="D886" s="20" t="s">
        <v>1223</v>
      </c>
      <c r="E886" s="40"/>
      <c r="F886" s="6">
        <f t="shared" ref="F886" si="110">F887</f>
        <v>260</v>
      </c>
    </row>
    <row r="887" spans="1:8" ht="31.5" x14ac:dyDescent="0.25">
      <c r="A887" s="25" t="s">
        <v>146</v>
      </c>
      <c r="B887" s="20" t="s">
        <v>314</v>
      </c>
      <c r="C887" s="20" t="s">
        <v>165</v>
      </c>
      <c r="D887" s="20" t="s">
        <v>1223</v>
      </c>
      <c r="E887" s="40"/>
      <c r="F887" s="6">
        <f>F888</f>
        <v>260</v>
      </c>
    </row>
    <row r="888" spans="1:8" ht="31.5" x14ac:dyDescent="0.25">
      <c r="A888" s="25" t="s">
        <v>148</v>
      </c>
      <c r="B888" s="20" t="s">
        <v>314</v>
      </c>
      <c r="C888" s="20" t="s">
        <v>165</v>
      </c>
      <c r="D888" s="20" t="s">
        <v>1223</v>
      </c>
      <c r="E888" s="40"/>
      <c r="F888" s="6">
        <f>'Пр.4 ведом.20'!G442</f>
        <v>260</v>
      </c>
    </row>
    <row r="889" spans="1:8" s="221" customFormat="1" ht="15.75" x14ac:dyDescent="0.25">
      <c r="A889" s="23" t="s">
        <v>258</v>
      </c>
      <c r="B889" s="24" t="s">
        <v>259</v>
      </c>
      <c r="C889" s="24"/>
      <c r="D889" s="24"/>
      <c r="E889" s="24"/>
      <c r="F889" s="4">
        <f>F890+F896+F934+F929</f>
        <v>16582.400000000001</v>
      </c>
      <c r="H889" s="22"/>
    </row>
    <row r="890" spans="1:8" s="221" customFormat="1" ht="15.75" x14ac:dyDescent="0.25">
      <c r="A890" s="23" t="s">
        <v>260</v>
      </c>
      <c r="B890" s="24" t="s">
        <v>259</v>
      </c>
      <c r="C890" s="24" t="s">
        <v>133</v>
      </c>
      <c r="D890" s="24"/>
      <c r="E890" s="24"/>
      <c r="F890" s="4">
        <f>F891</f>
        <v>9456</v>
      </c>
    </row>
    <row r="891" spans="1:8" s="221" customFormat="1" ht="15.75" x14ac:dyDescent="0.25">
      <c r="A891" s="23" t="s">
        <v>156</v>
      </c>
      <c r="B891" s="24" t="s">
        <v>259</v>
      </c>
      <c r="C891" s="24" t="s">
        <v>133</v>
      </c>
      <c r="D891" s="24" t="s">
        <v>910</v>
      </c>
      <c r="E891" s="24"/>
      <c r="F891" s="4">
        <f>F892</f>
        <v>9456</v>
      </c>
    </row>
    <row r="892" spans="1:8" s="221" customFormat="1" ht="31.5" x14ac:dyDescent="0.25">
      <c r="A892" s="23" t="s">
        <v>914</v>
      </c>
      <c r="B892" s="24" t="s">
        <v>259</v>
      </c>
      <c r="C892" s="24" t="s">
        <v>133</v>
      </c>
      <c r="D892" s="24" t="s">
        <v>909</v>
      </c>
      <c r="E892" s="24"/>
      <c r="F892" s="4">
        <f>F893</f>
        <v>9456</v>
      </c>
    </row>
    <row r="893" spans="1:8" s="221" customFormat="1" ht="15.75" x14ac:dyDescent="0.25">
      <c r="A893" s="25" t="s">
        <v>261</v>
      </c>
      <c r="B893" s="20" t="s">
        <v>259</v>
      </c>
      <c r="C893" s="20" t="s">
        <v>133</v>
      </c>
      <c r="D893" s="20" t="s">
        <v>926</v>
      </c>
      <c r="E893" s="20"/>
      <c r="F893" s="6">
        <f>F894</f>
        <v>9456</v>
      </c>
    </row>
    <row r="894" spans="1:8" s="221" customFormat="1" ht="18" customHeight="1" x14ac:dyDescent="0.25">
      <c r="A894" s="25" t="s">
        <v>263</v>
      </c>
      <c r="B894" s="20" t="s">
        <v>259</v>
      </c>
      <c r="C894" s="20" t="s">
        <v>133</v>
      </c>
      <c r="D894" s="20" t="s">
        <v>926</v>
      </c>
      <c r="E894" s="20" t="s">
        <v>264</v>
      </c>
      <c r="F894" s="6">
        <f>F895</f>
        <v>9456</v>
      </c>
    </row>
    <row r="895" spans="1:8" s="221" customFormat="1" ht="31.5" x14ac:dyDescent="0.25">
      <c r="A895" s="25" t="s">
        <v>265</v>
      </c>
      <c r="B895" s="20" t="s">
        <v>259</v>
      </c>
      <c r="C895" s="20" t="s">
        <v>133</v>
      </c>
      <c r="D895" s="20" t="s">
        <v>926</v>
      </c>
      <c r="E895" s="20" t="s">
        <v>266</v>
      </c>
      <c r="F895" s="6">
        <f>'Пр.4 ведом.20'!G195</f>
        <v>9456</v>
      </c>
    </row>
    <row r="896" spans="1:8" ht="15.75" x14ac:dyDescent="0.25">
      <c r="A896" s="23" t="s">
        <v>267</v>
      </c>
      <c r="B896" s="24" t="s">
        <v>259</v>
      </c>
      <c r="C896" s="24" t="s">
        <v>230</v>
      </c>
      <c r="D896" s="24"/>
      <c r="E896" s="24"/>
      <c r="F896" s="4">
        <f>F897+F924</f>
        <v>1959.2</v>
      </c>
    </row>
    <row r="897" spans="1:6" ht="47.25" x14ac:dyDescent="0.25">
      <c r="A897" s="23" t="s">
        <v>358</v>
      </c>
      <c r="B897" s="24" t="s">
        <v>259</v>
      </c>
      <c r="C897" s="24" t="s">
        <v>230</v>
      </c>
      <c r="D897" s="24" t="s">
        <v>359</v>
      </c>
      <c r="E897" s="24"/>
      <c r="F897" s="4">
        <f>F898+F903+F908+F919</f>
        <v>1949.2</v>
      </c>
    </row>
    <row r="898" spans="1:6" ht="31.5" x14ac:dyDescent="0.25">
      <c r="A898" s="23" t="s">
        <v>367</v>
      </c>
      <c r="B898" s="24" t="s">
        <v>259</v>
      </c>
      <c r="C898" s="24" t="s">
        <v>230</v>
      </c>
      <c r="D898" s="24" t="s">
        <v>368</v>
      </c>
      <c r="E898" s="24"/>
      <c r="F898" s="4">
        <f t="shared" ref="F898" si="111">F899</f>
        <v>169.20000000000002</v>
      </c>
    </row>
    <row r="899" spans="1:6" ht="30.2" customHeight="1" x14ac:dyDescent="0.25">
      <c r="A899" s="23" t="s">
        <v>974</v>
      </c>
      <c r="B899" s="24" t="s">
        <v>259</v>
      </c>
      <c r="C899" s="24" t="s">
        <v>230</v>
      </c>
      <c r="D899" s="24" t="s">
        <v>973</v>
      </c>
      <c r="E899" s="24"/>
      <c r="F899" s="4">
        <f>F900</f>
        <v>169.20000000000002</v>
      </c>
    </row>
    <row r="900" spans="1:6" ht="31.5" x14ac:dyDescent="0.25">
      <c r="A900" s="25" t="s">
        <v>867</v>
      </c>
      <c r="B900" s="20" t="s">
        <v>259</v>
      </c>
      <c r="C900" s="20" t="s">
        <v>230</v>
      </c>
      <c r="D900" s="20" t="s">
        <v>975</v>
      </c>
      <c r="E900" s="20"/>
      <c r="F900" s="6">
        <f>F901</f>
        <v>169.20000000000002</v>
      </c>
    </row>
    <row r="901" spans="1:6" ht="19.5" customHeight="1" x14ac:dyDescent="0.25">
      <c r="A901" s="25" t="s">
        <v>263</v>
      </c>
      <c r="B901" s="20" t="s">
        <v>259</v>
      </c>
      <c r="C901" s="20" t="s">
        <v>230</v>
      </c>
      <c r="D901" s="20" t="s">
        <v>975</v>
      </c>
      <c r="E901" s="20" t="s">
        <v>264</v>
      </c>
      <c r="F901" s="6">
        <f t="shared" ref="F901:F903" si="112">F902</f>
        <v>169.20000000000002</v>
      </c>
    </row>
    <row r="902" spans="1:6" ht="31.5" x14ac:dyDescent="0.25">
      <c r="A902" s="25" t="s">
        <v>265</v>
      </c>
      <c r="B902" s="20" t="s">
        <v>259</v>
      </c>
      <c r="C902" s="20" t="s">
        <v>230</v>
      </c>
      <c r="D902" s="20" t="s">
        <v>975</v>
      </c>
      <c r="E902" s="20" t="s">
        <v>266</v>
      </c>
      <c r="F902" s="6">
        <f>'Пр.4 ведом.20'!G450</f>
        <v>169.20000000000002</v>
      </c>
    </row>
    <row r="903" spans="1:6" ht="31.5" x14ac:dyDescent="0.25">
      <c r="A903" s="23" t="s">
        <v>370</v>
      </c>
      <c r="B903" s="19">
        <v>10</v>
      </c>
      <c r="C903" s="24" t="s">
        <v>230</v>
      </c>
      <c r="D903" s="24" t="s">
        <v>371</v>
      </c>
      <c r="E903" s="24"/>
      <c r="F903" s="4">
        <f t="shared" si="112"/>
        <v>420</v>
      </c>
    </row>
    <row r="904" spans="1:6" ht="31.5" x14ac:dyDescent="0.25">
      <c r="A904" s="23" t="s">
        <v>1146</v>
      </c>
      <c r="B904" s="19">
        <v>10</v>
      </c>
      <c r="C904" s="24" t="s">
        <v>230</v>
      </c>
      <c r="D904" s="24" t="s">
        <v>976</v>
      </c>
      <c r="E904" s="24"/>
      <c r="F904" s="4">
        <f>F905</f>
        <v>420</v>
      </c>
    </row>
    <row r="905" spans="1:6" ht="15.75" x14ac:dyDescent="0.25">
      <c r="A905" s="25" t="s">
        <v>1203</v>
      </c>
      <c r="B905" s="20" t="s">
        <v>259</v>
      </c>
      <c r="C905" s="20" t="s">
        <v>230</v>
      </c>
      <c r="D905" s="20" t="s">
        <v>977</v>
      </c>
      <c r="E905" s="20"/>
      <c r="F905" s="6">
        <f>F906</f>
        <v>420</v>
      </c>
    </row>
    <row r="906" spans="1:6" ht="18.75" customHeight="1" x14ac:dyDescent="0.25">
      <c r="A906" s="25" t="s">
        <v>263</v>
      </c>
      <c r="B906" s="20" t="s">
        <v>259</v>
      </c>
      <c r="C906" s="20" t="s">
        <v>230</v>
      </c>
      <c r="D906" s="20" t="s">
        <v>977</v>
      </c>
      <c r="E906" s="20" t="s">
        <v>264</v>
      </c>
      <c r="F906" s="6">
        <f>F907</f>
        <v>420</v>
      </c>
    </row>
    <row r="907" spans="1:6" ht="31.7" customHeight="1" x14ac:dyDescent="0.25">
      <c r="A907" s="25" t="s">
        <v>363</v>
      </c>
      <c r="B907" s="20" t="s">
        <v>259</v>
      </c>
      <c r="C907" s="20" t="s">
        <v>230</v>
      </c>
      <c r="D907" s="20" t="s">
        <v>977</v>
      </c>
      <c r="E907" s="20" t="s">
        <v>364</v>
      </c>
      <c r="F907" s="6">
        <f>'Пр.4 ведом.20'!G455</f>
        <v>420</v>
      </c>
    </row>
    <row r="908" spans="1:6" ht="19.5" customHeight="1" x14ac:dyDescent="0.25">
      <c r="A908" s="23" t="s">
        <v>373</v>
      </c>
      <c r="B908" s="19">
        <v>10</v>
      </c>
      <c r="C908" s="24" t="s">
        <v>230</v>
      </c>
      <c r="D908" s="24" t="s">
        <v>374</v>
      </c>
      <c r="E908" s="24"/>
      <c r="F908" s="4">
        <f>F909+F913</f>
        <v>1110</v>
      </c>
    </row>
    <row r="909" spans="1:6" ht="31.5" x14ac:dyDescent="0.25">
      <c r="A909" s="23" t="s">
        <v>1205</v>
      </c>
      <c r="B909" s="24" t="s">
        <v>259</v>
      </c>
      <c r="C909" s="24" t="s">
        <v>230</v>
      </c>
      <c r="D909" s="24" t="s">
        <v>979</v>
      </c>
      <c r="E909" s="24"/>
      <c r="F909" s="4">
        <f>F910</f>
        <v>630</v>
      </c>
    </row>
    <row r="910" spans="1:6" ht="49.7" customHeight="1" x14ac:dyDescent="0.25">
      <c r="A910" s="99" t="s">
        <v>1206</v>
      </c>
      <c r="B910" s="20" t="s">
        <v>259</v>
      </c>
      <c r="C910" s="20" t="s">
        <v>230</v>
      </c>
      <c r="D910" s="20" t="s">
        <v>980</v>
      </c>
      <c r="E910" s="20"/>
      <c r="F910" s="6">
        <f>F911</f>
        <v>630</v>
      </c>
    </row>
    <row r="911" spans="1:6" ht="20.25" customHeight="1" x14ac:dyDescent="0.25">
      <c r="A911" s="25" t="s">
        <v>263</v>
      </c>
      <c r="B911" s="20" t="s">
        <v>259</v>
      </c>
      <c r="C911" s="20" t="s">
        <v>230</v>
      </c>
      <c r="D911" s="20" t="s">
        <v>980</v>
      </c>
      <c r="E911" s="20" t="s">
        <v>264</v>
      </c>
      <c r="F911" s="6">
        <f t="shared" ref="F911" si="113">F912</f>
        <v>630</v>
      </c>
    </row>
    <row r="912" spans="1:6" ht="15.75" customHeight="1" x14ac:dyDescent="0.25">
      <c r="A912" s="25" t="s">
        <v>363</v>
      </c>
      <c r="B912" s="20" t="s">
        <v>259</v>
      </c>
      <c r="C912" s="20" t="s">
        <v>230</v>
      </c>
      <c r="D912" s="20" t="s">
        <v>980</v>
      </c>
      <c r="E912" s="20" t="s">
        <v>364</v>
      </c>
      <c r="F912" s="6">
        <f>'Пр.4 ведом.20'!G460</f>
        <v>630</v>
      </c>
    </row>
    <row r="913" spans="1:6" ht="34.5" customHeight="1" x14ac:dyDescent="0.25">
      <c r="A913" s="23" t="s">
        <v>978</v>
      </c>
      <c r="B913" s="19">
        <v>10</v>
      </c>
      <c r="C913" s="24" t="s">
        <v>230</v>
      </c>
      <c r="D913" s="24" t="s">
        <v>981</v>
      </c>
      <c r="E913" s="24"/>
      <c r="F913" s="4">
        <f>F914+F917</f>
        <v>480</v>
      </c>
    </row>
    <row r="914" spans="1:6" ht="31.5" x14ac:dyDescent="0.25">
      <c r="A914" s="25" t="s">
        <v>1147</v>
      </c>
      <c r="B914" s="20" t="s">
        <v>259</v>
      </c>
      <c r="C914" s="20" t="s">
        <v>230</v>
      </c>
      <c r="D914" s="20" t="s">
        <v>982</v>
      </c>
      <c r="E914" s="20"/>
      <c r="F914" s="6">
        <f t="shared" ref="F914:F915" si="114">F915</f>
        <v>270</v>
      </c>
    </row>
    <row r="915" spans="1:6" ht="31.5" x14ac:dyDescent="0.25">
      <c r="A915" s="25" t="s">
        <v>146</v>
      </c>
      <c r="B915" s="20" t="s">
        <v>259</v>
      </c>
      <c r="C915" s="20" t="s">
        <v>230</v>
      </c>
      <c r="D915" s="20" t="s">
        <v>982</v>
      </c>
      <c r="E915" s="20" t="s">
        <v>147</v>
      </c>
      <c r="F915" s="6">
        <f t="shared" si="114"/>
        <v>270</v>
      </c>
    </row>
    <row r="916" spans="1:6" ht="31.5" x14ac:dyDescent="0.25">
      <c r="A916" s="25" t="s">
        <v>148</v>
      </c>
      <c r="B916" s="20" t="s">
        <v>259</v>
      </c>
      <c r="C916" s="20" t="s">
        <v>230</v>
      </c>
      <c r="D916" s="20" t="s">
        <v>982</v>
      </c>
      <c r="E916" s="20" t="s">
        <v>149</v>
      </c>
      <c r="F916" s="6">
        <f>'Пр.4 ведом.20'!G464</f>
        <v>270</v>
      </c>
    </row>
    <row r="917" spans="1:6" s="221" customFormat="1" ht="31.5" x14ac:dyDescent="0.25">
      <c r="A917" s="25" t="s">
        <v>263</v>
      </c>
      <c r="B917" s="20" t="s">
        <v>259</v>
      </c>
      <c r="C917" s="20" t="s">
        <v>230</v>
      </c>
      <c r="D917" s="20" t="s">
        <v>982</v>
      </c>
      <c r="E917" s="20" t="s">
        <v>264</v>
      </c>
      <c r="F917" s="26">
        <f>F918</f>
        <v>210</v>
      </c>
    </row>
    <row r="918" spans="1:6" s="221" customFormat="1" ht="31.5" x14ac:dyDescent="0.25">
      <c r="A918" s="25" t="s">
        <v>363</v>
      </c>
      <c r="B918" s="20" t="s">
        <v>259</v>
      </c>
      <c r="C918" s="20" t="s">
        <v>230</v>
      </c>
      <c r="D918" s="20" t="s">
        <v>982</v>
      </c>
      <c r="E918" s="20" t="s">
        <v>364</v>
      </c>
      <c r="F918" s="26">
        <f>'Пр.4 ведом.20'!G466</f>
        <v>210</v>
      </c>
    </row>
    <row r="919" spans="1:6" ht="31.7" customHeight="1" x14ac:dyDescent="0.25">
      <c r="A919" s="23" t="s">
        <v>376</v>
      </c>
      <c r="B919" s="24" t="s">
        <v>259</v>
      </c>
      <c r="C919" s="24" t="s">
        <v>230</v>
      </c>
      <c r="D919" s="24" t="s">
        <v>377</v>
      </c>
      <c r="E919" s="24"/>
      <c r="F919" s="4">
        <f t="shared" ref="F919:F920" si="115">F920</f>
        <v>250</v>
      </c>
    </row>
    <row r="920" spans="1:6" ht="31.7" customHeight="1" x14ac:dyDescent="0.25">
      <c r="A920" s="23" t="s">
        <v>1208</v>
      </c>
      <c r="B920" s="24" t="s">
        <v>259</v>
      </c>
      <c r="C920" s="24" t="s">
        <v>230</v>
      </c>
      <c r="D920" s="24" t="s">
        <v>984</v>
      </c>
      <c r="E920" s="24"/>
      <c r="F920" s="4">
        <f t="shared" si="115"/>
        <v>250</v>
      </c>
    </row>
    <row r="921" spans="1:6" ht="47.25" customHeight="1" x14ac:dyDescent="0.25">
      <c r="A921" s="25" t="s">
        <v>1207</v>
      </c>
      <c r="B921" s="20" t="s">
        <v>259</v>
      </c>
      <c r="C921" s="20" t="s">
        <v>230</v>
      </c>
      <c r="D921" s="20" t="s">
        <v>983</v>
      </c>
      <c r="E921" s="20"/>
      <c r="F921" s="6">
        <f>F922</f>
        <v>250</v>
      </c>
    </row>
    <row r="922" spans="1:6" ht="19.5" customHeight="1" x14ac:dyDescent="0.25">
      <c r="A922" s="25" t="s">
        <v>263</v>
      </c>
      <c r="B922" s="20" t="s">
        <v>259</v>
      </c>
      <c r="C922" s="20" t="s">
        <v>230</v>
      </c>
      <c r="D922" s="20" t="s">
        <v>983</v>
      </c>
      <c r="E922" s="20" t="s">
        <v>264</v>
      </c>
      <c r="F922" s="6">
        <f t="shared" ref="F922" si="116">F923</f>
        <v>250</v>
      </c>
    </row>
    <row r="923" spans="1:6" ht="31.5" x14ac:dyDescent="0.25">
      <c r="A923" s="25" t="s">
        <v>363</v>
      </c>
      <c r="B923" s="20" t="s">
        <v>259</v>
      </c>
      <c r="C923" s="20" t="s">
        <v>230</v>
      </c>
      <c r="D923" s="20" t="s">
        <v>983</v>
      </c>
      <c r="E923" s="20" t="s">
        <v>364</v>
      </c>
      <c r="F923" s="6">
        <f>'Пр.4 ведом.20'!G471</f>
        <v>250</v>
      </c>
    </row>
    <row r="924" spans="1:6" ht="78" customHeight="1" x14ac:dyDescent="0.25">
      <c r="A924" s="23" t="s">
        <v>268</v>
      </c>
      <c r="B924" s="24" t="s">
        <v>259</v>
      </c>
      <c r="C924" s="24" t="s">
        <v>230</v>
      </c>
      <c r="D924" s="24" t="s">
        <v>269</v>
      </c>
      <c r="E924" s="24"/>
      <c r="F924" s="4">
        <f t="shared" ref="F924:F926" si="117">F925</f>
        <v>10</v>
      </c>
    </row>
    <row r="925" spans="1:6" ht="47.25" x14ac:dyDescent="0.25">
      <c r="A925" s="23" t="s">
        <v>929</v>
      </c>
      <c r="B925" s="24" t="s">
        <v>259</v>
      </c>
      <c r="C925" s="24" t="s">
        <v>230</v>
      </c>
      <c r="D925" s="24" t="s">
        <v>927</v>
      </c>
      <c r="E925" s="24"/>
      <c r="F925" s="4">
        <f t="shared" si="117"/>
        <v>10</v>
      </c>
    </row>
    <row r="926" spans="1:6" ht="31.5" x14ac:dyDescent="0.25">
      <c r="A926" s="25" t="s">
        <v>928</v>
      </c>
      <c r="B926" s="20" t="s">
        <v>259</v>
      </c>
      <c r="C926" s="20" t="s">
        <v>230</v>
      </c>
      <c r="D926" s="20" t="s">
        <v>1474</v>
      </c>
      <c r="E926" s="20"/>
      <c r="F926" s="6">
        <f t="shared" si="117"/>
        <v>10</v>
      </c>
    </row>
    <row r="927" spans="1:6" ht="19.5" customHeight="1" x14ac:dyDescent="0.25">
      <c r="A927" s="25" t="s">
        <v>263</v>
      </c>
      <c r="B927" s="20" t="s">
        <v>259</v>
      </c>
      <c r="C927" s="20" t="s">
        <v>230</v>
      </c>
      <c r="D927" s="20" t="s">
        <v>1474</v>
      </c>
      <c r="E927" s="20" t="s">
        <v>264</v>
      </c>
      <c r="F927" s="6">
        <v>10</v>
      </c>
    </row>
    <row r="928" spans="1:6" ht="31.5" x14ac:dyDescent="0.25">
      <c r="A928" s="25" t="s">
        <v>265</v>
      </c>
      <c r="B928" s="20" t="s">
        <v>259</v>
      </c>
      <c r="C928" s="20" t="s">
        <v>230</v>
      </c>
      <c r="D928" s="20" t="s">
        <v>1474</v>
      </c>
      <c r="E928" s="20" t="s">
        <v>266</v>
      </c>
      <c r="F928" s="6">
        <f>'Пр.4 ведом.20'!G201</f>
        <v>10</v>
      </c>
    </row>
    <row r="929" spans="1:6" s="221" customFormat="1" ht="15.75" x14ac:dyDescent="0.25">
      <c r="A929" s="23" t="s">
        <v>415</v>
      </c>
      <c r="B929" s="24" t="s">
        <v>259</v>
      </c>
      <c r="C929" s="24" t="s">
        <v>165</v>
      </c>
      <c r="D929" s="24"/>
      <c r="E929" s="24"/>
      <c r="F929" s="4">
        <f>F930</f>
        <v>1431.2</v>
      </c>
    </row>
    <row r="930" spans="1:6" s="221" customFormat="1" ht="31.5" x14ac:dyDescent="0.25">
      <c r="A930" s="23" t="s">
        <v>930</v>
      </c>
      <c r="B930" s="24" t="s">
        <v>259</v>
      </c>
      <c r="C930" s="24" t="s">
        <v>165</v>
      </c>
      <c r="D930" s="24" t="s">
        <v>907</v>
      </c>
      <c r="E930" s="20"/>
      <c r="F930" s="21">
        <f>F931</f>
        <v>1431.2</v>
      </c>
    </row>
    <row r="931" spans="1:6" s="221" customFormat="1" ht="47.25" x14ac:dyDescent="0.25">
      <c r="A931" s="25" t="s">
        <v>1415</v>
      </c>
      <c r="B931" s="20" t="s">
        <v>259</v>
      </c>
      <c r="C931" s="20" t="s">
        <v>165</v>
      </c>
      <c r="D931" s="20" t="s">
        <v>1414</v>
      </c>
      <c r="E931" s="20"/>
      <c r="F931" s="26">
        <f>F932</f>
        <v>1431.2</v>
      </c>
    </row>
    <row r="932" spans="1:6" s="221" customFormat="1" ht="31.5" x14ac:dyDescent="0.25">
      <c r="A932" s="25" t="s">
        <v>146</v>
      </c>
      <c r="B932" s="20" t="s">
        <v>259</v>
      </c>
      <c r="C932" s="20" t="s">
        <v>165</v>
      </c>
      <c r="D932" s="20" t="s">
        <v>1414</v>
      </c>
      <c r="E932" s="20" t="s">
        <v>147</v>
      </c>
      <c r="F932" s="26">
        <f>F933</f>
        <v>1431.2</v>
      </c>
    </row>
    <row r="933" spans="1:6" s="221" customFormat="1" ht="31.5" x14ac:dyDescent="0.25">
      <c r="A933" s="25" t="s">
        <v>148</v>
      </c>
      <c r="B933" s="20" t="s">
        <v>259</v>
      </c>
      <c r="C933" s="20" t="s">
        <v>165</v>
      </c>
      <c r="D933" s="20" t="s">
        <v>1414</v>
      </c>
      <c r="E933" s="20" t="s">
        <v>149</v>
      </c>
      <c r="F933" s="26">
        <f>'Пр.4 ведом.20'!G539</f>
        <v>1431.2</v>
      </c>
    </row>
    <row r="934" spans="1:6" s="221" customFormat="1" ht="15.75" x14ac:dyDescent="0.25">
      <c r="A934" s="23" t="s">
        <v>273</v>
      </c>
      <c r="B934" s="24" t="s">
        <v>259</v>
      </c>
      <c r="C934" s="24" t="s">
        <v>135</v>
      </c>
      <c r="D934" s="24"/>
      <c r="E934" s="24"/>
      <c r="F934" s="4">
        <f>F935+F942</f>
        <v>3736</v>
      </c>
    </row>
    <row r="935" spans="1:6" s="221" customFormat="1" ht="31.5" x14ac:dyDescent="0.25">
      <c r="A935" s="23" t="s">
        <v>988</v>
      </c>
      <c r="B935" s="24" t="s">
        <v>259</v>
      </c>
      <c r="C935" s="24" t="s">
        <v>135</v>
      </c>
      <c r="D935" s="24" t="s">
        <v>902</v>
      </c>
      <c r="E935" s="24"/>
      <c r="F935" s="4">
        <f>F936</f>
        <v>3621.4</v>
      </c>
    </row>
    <row r="936" spans="1:6" ht="31.5" x14ac:dyDescent="0.25">
      <c r="A936" s="23" t="s">
        <v>930</v>
      </c>
      <c r="B936" s="24" t="s">
        <v>259</v>
      </c>
      <c r="C936" s="24" t="s">
        <v>135</v>
      </c>
      <c r="D936" s="24" t="s">
        <v>907</v>
      </c>
      <c r="E936" s="24"/>
      <c r="F936" s="4">
        <f>F937</f>
        <v>3621.4</v>
      </c>
    </row>
    <row r="937" spans="1:6" ht="43.5" customHeight="1" x14ac:dyDescent="0.25">
      <c r="A937" s="31" t="s">
        <v>274</v>
      </c>
      <c r="B937" s="20" t="s">
        <v>259</v>
      </c>
      <c r="C937" s="20" t="s">
        <v>135</v>
      </c>
      <c r="D937" s="20" t="s">
        <v>996</v>
      </c>
      <c r="E937" s="20"/>
      <c r="F937" s="6">
        <f>F938+F940</f>
        <v>3621.4</v>
      </c>
    </row>
    <row r="938" spans="1:6" ht="78.75" x14ac:dyDescent="0.25">
      <c r="A938" s="25" t="s">
        <v>142</v>
      </c>
      <c r="B938" s="20" t="s">
        <v>259</v>
      </c>
      <c r="C938" s="20" t="s">
        <v>135</v>
      </c>
      <c r="D938" s="20" t="s">
        <v>996</v>
      </c>
      <c r="E938" s="20" t="s">
        <v>143</v>
      </c>
      <c r="F938" s="6">
        <f t="shared" ref="F938" si="118">F939</f>
        <v>3220.8</v>
      </c>
    </row>
    <row r="939" spans="1:6" ht="31.5" x14ac:dyDescent="0.25">
      <c r="A939" s="25" t="s">
        <v>144</v>
      </c>
      <c r="B939" s="20" t="s">
        <v>259</v>
      </c>
      <c r="C939" s="20" t="s">
        <v>135</v>
      </c>
      <c r="D939" s="20" t="s">
        <v>996</v>
      </c>
      <c r="E939" s="20" t="s">
        <v>145</v>
      </c>
      <c r="F939" s="6">
        <f>'Пр.4 ведом.20'!G207</f>
        <v>3220.8</v>
      </c>
    </row>
    <row r="940" spans="1:6" ht="32.25" customHeight="1" x14ac:dyDescent="0.25">
      <c r="A940" s="25" t="s">
        <v>146</v>
      </c>
      <c r="B940" s="20" t="s">
        <v>259</v>
      </c>
      <c r="C940" s="20" t="s">
        <v>135</v>
      </c>
      <c r="D940" s="20" t="s">
        <v>996</v>
      </c>
      <c r="E940" s="20" t="s">
        <v>147</v>
      </c>
      <c r="F940" s="6">
        <f t="shared" ref="F940" si="119">F941</f>
        <v>400.6</v>
      </c>
    </row>
    <row r="941" spans="1:6" ht="31.7" customHeight="1" x14ac:dyDescent="0.25">
      <c r="A941" s="25" t="s">
        <v>148</v>
      </c>
      <c r="B941" s="20" t="s">
        <v>259</v>
      </c>
      <c r="C941" s="20" t="s">
        <v>135</v>
      </c>
      <c r="D941" s="20" t="s">
        <v>996</v>
      </c>
      <c r="E941" s="20" t="s">
        <v>149</v>
      </c>
      <c r="F941" s="6">
        <f>'Пр.4 ведом.20'!G209</f>
        <v>400.6</v>
      </c>
    </row>
    <row r="942" spans="1:6" s="221" customFormat="1" ht="15" customHeight="1" x14ac:dyDescent="0.25">
      <c r="A942" s="23" t="s">
        <v>156</v>
      </c>
      <c r="B942" s="24" t="s">
        <v>259</v>
      </c>
      <c r="C942" s="24" t="s">
        <v>135</v>
      </c>
      <c r="D942" s="24" t="s">
        <v>910</v>
      </c>
      <c r="E942" s="24"/>
      <c r="F942" s="4">
        <f>F943</f>
        <v>114.6</v>
      </c>
    </row>
    <row r="943" spans="1:6" ht="37.5" customHeight="1" x14ac:dyDescent="0.25">
      <c r="A943" s="23" t="s">
        <v>914</v>
      </c>
      <c r="B943" s="24" t="s">
        <v>259</v>
      </c>
      <c r="C943" s="24" t="s">
        <v>135</v>
      </c>
      <c r="D943" s="24" t="s">
        <v>909</v>
      </c>
      <c r="E943" s="24"/>
      <c r="F943" s="4">
        <f>F944</f>
        <v>114.6</v>
      </c>
    </row>
    <row r="944" spans="1:6" ht="15.75" customHeight="1" x14ac:dyDescent="0.25">
      <c r="A944" s="25" t="s">
        <v>587</v>
      </c>
      <c r="B944" s="20" t="s">
        <v>259</v>
      </c>
      <c r="C944" s="20" t="s">
        <v>135</v>
      </c>
      <c r="D944" s="20" t="s">
        <v>1131</v>
      </c>
      <c r="E944" s="20"/>
      <c r="F944" s="6">
        <f>F945</f>
        <v>114.6</v>
      </c>
    </row>
    <row r="945" spans="1:10" ht="31.7" customHeight="1" x14ac:dyDescent="0.25">
      <c r="A945" s="25" t="s">
        <v>146</v>
      </c>
      <c r="B945" s="20" t="s">
        <v>259</v>
      </c>
      <c r="C945" s="20" t="s">
        <v>135</v>
      </c>
      <c r="D945" s="20" t="s">
        <v>1131</v>
      </c>
      <c r="E945" s="20" t="s">
        <v>147</v>
      </c>
      <c r="F945" s="6">
        <f>F946</f>
        <v>114.6</v>
      </c>
    </row>
    <row r="946" spans="1:10" ht="35.450000000000003" customHeight="1" x14ac:dyDescent="0.25">
      <c r="A946" s="25" t="s">
        <v>148</v>
      </c>
      <c r="B946" s="20" t="s">
        <v>259</v>
      </c>
      <c r="C946" s="20" t="s">
        <v>135</v>
      </c>
      <c r="D946" s="20" t="s">
        <v>1131</v>
      </c>
      <c r="E946" s="20" t="s">
        <v>149</v>
      </c>
      <c r="F946" s="6">
        <f>'Пр.4 ведом.20'!G1101</f>
        <v>114.6</v>
      </c>
    </row>
    <row r="947" spans="1:10" ht="15.75" x14ac:dyDescent="0.25">
      <c r="A947" s="41" t="s">
        <v>505</v>
      </c>
      <c r="B947" s="7" t="s">
        <v>506</v>
      </c>
      <c r="C947" s="40"/>
      <c r="D947" s="40"/>
      <c r="E947" s="40"/>
      <c r="F947" s="4">
        <f>F948+F1005</f>
        <v>66064.7304</v>
      </c>
      <c r="H947" s="22"/>
    </row>
    <row r="948" spans="1:10" ht="15.75" x14ac:dyDescent="0.25">
      <c r="A948" s="23" t="s">
        <v>507</v>
      </c>
      <c r="B948" s="24" t="s">
        <v>506</v>
      </c>
      <c r="C948" s="24" t="s">
        <v>133</v>
      </c>
      <c r="D948" s="20"/>
      <c r="E948" s="20"/>
      <c r="F948" s="4">
        <f>F953+F1000+F949</f>
        <v>52846.530400000003</v>
      </c>
      <c r="G948" s="22"/>
      <c r="H948" s="22"/>
      <c r="I948" s="22"/>
      <c r="J948" s="22"/>
    </row>
    <row r="949" spans="1:10" s="221" customFormat="1" ht="47.25" hidden="1" x14ac:dyDescent="0.25">
      <c r="A949" s="23" t="s">
        <v>1169</v>
      </c>
      <c r="B949" s="24" t="s">
        <v>506</v>
      </c>
      <c r="C949" s="24" t="s">
        <v>133</v>
      </c>
      <c r="D949" s="24" t="s">
        <v>1114</v>
      </c>
      <c r="E949" s="20"/>
      <c r="F949" s="4">
        <f>F950</f>
        <v>0</v>
      </c>
      <c r="G949" s="22"/>
      <c r="H949" s="22"/>
      <c r="I949" s="22"/>
      <c r="J949" s="22"/>
    </row>
    <row r="950" spans="1:10" s="221" customFormat="1" ht="47.25" hidden="1" x14ac:dyDescent="0.25">
      <c r="A950" s="25" t="s">
        <v>1509</v>
      </c>
      <c r="B950" s="20" t="s">
        <v>506</v>
      </c>
      <c r="C950" s="20" t="s">
        <v>133</v>
      </c>
      <c r="D950" s="20" t="s">
        <v>1508</v>
      </c>
      <c r="E950" s="20"/>
      <c r="F950" s="6">
        <f>F951</f>
        <v>0</v>
      </c>
      <c r="G950" s="22"/>
      <c r="H950" s="22"/>
      <c r="I950" s="22"/>
      <c r="J950" s="22"/>
    </row>
    <row r="951" spans="1:10" s="221" customFormat="1" ht="31.5" hidden="1" x14ac:dyDescent="0.25">
      <c r="A951" s="25" t="s">
        <v>146</v>
      </c>
      <c r="B951" s="20" t="s">
        <v>506</v>
      </c>
      <c r="C951" s="20" t="s">
        <v>133</v>
      </c>
      <c r="D951" s="20" t="s">
        <v>1508</v>
      </c>
      <c r="E951" s="20" t="s">
        <v>147</v>
      </c>
      <c r="F951" s="6">
        <f>F952</f>
        <v>0</v>
      </c>
      <c r="G951" s="22"/>
      <c r="H951" s="22"/>
      <c r="I951" s="22"/>
      <c r="J951" s="22"/>
    </row>
    <row r="952" spans="1:10" s="221" customFormat="1" ht="31.5" hidden="1" x14ac:dyDescent="0.25">
      <c r="A952" s="25" t="s">
        <v>148</v>
      </c>
      <c r="B952" s="20" t="s">
        <v>506</v>
      </c>
      <c r="C952" s="20" t="s">
        <v>133</v>
      </c>
      <c r="D952" s="20" t="s">
        <v>1508</v>
      </c>
      <c r="E952" s="20" t="s">
        <v>149</v>
      </c>
      <c r="F952" s="6">
        <f>'Пр.4 ведом.20'!G795</f>
        <v>0</v>
      </c>
      <c r="G952" s="22"/>
      <c r="H952" s="22"/>
      <c r="I952" s="22"/>
      <c r="J952" s="22"/>
    </row>
    <row r="953" spans="1:10" ht="47.25" x14ac:dyDescent="0.25">
      <c r="A953" s="23" t="s">
        <v>496</v>
      </c>
      <c r="B953" s="24" t="s">
        <v>506</v>
      </c>
      <c r="C953" s="24" t="s">
        <v>133</v>
      </c>
      <c r="D953" s="24" t="s">
        <v>497</v>
      </c>
      <c r="E953" s="24"/>
      <c r="F953" s="4">
        <f t="shared" ref="F953" si="120">F954</f>
        <v>52306.430400000005</v>
      </c>
      <c r="H953" s="22"/>
    </row>
    <row r="954" spans="1:10" ht="47.25" x14ac:dyDescent="0.25">
      <c r="A954" s="23" t="s">
        <v>508</v>
      </c>
      <c r="B954" s="24" t="s">
        <v>506</v>
      </c>
      <c r="C954" s="24" t="s">
        <v>133</v>
      </c>
      <c r="D954" s="24" t="s">
        <v>509</v>
      </c>
      <c r="E954" s="24"/>
      <c r="F954" s="4">
        <f>F955+F965+F975+F982+F989+F993</f>
        <v>52306.430400000005</v>
      </c>
      <c r="H954" s="22"/>
    </row>
    <row r="955" spans="1:10" ht="31.5" x14ac:dyDescent="0.25">
      <c r="A955" s="23" t="s">
        <v>1026</v>
      </c>
      <c r="B955" s="24" t="s">
        <v>506</v>
      </c>
      <c r="C955" s="24" t="s">
        <v>133</v>
      </c>
      <c r="D955" s="24" t="s">
        <v>1059</v>
      </c>
      <c r="E955" s="24"/>
      <c r="F955" s="4">
        <f>F956+F959+F962</f>
        <v>44780.4</v>
      </c>
    </row>
    <row r="956" spans="1:10" ht="47.25" x14ac:dyDescent="0.25">
      <c r="A956" s="25" t="s">
        <v>835</v>
      </c>
      <c r="B956" s="20" t="s">
        <v>506</v>
      </c>
      <c r="C956" s="20" t="s">
        <v>133</v>
      </c>
      <c r="D956" s="20" t="s">
        <v>1069</v>
      </c>
      <c r="E956" s="20"/>
      <c r="F956" s="6">
        <f>F957</f>
        <v>12963.2</v>
      </c>
    </row>
    <row r="957" spans="1:10" ht="31.5" x14ac:dyDescent="0.25">
      <c r="A957" s="25" t="s">
        <v>287</v>
      </c>
      <c r="B957" s="20" t="s">
        <v>506</v>
      </c>
      <c r="C957" s="20" t="s">
        <v>133</v>
      </c>
      <c r="D957" s="20" t="s">
        <v>1069</v>
      </c>
      <c r="E957" s="20" t="s">
        <v>288</v>
      </c>
      <c r="F957" s="6">
        <f>F958</f>
        <v>12963.2</v>
      </c>
    </row>
    <row r="958" spans="1:10" ht="15.75" x14ac:dyDescent="0.25">
      <c r="A958" s="25" t="s">
        <v>289</v>
      </c>
      <c r="B958" s="20" t="s">
        <v>506</v>
      </c>
      <c r="C958" s="20" t="s">
        <v>133</v>
      </c>
      <c r="D958" s="20" t="s">
        <v>1069</v>
      </c>
      <c r="E958" s="20" t="s">
        <v>290</v>
      </c>
      <c r="F958" s="6">
        <f>'Пр.4 ведом.20'!G801</f>
        <v>12963.2</v>
      </c>
      <c r="H958" s="22"/>
    </row>
    <row r="959" spans="1:10" ht="47.25" x14ac:dyDescent="0.25">
      <c r="A959" s="25" t="s">
        <v>856</v>
      </c>
      <c r="B959" s="20" t="s">
        <v>506</v>
      </c>
      <c r="C959" s="20" t="s">
        <v>133</v>
      </c>
      <c r="D959" s="20" t="s">
        <v>1070</v>
      </c>
      <c r="E959" s="20"/>
      <c r="F959" s="6">
        <f>F960</f>
        <v>13290.199999999999</v>
      </c>
      <c r="H959" s="22"/>
    </row>
    <row r="960" spans="1:10" ht="31.5" x14ac:dyDescent="0.25">
      <c r="A960" s="25" t="s">
        <v>287</v>
      </c>
      <c r="B960" s="20" t="s">
        <v>506</v>
      </c>
      <c r="C960" s="20" t="s">
        <v>133</v>
      </c>
      <c r="D960" s="20" t="s">
        <v>1070</v>
      </c>
      <c r="E960" s="20" t="s">
        <v>288</v>
      </c>
      <c r="F960" s="6">
        <f>F961</f>
        <v>13290.199999999999</v>
      </c>
      <c r="H960" s="22"/>
    </row>
    <row r="961" spans="1:8" ht="15.75" x14ac:dyDescent="0.25">
      <c r="A961" s="25" t="s">
        <v>289</v>
      </c>
      <c r="B961" s="20" t="s">
        <v>506</v>
      </c>
      <c r="C961" s="20" t="s">
        <v>133</v>
      </c>
      <c r="D961" s="20" t="s">
        <v>1070</v>
      </c>
      <c r="E961" s="20" t="s">
        <v>290</v>
      </c>
      <c r="F961" s="6">
        <f>'Пр.4 ведом.20'!G804</f>
        <v>13290.199999999999</v>
      </c>
      <c r="H961" s="22"/>
    </row>
    <row r="962" spans="1:8" ht="47.25" x14ac:dyDescent="0.25">
      <c r="A962" s="25" t="s">
        <v>857</v>
      </c>
      <c r="B962" s="20" t="s">
        <v>506</v>
      </c>
      <c r="C962" s="20" t="s">
        <v>133</v>
      </c>
      <c r="D962" s="20" t="s">
        <v>1071</v>
      </c>
      <c r="E962" s="20"/>
      <c r="F962" s="6">
        <f>F963</f>
        <v>18527</v>
      </c>
      <c r="H962" s="22"/>
    </row>
    <row r="963" spans="1:8" ht="31.5" x14ac:dyDescent="0.25">
      <c r="A963" s="25" t="s">
        <v>287</v>
      </c>
      <c r="B963" s="20" t="s">
        <v>506</v>
      </c>
      <c r="C963" s="20" t="s">
        <v>133</v>
      </c>
      <c r="D963" s="20" t="s">
        <v>1071</v>
      </c>
      <c r="E963" s="20" t="s">
        <v>288</v>
      </c>
      <c r="F963" s="6">
        <f>F964</f>
        <v>18527</v>
      </c>
      <c r="H963" s="22"/>
    </row>
    <row r="964" spans="1:8" ht="15.75" x14ac:dyDescent="0.25">
      <c r="A964" s="25" t="s">
        <v>289</v>
      </c>
      <c r="B964" s="20" t="s">
        <v>506</v>
      </c>
      <c r="C964" s="20" t="s">
        <v>133</v>
      </c>
      <c r="D964" s="20" t="s">
        <v>1071</v>
      </c>
      <c r="E964" s="20" t="s">
        <v>290</v>
      </c>
      <c r="F964" s="6">
        <f>'Пр.4 ведом.20'!G807</f>
        <v>18527</v>
      </c>
      <c r="H964" s="22"/>
    </row>
    <row r="965" spans="1:8" ht="31.5" x14ac:dyDescent="0.25">
      <c r="A965" s="23" t="s">
        <v>1072</v>
      </c>
      <c r="B965" s="24" t="s">
        <v>506</v>
      </c>
      <c r="C965" s="24" t="s">
        <v>133</v>
      </c>
      <c r="D965" s="24" t="s">
        <v>1073</v>
      </c>
      <c r="E965" s="24"/>
      <c r="F965" s="4">
        <f>F966+F969+F972</f>
        <v>36</v>
      </c>
    </row>
    <row r="966" spans="1:8" ht="31.5" hidden="1" x14ac:dyDescent="0.25">
      <c r="A966" s="25" t="s">
        <v>293</v>
      </c>
      <c r="B966" s="20" t="s">
        <v>506</v>
      </c>
      <c r="C966" s="20" t="s">
        <v>133</v>
      </c>
      <c r="D966" s="20" t="s">
        <v>1077</v>
      </c>
      <c r="E966" s="20"/>
      <c r="F966" s="6">
        <f t="shared" ref="F966" si="121">F967</f>
        <v>0</v>
      </c>
    </row>
    <row r="967" spans="1:8" ht="31.5" hidden="1" x14ac:dyDescent="0.25">
      <c r="A967" s="25" t="s">
        <v>287</v>
      </c>
      <c r="B967" s="20" t="s">
        <v>506</v>
      </c>
      <c r="C967" s="20" t="s">
        <v>133</v>
      </c>
      <c r="D967" s="20" t="s">
        <v>1077</v>
      </c>
      <c r="E967" s="20" t="s">
        <v>288</v>
      </c>
      <c r="F967" s="6">
        <f>'Пр.4 ведом.20'!G811</f>
        <v>0</v>
      </c>
    </row>
    <row r="968" spans="1:8" ht="20.25" hidden="1" customHeight="1" x14ac:dyDescent="0.25">
      <c r="A968" s="25" t="s">
        <v>289</v>
      </c>
      <c r="B968" s="20" t="s">
        <v>506</v>
      </c>
      <c r="C968" s="20" t="s">
        <v>133</v>
      </c>
      <c r="D968" s="20" t="s">
        <v>1077</v>
      </c>
      <c r="E968" s="20" t="s">
        <v>290</v>
      </c>
      <c r="F968" s="6">
        <f>'Пр.4 ведом.20'!G811</f>
        <v>0</v>
      </c>
    </row>
    <row r="969" spans="1:8" ht="33" hidden="1" customHeight="1" x14ac:dyDescent="0.25">
      <c r="A969" s="25" t="s">
        <v>295</v>
      </c>
      <c r="B969" s="20" t="s">
        <v>506</v>
      </c>
      <c r="C969" s="20" t="s">
        <v>133</v>
      </c>
      <c r="D969" s="20" t="s">
        <v>1078</v>
      </c>
      <c r="E969" s="20"/>
      <c r="F969" s="6">
        <f t="shared" ref="F969" si="122">F970</f>
        <v>0</v>
      </c>
    </row>
    <row r="970" spans="1:8" ht="37.5" hidden="1" customHeight="1" x14ac:dyDescent="0.25">
      <c r="A970" s="25" t="s">
        <v>287</v>
      </c>
      <c r="B970" s="20" t="s">
        <v>506</v>
      </c>
      <c r="C970" s="20" t="s">
        <v>133</v>
      </c>
      <c r="D970" s="20" t="s">
        <v>1078</v>
      </c>
      <c r="E970" s="20" t="s">
        <v>288</v>
      </c>
      <c r="F970" s="6">
        <f>'Пр.4 ведом.20'!G814</f>
        <v>0</v>
      </c>
    </row>
    <row r="971" spans="1:8" s="221" customFormat="1" ht="15.75" hidden="1" customHeight="1" x14ac:dyDescent="0.25">
      <c r="A971" s="25" t="s">
        <v>289</v>
      </c>
      <c r="B971" s="20" t="s">
        <v>506</v>
      </c>
      <c r="C971" s="20" t="s">
        <v>133</v>
      </c>
      <c r="D971" s="20" t="s">
        <v>1078</v>
      </c>
      <c r="E971" s="20" t="s">
        <v>290</v>
      </c>
      <c r="F971" s="6">
        <f>'Пр.4 ведом.20'!G814</f>
        <v>0</v>
      </c>
    </row>
    <row r="972" spans="1:8" s="221" customFormat="1" ht="20.25" customHeight="1" x14ac:dyDescent="0.25">
      <c r="A972" s="25" t="s">
        <v>874</v>
      </c>
      <c r="B972" s="20" t="s">
        <v>506</v>
      </c>
      <c r="C972" s="20" t="s">
        <v>133</v>
      </c>
      <c r="D972" s="20" t="s">
        <v>1079</v>
      </c>
      <c r="E972" s="20"/>
      <c r="F972" s="6">
        <f>F973</f>
        <v>36</v>
      </c>
    </row>
    <row r="973" spans="1:8" s="221" customFormat="1" ht="33" customHeight="1" x14ac:dyDescent="0.25">
      <c r="A973" s="25" t="s">
        <v>287</v>
      </c>
      <c r="B973" s="20" t="s">
        <v>506</v>
      </c>
      <c r="C973" s="20" t="s">
        <v>133</v>
      </c>
      <c r="D973" s="20" t="s">
        <v>1079</v>
      </c>
      <c r="E973" s="20" t="s">
        <v>288</v>
      </c>
      <c r="F973" s="6">
        <f>'Пр.4 ведом.20'!G817</f>
        <v>36</v>
      </c>
    </row>
    <row r="974" spans="1:8" ht="20.25" customHeight="1" x14ac:dyDescent="0.25">
      <c r="A974" s="25" t="s">
        <v>289</v>
      </c>
      <c r="B974" s="20" t="s">
        <v>506</v>
      </c>
      <c r="C974" s="20" t="s">
        <v>133</v>
      </c>
      <c r="D974" s="20" t="s">
        <v>1079</v>
      </c>
      <c r="E974" s="20" t="s">
        <v>290</v>
      </c>
      <c r="F974" s="6">
        <f>'Пр.4 ведом.20'!G817</f>
        <v>36</v>
      </c>
    </row>
    <row r="975" spans="1:8" ht="47.25" customHeight="1" x14ac:dyDescent="0.25">
      <c r="A975" s="23" t="s">
        <v>1074</v>
      </c>
      <c r="B975" s="24" t="s">
        <v>506</v>
      </c>
      <c r="C975" s="24" t="s">
        <v>133</v>
      </c>
      <c r="D975" s="24" t="s">
        <v>1076</v>
      </c>
      <c r="E975" s="24"/>
      <c r="F975" s="4">
        <f>F976+F979</f>
        <v>1205.8</v>
      </c>
    </row>
    <row r="976" spans="1:8" ht="39.200000000000003" hidden="1" customHeight="1" x14ac:dyDescent="0.25">
      <c r="A976" s="25" t="s">
        <v>815</v>
      </c>
      <c r="B976" s="20" t="s">
        <v>506</v>
      </c>
      <c r="C976" s="20" t="s">
        <v>133</v>
      </c>
      <c r="D976" s="20" t="s">
        <v>1080</v>
      </c>
      <c r="E976" s="20"/>
      <c r="F976" s="6">
        <f>'Пр.4 ведом.20'!G821</f>
        <v>0</v>
      </c>
    </row>
    <row r="977" spans="1:6" ht="40.700000000000003" hidden="1" customHeight="1" x14ac:dyDescent="0.25">
      <c r="A977" s="25" t="s">
        <v>287</v>
      </c>
      <c r="B977" s="20" t="s">
        <v>506</v>
      </c>
      <c r="C977" s="20" t="s">
        <v>133</v>
      </c>
      <c r="D977" s="20" t="s">
        <v>1080</v>
      </c>
      <c r="E977" s="20" t="s">
        <v>288</v>
      </c>
      <c r="F977" s="6">
        <f t="shared" ref="F977" si="123">F978</f>
        <v>0</v>
      </c>
    </row>
    <row r="978" spans="1:6" ht="15.75" hidden="1" customHeight="1" x14ac:dyDescent="0.25">
      <c r="A978" s="25" t="s">
        <v>289</v>
      </c>
      <c r="B978" s="20" t="s">
        <v>506</v>
      </c>
      <c r="C978" s="20" t="s">
        <v>133</v>
      </c>
      <c r="D978" s="20" t="s">
        <v>1080</v>
      </c>
      <c r="E978" s="20" t="s">
        <v>290</v>
      </c>
      <c r="F978" s="6">
        <f>'Пр.4 ведом.20'!G821</f>
        <v>0</v>
      </c>
    </row>
    <row r="979" spans="1:6" ht="34.5" customHeight="1" x14ac:dyDescent="0.25">
      <c r="A979" s="45" t="s">
        <v>785</v>
      </c>
      <c r="B979" s="20" t="s">
        <v>506</v>
      </c>
      <c r="C979" s="20" t="s">
        <v>133</v>
      </c>
      <c r="D979" s="20" t="s">
        <v>1081</v>
      </c>
      <c r="E979" s="20"/>
      <c r="F979" s="6">
        <f>'Пр.4 ведом.20'!G824</f>
        <v>1205.8</v>
      </c>
    </row>
    <row r="980" spans="1:6" ht="39.75" customHeight="1" x14ac:dyDescent="0.25">
      <c r="A980" s="31" t="s">
        <v>287</v>
      </c>
      <c r="B980" s="20" t="s">
        <v>506</v>
      </c>
      <c r="C980" s="20" t="s">
        <v>133</v>
      </c>
      <c r="D980" s="20" t="s">
        <v>1081</v>
      </c>
      <c r="E980" s="20" t="s">
        <v>288</v>
      </c>
      <c r="F980" s="6">
        <f>F981</f>
        <v>1205.8</v>
      </c>
    </row>
    <row r="981" spans="1:6" ht="15.75" x14ac:dyDescent="0.25">
      <c r="A981" s="31" t="s">
        <v>289</v>
      </c>
      <c r="B981" s="20" t="s">
        <v>506</v>
      </c>
      <c r="C981" s="20" t="s">
        <v>133</v>
      </c>
      <c r="D981" s="20" t="s">
        <v>1081</v>
      </c>
      <c r="E981" s="20" t="s">
        <v>290</v>
      </c>
      <c r="F981" s="6">
        <f>'Пр.4 ведом.20'!G824</f>
        <v>1205.8</v>
      </c>
    </row>
    <row r="982" spans="1:6" ht="47.25" x14ac:dyDescent="0.25">
      <c r="A982" s="23" t="s">
        <v>969</v>
      </c>
      <c r="B982" s="24" t="s">
        <v>506</v>
      </c>
      <c r="C982" s="24" t="s">
        <v>133</v>
      </c>
      <c r="D982" s="24" t="s">
        <v>1082</v>
      </c>
      <c r="E982" s="24"/>
      <c r="F982" s="4">
        <f>F986+F983</f>
        <v>813.5</v>
      </c>
    </row>
    <row r="983" spans="1:6" s="361" customFormat="1" ht="94.5" x14ac:dyDescent="0.25">
      <c r="A983" s="31" t="s">
        <v>308</v>
      </c>
      <c r="B983" s="368" t="s">
        <v>506</v>
      </c>
      <c r="C983" s="368" t="s">
        <v>133</v>
      </c>
      <c r="D983" s="368" t="s">
        <v>1525</v>
      </c>
      <c r="E983" s="368"/>
      <c r="F983" s="6">
        <f>F984</f>
        <v>813.5</v>
      </c>
    </row>
    <row r="984" spans="1:6" s="361" customFormat="1" ht="31.5" x14ac:dyDescent="0.25">
      <c r="A984" s="372" t="s">
        <v>287</v>
      </c>
      <c r="B984" s="368" t="s">
        <v>506</v>
      </c>
      <c r="C984" s="368" t="s">
        <v>133</v>
      </c>
      <c r="D984" s="368" t="s">
        <v>1525</v>
      </c>
      <c r="E984" s="368" t="s">
        <v>288</v>
      </c>
      <c r="F984" s="6">
        <f>F985</f>
        <v>813.5</v>
      </c>
    </row>
    <row r="985" spans="1:6" s="361" customFormat="1" ht="15.75" x14ac:dyDescent="0.25">
      <c r="A985" s="372" t="s">
        <v>289</v>
      </c>
      <c r="B985" s="368" t="s">
        <v>506</v>
      </c>
      <c r="C985" s="368" t="s">
        <v>133</v>
      </c>
      <c r="D985" s="368" t="s">
        <v>1525</v>
      </c>
      <c r="E985" s="368" t="s">
        <v>290</v>
      </c>
      <c r="F985" s="6">
        <f>'Пр.4 ведом.20'!G828</f>
        <v>813.5</v>
      </c>
    </row>
    <row r="986" spans="1:6" ht="103.7" hidden="1" customHeight="1" x14ac:dyDescent="0.25">
      <c r="A986" s="31" t="s">
        <v>479</v>
      </c>
      <c r="B986" s="20" t="s">
        <v>506</v>
      </c>
      <c r="C986" s="20" t="s">
        <v>133</v>
      </c>
      <c r="D986" s="20" t="s">
        <v>1083</v>
      </c>
      <c r="E986" s="20"/>
      <c r="F986" s="6">
        <f>F987</f>
        <v>0</v>
      </c>
    </row>
    <row r="987" spans="1:6" ht="31.5" hidden="1" x14ac:dyDescent="0.25">
      <c r="A987" s="25" t="s">
        <v>287</v>
      </c>
      <c r="B987" s="20" t="s">
        <v>506</v>
      </c>
      <c r="C987" s="20" t="s">
        <v>133</v>
      </c>
      <c r="D987" s="20" t="s">
        <v>1083</v>
      </c>
      <c r="E987" s="20" t="s">
        <v>288</v>
      </c>
      <c r="F987" s="6">
        <f t="shared" ref="F987:F1000" si="124">F988</f>
        <v>0</v>
      </c>
    </row>
    <row r="988" spans="1:6" ht="15.75" hidden="1" x14ac:dyDescent="0.25">
      <c r="A988" s="25" t="s">
        <v>289</v>
      </c>
      <c r="B988" s="20" t="s">
        <v>506</v>
      </c>
      <c r="C988" s="20" t="s">
        <v>133</v>
      </c>
      <c r="D988" s="20" t="s">
        <v>1083</v>
      </c>
      <c r="E988" s="20" t="s">
        <v>290</v>
      </c>
      <c r="F988" s="6">
        <f>'Пр.4 ведом.20'!G831</f>
        <v>0</v>
      </c>
    </row>
    <row r="989" spans="1:6" s="221" customFormat="1" ht="63" x14ac:dyDescent="0.25">
      <c r="A989" s="23" t="s">
        <v>1488</v>
      </c>
      <c r="B989" s="24" t="s">
        <v>506</v>
      </c>
      <c r="C989" s="24" t="s">
        <v>133</v>
      </c>
      <c r="D989" s="24" t="s">
        <v>1485</v>
      </c>
      <c r="E989" s="24"/>
      <c r="F989" s="4">
        <f>F990</f>
        <v>439.56040000000002</v>
      </c>
    </row>
    <row r="990" spans="1:6" s="221" customFormat="1" ht="63" x14ac:dyDescent="0.25">
      <c r="A990" s="25" t="s">
        <v>1490</v>
      </c>
      <c r="B990" s="20" t="s">
        <v>506</v>
      </c>
      <c r="C990" s="20" t="s">
        <v>133</v>
      </c>
      <c r="D990" s="20" t="s">
        <v>1484</v>
      </c>
      <c r="E990" s="20"/>
      <c r="F990" s="6">
        <f>F991</f>
        <v>439.56040000000002</v>
      </c>
    </row>
    <row r="991" spans="1:6" s="221" customFormat="1" ht="31.5" x14ac:dyDescent="0.25">
      <c r="A991" s="25" t="s">
        <v>287</v>
      </c>
      <c r="B991" s="20" t="s">
        <v>506</v>
      </c>
      <c r="C991" s="20" t="s">
        <v>133</v>
      </c>
      <c r="D991" s="20" t="s">
        <v>1484</v>
      </c>
      <c r="E991" s="20" t="s">
        <v>288</v>
      </c>
      <c r="F991" s="6">
        <f>F992</f>
        <v>439.56040000000002</v>
      </c>
    </row>
    <row r="992" spans="1:6" s="221" customFormat="1" ht="15.75" x14ac:dyDescent="0.25">
      <c r="A992" s="25" t="s">
        <v>289</v>
      </c>
      <c r="B992" s="20" t="s">
        <v>506</v>
      </c>
      <c r="C992" s="20" t="s">
        <v>133</v>
      </c>
      <c r="D992" s="20" t="s">
        <v>1484</v>
      </c>
      <c r="E992" s="20" t="s">
        <v>290</v>
      </c>
      <c r="F992" s="6">
        <f>'Пр.4 ведом.20'!G835</f>
        <v>439.56040000000002</v>
      </c>
    </row>
    <row r="993" spans="1:6" s="362" customFormat="1" ht="47.25" x14ac:dyDescent="0.25">
      <c r="A993" s="370" t="s">
        <v>1510</v>
      </c>
      <c r="B993" s="371" t="s">
        <v>506</v>
      </c>
      <c r="C993" s="371" t="s">
        <v>133</v>
      </c>
      <c r="D993" s="371" t="s">
        <v>1512</v>
      </c>
      <c r="E993" s="368"/>
      <c r="F993" s="369">
        <f>F994+F997</f>
        <v>5031.17</v>
      </c>
    </row>
    <row r="994" spans="1:6" s="362" customFormat="1" ht="63" x14ac:dyDescent="0.25">
      <c r="A994" s="372" t="s">
        <v>1511</v>
      </c>
      <c r="B994" s="368" t="s">
        <v>506</v>
      </c>
      <c r="C994" s="368" t="s">
        <v>133</v>
      </c>
      <c r="D994" s="368" t="s">
        <v>1513</v>
      </c>
      <c r="E994" s="368"/>
      <c r="F994" s="373">
        <f>F995</f>
        <v>206.27</v>
      </c>
    </row>
    <row r="995" spans="1:6" s="362" customFormat="1" ht="31.5" x14ac:dyDescent="0.25">
      <c r="A995" s="372" t="s">
        <v>287</v>
      </c>
      <c r="B995" s="368" t="s">
        <v>506</v>
      </c>
      <c r="C995" s="368" t="s">
        <v>133</v>
      </c>
      <c r="D995" s="368" t="s">
        <v>1513</v>
      </c>
      <c r="E995" s="368" t="s">
        <v>288</v>
      </c>
      <c r="F995" s="373">
        <f>F996</f>
        <v>206.27</v>
      </c>
    </row>
    <row r="996" spans="1:6" s="362" customFormat="1" ht="15.75" x14ac:dyDescent="0.25">
      <c r="A996" s="372" t="s">
        <v>289</v>
      </c>
      <c r="B996" s="368" t="s">
        <v>506</v>
      </c>
      <c r="C996" s="368" t="s">
        <v>133</v>
      </c>
      <c r="D996" s="368" t="s">
        <v>1513</v>
      </c>
      <c r="E996" s="368" t="s">
        <v>290</v>
      </c>
      <c r="F996" s="373">
        <v>206.27</v>
      </c>
    </row>
    <row r="997" spans="1:6" s="362" customFormat="1" ht="47.25" x14ac:dyDescent="0.25">
      <c r="A997" s="372" t="s">
        <v>1509</v>
      </c>
      <c r="B997" s="368" t="s">
        <v>506</v>
      </c>
      <c r="C997" s="368" t="s">
        <v>133</v>
      </c>
      <c r="D997" s="368" t="s">
        <v>1514</v>
      </c>
      <c r="E997" s="368"/>
      <c r="F997" s="373">
        <f>F998</f>
        <v>4824.8999999999996</v>
      </c>
    </row>
    <row r="998" spans="1:6" s="362" customFormat="1" ht="31.5" x14ac:dyDescent="0.25">
      <c r="A998" s="372" t="s">
        <v>287</v>
      </c>
      <c r="B998" s="368" t="s">
        <v>506</v>
      </c>
      <c r="C998" s="368" t="s">
        <v>133</v>
      </c>
      <c r="D998" s="368" t="s">
        <v>1514</v>
      </c>
      <c r="E998" s="368" t="s">
        <v>288</v>
      </c>
      <c r="F998" s="373">
        <f>F999</f>
        <v>4824.8999999999996</v>
      </c>
    </row>
    <row r="999" spans="1:6" s="362" customFormat="1" ht="15.75" x14ac:dyDescent="0.25">
      <c r="A999" s="372" t="s">
        <v>289</v>
      </c>
      <c r="B999" s="368" t="s">
        <v>506</v>
      </c>
      <c r="C999" s="368" t="s">
        <v>133</v>
      </c>
      <c r="D999" s="368" t="s">
        <v>1514</v>
      </c>
      <c r="E999" s="368" t="s">
        <v>290</v>
      </c>
      <c r="F999" s="373">
        <v>4824.8999999999996</v>
      </c>
    </row>
    <row r="1000" spans="1:6" ht="63" x14ac:dyDescent="0.25">
      <c r="A1000" s="41" t="s">
        <v>1177</v>
      </c>
      <c r="B1000" s="24" t="s">
        <v>506</v>
      </c>
      <c r="C1000" s="24" t="s">
        <v>133</v>
      </c>
      <c r="D1000" s="24" t="s">
        <v>726</v>
      </c>
      <c r="E1000" s="250"/>
      <c r="F1000" s="4">
        <f t="shared" si="124"/>
        <v>540.1</v>
      </c>
    </row>
    <row r="1001" spans="1:6" ht="47.25" x14ac:dyDescent="0.25">
      <c r="A1001" s="41" t="s">
        <v>947</v>
      </c>
      <c r="B1001" s="24" t="s">
        <v>506</v>
      </c>
      <c r="C1001" s="24" t="s">
        <v>133</v>
      </c>
      <c r="D1001" s="24" t="s">
        <v>945</v>
      </c>
      <c r="E1001" s="250"/>
      <c r="F1001" s="4">
        <f>F1002</f>
        <v>540.1</v>
      </c>
    </row>
    <row r="1002" spans="1:6" ht="47.25" x14ac:dyDescent="0.25">
      <c r="A1002" s="99" t="s">
        <v>801</v>
      </c>
      <c r="B1002" s="20" t="s">
        <v>506</v>
      </c>
      <c r="C1002" s="20" t="s">
        <v>133</v>
      </c>
      <c r="D1002" s="20" t="s">
        <v>1025</v>
      </c>
      <c r="E1002" s="32"/>
      <c r="F1002" s="6">
        <f>F1003</f>
        <v>540.1</v>
      </c>
    </row>
    <row r="1003" spans="1:6" ht="31.5" x14ac:dyDescent="0.25">
      <c r="A1003" s="29" t="s">
        <v>287</v>
      </c>
      <c r="B1003" s="20" t="s">
        <v>506</v>
      </c>
      <c r="C1003" s="20" t="s">
        <v>133</v>
      </c>
      <c r="D1003" s="20" t="s">
        <v>1025</v>
      </c>
      <c r="E1003" s="32" t="s">
        <v>288</v>
      </c>
      <c r="F1003" s="6">
        <f>F1004</f>
        <v>540.1</v>
      </c>
    </row>
    <row r="1004" spans="1:6" ht="15.75" x14ac:dyDescent="0.25">
      <c r="A1004" s="193" t="s">
        <v>289</v>
      </c>
      <c r="B1004" s="20" t="s">
        <v>506</v>
      </c>
      <c r="C1004" s="20" t="s">
        <v>133</v>
      </c>
      <c r="D1004" s="20" t="s">
        <v>1025</v>
      </c>
      <c r="E1004" s="32" t="s">
        <v>290</v>
      </c>
      <c r="F1004" s="6">
        <f>'Пр.4 ведом.20'!G847</f>
        <v>540.1</v>
      </c>
    </row>
    <row r="1005" spans="1:6" ht="31.5" x14ac:dyDescent="0.25">
      <c r="A1005" s="23" t="s">
        <v>515</v>
      </c>
      <c r="B1005" s="24" t="s">
        <v>506</v>
      </c>
      <c r="C1005" s="24" t="s">
        <v>249</v>
      </c>
      <c r="D1005" s="24"/>
      <c r="E1005" s="24"/>
      <c r="F1005" s="4">
        <f>F1006+F1014+F1026</f>
        <v>13218.2</v>
      </c>
    </row>
    <row r="1006" spans="1:6" ht="31.5" x14ac:dyDescent="0.25">
      <c r="A1006" s="23" t="s">
        <v>988</v>
      </c>
      <c r="B1006" s="24" t="s">
        <v>506</v>
      </c>
      <c r="C1006" s="24" t="s">
        <v>249</v>
      </c>
      <c r="D1006" s="24" t="s">
        <v>902</v>
      </c>
      <c r="E1006" s="24"/>
      <c r="F1006" s="4">
        <f>F1007</f>
        <v>5160.8999999999996</v>
      </c>
    </row>
    <row r="1007" spans="1:6" ht="15.75" x14ac:dyDescent="0.25">
      <c r="A1007" s="23" t="s">
        <v>989</v>
      </c>
      <c r="B1007" s="24" t="s">
        <v>506</v>
      </c>
      <c r="C1007" s="24" t="s">
        <v>249</v>
      </c>
      <c r="D1007" s="24" t="s">
        <v>903</v>
      </c>
      <c r="E1007" s="24"/>
      <c r="F1007" s="4">
        <f>F1008+F1011</f>
        <v>5160.8999999999996</v>
      </c>
    </row>
    <row r="1008" spans="1:6" ht="31.5" x14ac:dyDescent="0.25">
      <c r="A1008" s="25" t="s">
        <v>965</v>
      </c>
      <c r="B1008" s="20" t="s">
        <v>506</v>
      </c>
      <c r="C1008" s="20" t="s">
        <v>249</v>
      </c>
      <c r="D1008" s="20" t="s">
        <v>904</v>
      </c>
      <c r="E1008" s="20"/>
      <c r="F1008" s="6">
        <f>F1009</f>
        <v>4798.8999999999996</v>
      </c>
    </row>
    <row r="1009" spans="1:6" ht="78.75" x14ac:dyDescent="0.25">
      <c r="A1009" s="25" t="s">
        <v>142</v>
      </c>
      <c r="B1009" s="20" t="s">
        <v>506</v>
      </c>
      <c r="C1009" s="20" t="s">
        <v>249</v>
      </c>
      <c r="D1009" s="20" t="s">
        <v>904</v>
      </c>
      <c r="E1009" s="20" t="s">
        <v>143</v>
      </c>
      <c r="F1009" s="6">
        <f>F1010</f>
        <v>4798.8999999999996</v>
      </c>
    </row>
    <row r="1010" spans="1:6" ht="31.5" x14ac:dyDescent="0.25">
      <c r="A1010" s="25" t="s">
        <v>144</v>
      </c>
      <c r="B1010" s="20" t="s">
        <v>506</v>
      </c>
      <c r="C1010" s="20" t="s">
        <v>249</v>
      </c>
      <c r="D1010" s="20" t="s">
        <v>904</v>
      </c>
      <c r="E1010" s="20" t="s">
        <v>145</v>
      </c>
      <c r="F1010" s="6">
        <f>'Пр.4 ведом.20'!G853</f>
        <v>4798.8999999999996</v>
      </c>
    </row>
    <row r="1011" spans="1:6" ht="47.25" x14ac:dyDescent="0.25">
      <c r="A1011" s="25" t="s">
        <v>883</v>
      </c>
      <c r="B1011" s="20" t="s">
        <v>506</v>
      </c>
      <c r="C1011" s="20" t="s">
        <v>249</v>
      </c>
      <c r="D1011" s="20" t="s">
        <v>906</v>
      </c>
      <c r="E1011" s="20"/>
      <c r="F1011" s="6">
        <f>F1012</f>
        <v>362</v>
      </c>
    </row>
    <row r="1012" spans="1:6" ht="78.75" x14ac:dyDescent="0.25">
      <c r="A1012" s="25" t="s">
        <v>142</v>
      </c>
      <c r="B1012" s="20" t="s">
        <v>506</v>
      </c>
      <c r="C1012" s="20" t="s">
        <v>249</v>
      </c>
      <c r="D1012" s="20" t="s">
        <v>906</v>
      </c>
      <c r="E1012" s="20" t="s">
        <v>143</v>
      </c>
      <c r="F1012" s="6">
        <f>F1013</f>
        <v>362</v>
      </c>
    </row>
    <row r="1013" spans="1:6" ht="31.5" x14ac:dyDescent="0.25">
      <c r="A1013" s="25" t="s">
        <v>144</v>
      </c>
      <c r="B1013" s="20" t="s">
        <v>506</v>
      </c>
      <c r="C1013" s="20" t="s">
        <v>249</v>
      </c>
      <c r="D1013" s="20" t="s">
        <v>906</v>
      </c>
      <c r="E1013" s="20" t="s">
        <v>145</v>
      </c>
      <c r="F1013" s="6">
        <f>'Пр.4 ведом.20'!G856</f>
        <v>362</v>
      </c>
    </row>
    <row r="1014" spans="1:6" ht="15.75" x14ac:dyDescent="0.25">
      <c r="A1014" s="23" t="s">
        <v>156</v>
      </c>
      <c r="B1014" s="24" t="s">
        <v>506</v>
      </c>
      <c r="C1014" s="24" t="s">
        <v>249</v>
      </c>
      <c r="D1014" s="24" t="s">
        <v>910</v>
      </c>
      <c r="E1014" s="24"/>
      <c r="F1014" s="4">
        <f>F1015</f>
        <v>5057.3</v>
      </c>
    </row>
    <row r="1015" spans="1:6" ht="31.5" x14ac:dyDescent="0.25">
      <c r="A1015" s="23" t="s">
        <v>1000</v>
      </c>
      <c r="B1015" s="24" t="s">
        <v>506</v>
      </c>
      <c r="C1015" s="24" t="s">
        <v>249</v>
      </c>
      <c r="D1015" s="24" t="s">
        <v>985</v>
      </c>
      <c r="E1015" s="24"/>
      <c r="F1015" s="4">
        <f>F1016+F1023</f>
        <v>5057.3</v>
      </c>
    </row>
    <row r="1016" spans="1:6" ht="31.5" x14ac:dyDescent="0.25">
      <c r="A1016" s="25" t="s">
        <v>972</v>
      </c>
      <c r="B1016" s="20" t="s">
        <v>506</v>
      </c>
      <c r="C1016" s="20" t="s">
        <v>249</v>
      </c>
      <c r="D1016" s="20" t="s">
        <v>986</v>
      </c>
      <c r="E1016" s="20"/>
      <c r="F1016" s="6">
        <f>F1017+F1019+F1021</f>
        <v>4973.3</v>
      </c>
    </row>
    <row r="1017" spans="1:6" ht="78.75" x14ac:dyDescent="0.25">
      <c r="A1017" s="25" t="s">
        <v>142</v>
      </c>
      <c r="B1017" s="20" t="s">
        <v>506</v>
      </c>
      <c r="C1017" s="20" t="s">
        <v>249</v>
      </c>
      <c r="D1017" s="20" t="s">
        <v>986</v>
      </c>
      <c r="E1017" s="20" t="s">
        <v>143</v>
      </c>
      <c r="F1017" s="6">
        <f>F1018</f>
        <v>4617</v>
      </c>
    </row>
    <row r="1018" spans="1:6" ht="31.5" x14ac:dyDescent="0.25">
      <c r="A1018" s="25" t="s">
        <v>357</v>
      </c>
      <c r="B1018" s="20" t="s">
        <v>506</v>
      </c>
      <c r="C1018" s="20" t="s">
        <v>249</v>
      </c>
      <c r="D1018" s="20" t="s">
        <v>986</v>
      </c>
      <c r="E1018" s="20" t="s">
        <v>224</v>
      </c>
      <c r="F1018" s="6">
        <f>'Пр.4 ведом.20'!G861</f>
        <v>4617</v>
      </c>
    </row>
    <row r="1019" spans="1:6" ht="31.5" x14ac:dyDescent="0.25">
      <c r="A1019" s="25" t="s">
        <v>146</v>
      </c>
      <c r="B1019" s="20" t="s">
        <v>506</v>
      </c>
      <c r="C1019" s="20" t="s">
        <v>249</v>
      </c>
      <c r="D1019" s="20" t="s">
        <v>986</v>
      </c>
      <c r="E1019" s="20" t="s">
        <v>147</v>
      </c>
      <c r="F1019" s="6">
        <f t="shared" ref="F1019" si="125">F1020</f>
        <v>305.3</v>
      </c>
    </row>
    <row r="1020" spans="1:6" ht="31.5" x14ac:dyDescent="0.25">
      <c r="A1020" s="25" t="s">
        <v>148</v>
      </c>
      <c r="B1020" s="20" t="s">
        <v>506</v>
      </c>
      <c r="C1020" s="20" t="s">
        <v>249</v>
      </c>
      <c r="D1020" s="20" t="s">
        <v>986</v>
      </c>
      <c r="E1020" s="20" t="s">
        <v>149</v>
      </c>
      <c r="F1020" s="6">
        <f>'Пр.4 ведом.20'!G863</f>
        <v>305.3</v>
      </c>
    </row>
    <row r="1021" spans="1:6" ht="15.75" x14ac:dyDescent="0.25">
      <c r="A1021" s="25" t="s">
        <v>150</v>
      </c>
      <c r="B1021" s="20" t="s">
        <v>506</v>
      </c>
      <c r="C1021" s="20" t="s">
        <v>249</v>
      </c>
      <c r="D1021" s="20" t="s">
        <v>986</v>
      </c>
      <c r="E1021" s="20" t="s">
        <v>160</v>
      </c>
      <c r="F1021" s="6">
        <f>F1022</f>
        <v>51</v>
      </c>
    </row>
    <row r="1022" spans="1:6" ht="15.75" x14ac:dyDescent="0.25">
      <c r="A1022" s="25" t="s">
        <v>583</v>
      </c>
      <c r="B1022" s="20" t="s">
        <v>506</v>
      </c>
      <c r="C1022" s="20" t="s">
        <v>249</v>
      </c>
      <c r="D1022" s="20" t="s">
        <v>986</v>
      </c>
      <c r="E1022" s="20" t="s">
        <v>153</v>
      </c>
      <c r="F1022" s="6">
        <f>'Пр.4 ведом.20'!G865</f>
        <v>51</v>
      </c>
    </row>
    <row r="1023" spans="1:6" ht="47.25" x14ac:dyDescent="0.25">
      <c r="A1023" s="25" t="s">
        <v>883</v>
      </c>
      <c r="B1023" s="20" t="s">
        <v>506</v>
      </c>
      <c r="C1023" s="20" t="s">
        <v>249</v>
      </c>
      <c r="D1023" s="20" t="s">
        <v>987</v>
      </c>
      <c r="E1023" s="20"/>
      <c r="F1023" s="6">
        <f>F1024</f>
        <v>84</v>
      </c>
    </row>
    <row r="1024" spans="1:6" ht="78.75" x14ac:dyDescent="0.25">
      <c r="A1024" s="25" t="s">
        <v>142</v>
      </c>
      <c r="B1024" s="20" t="s">
        <v>506</v>
      </c>
      <c r="C1024" s="20" t="s">
        <v>249</v>
      </c>
      <c r="D1024" s="20" t="s">
        <v>987</v>
      </c>
      <c r="E1024" s="20" t="s">
        <v>143</v>
      </c>
      <c r="F1024" s="6">
        <f t="shared" ref="F1024" si="126">F1025</f>
        <v>84</v>
      </c>
    </row>
    <row r="1025" spans="1:6" ht="31.5" x14ac:dyDescent="0.25">
      <c r="A1025" s="25" t="s">
        <v>144</v>
      </c>
      <c r="B1025" s="20" t="s">
        <v>506</v>
      </c>
      <c r="C1025" s="20" t="s">
        <v>249</v>
      </c>
      <c r="D1025" s="20" t="s">
        <v>987</v>
      </c>
      <c r="E1025" s="20" t="s">
        <v>145</v>
      </c>
      <c r="F1025" s="6">
        <f>'Пр.4 ведом.20'!G868</f>
        <v>84</v>
      </c>
    </row>
    <row r="1026" spans="1:6" ht="47.25" x14ac:dyDescent="0.25">
      <c r="A1026" s="41" t="s">
        <v>496</v>
      </c>
      <c r="B1026" s="24" t="s">
        <v>506</v>
      </c>
      <c r="C1026" s="24" t="s">
        <v>249</v>
      </c>
      <c r="D1026" s="7" t="s">
        <v>497</v>
      </c>
      <c r="E1026" s="24"/>
      <c r="F1026" s="4">
        <f>F1027</f>
        <v>3000</v>
      </c>
    </row>
    <row r="1027" spans="1:6" ht="47.25" x14ac:dyDescent="0.25">
      <c r="A1027" s="58" t="s">
        <v>516</v>
      </c>
      <c r="B1027" s="24" t="s">
        <v>506</v>
      </c>
      <c r="C1027" s="24" t="s">
        <v>249</v>
      </c>
      <c r="D1027" s="7" t="s">
        <v>517</v>
      </c>
      <c r="E1027" s="24"/>
      <c r="F1027" s="4">
        <f>F1028</f>
        <v>3000</v>
      </c>
    </row>
    <row r="1028" spans="1:6" ht="33.75" customHeight="1" x14ac:dyDescent="0.25">
      <c r="A1028" s="58" t="s">
        <v>1084</v>
      </c>
      <c r="B1028" s="24" t="s">
        <v>506</v>
      </c>
      <c r="C1028" s="24" t="s">
        <v>249</v>
      </c>
      <c r="D1028" s="7" t="s">
        <v>1085</v>
      </c>
      <c r="E1028" s="24"/>
      <c r="F1028" s="4">
        <f>F1029</f>
        <v>3000</v>
      </c>
    </row>
    <row r="1029" spans="1:6" ht="15.75" x14ac:dyDescent="0.25">
      <c r="A1029" s="29" t="s">
        <v>1086</v>
      </c>
      <c r="B1029" s="20" t="s">
        <v>506</v>
      </c>
      <c r="C1029" s="20" t="s">
        <v>249</v>
      </c>
      <c r="D1029" s="40" t="s">
        <v>1236</v>
      </c>
      <c r="E1029" s="20"/>
      <c r="F1029" s="338">
        <f>F1030+F1032</f>
        <v>3000</v>
      </c>
    </row>
    <row r="1030" spans="1:6" ht="78.75" x14ac:dyDescent="0.25">
      <c r="A1030" s="25" t="s">
        <v>142</v>
      </c>
      <c r="B1030" s="20" t="s">
        <v>506</v>
      </c>
      <c r="C1030" s="20" t="s">
        <v>249</v>
      </c>
      <c r="D1030" s="40" t="s">
        <v>1236</v>
      </c>
      <c r="E1030" s="20" t="s">
        <v>143</v>
      </c>
      <c r="F1030" s="338">
        <f>F1031</f>
        <v>2500</v>
      </c>
    </row>
    <row r="1031" spans="1:6" ht="21.75" customHeight="1" x14ac:dyDescent="0.25">
      <c r="A1031" s="25" t="s">
        <v>357</v>
      </c>
      <c r="B1031" s="20" t="s">
        <v>506</v>
      </c>
      <c r="C1031" s="20" t="s">
        <v>249</v>
      </c>
      <c r="D1031" s="40" t="s">
        <v>1236</v>
      </c>
      <c r="E1031" s="20" t="s">
        <v>224</v>
      </c>
      <c r="F1031" s="338">
        <f>'Пр.4 ведом.20'!G874</f>
        <v>2500</v>
      </c>
    </row>
    <row r="1032" spans="1:6" ht="36" customHeight="1" x14ac:dyDescent="0.25">
      <c r="A1032" s="29" t="s">
        <v>146</v>
      </c>
      <c r="B1032" s="20" t="s">
        <v>506</v>
      </c>
      <c r="C1032" s="20" t="s">
        <v>249</v>
      </c>
      <c r="D1032" s="40" t="s">
        <v>1236</v>
      </c>
      <c r="E1032" s="20" t="s">
        <v>147</v>
      </c>
      <c r="F1032" s="338">
        <f>F1033</f>
        <v>500</v>
      </c>
    </row>
    <row r="1033" spans="1:6" ht="31.5" x14ac:dyDescent="0.25">
      <c r="A1033" s="29" t="s">
        <v>148</v>
      </c>
      <c r="B1033" s="20" t="s">
        <v>506</v>
      </c>
      <c r="C1033" s="20" t="s">
        <v>249</v>
      </c>
      <c r="D1033" s="40" t="s">
        <v>1236</v>
      </c>
      <c r="E1033" s="20" t="s">
        <v>149</v>
      </c>
      <c r="F1033" s="6">
        <f>'Пр.4 ведом.20'!G876</f>
        <v>500</v>
      </c>
    </row>
    <row r="1034" spans="1:6" ht="15.75" x14ac:dyDescent="0.25">
      <c r="A1034" s="41" t="s">
        <v>597</v>
      </c>
      <c r="B1034" s="7" t="s">
        <v>253</v>
      </c>
      <c r="C1034" s="40"/>
      <c r="D1034" s="40"/>
      <c r="E1034" s="40"/>
      <c r="F1034" s="4">
        <f t="shared" ref="F1034" si="127">F1035</f>
        <v>6661</v>
      </c>
    </row>
    <row r="1035" spans="1:6" ht="15.75" x14ac:dyDescent="0.25">
      <c r="A1035" s="41" t="s">
        <v>598</v>
      </c>
      <c r="B1035" s="7" t="s">
        <v>253</v>
      </c>
      <c r="C1035" s="7" t="s">
        <v>228</v>
      </c>
      <c r="D1035" s="7"/>
      <c r="E1035" s="7"/>
      <c r="F1035" s="4">
        <f>F1036+F1048</f>
        <v>6661</v>
      </c>
    </row>
    <row r="1036" spans="1:6" ht="15.75" x14ac:dyDescent="0.25">
      <c r="A1036" s="23" t="s">
        <v>156</v>
      </c>
      <c r="B1036" s="24" t="s">
        <v>253</v>
      </c>
      <c r="C1036" s="24" t="s">
        <v>228</v>
      </c>
      <c r="D1036" s="24" t="s">
        <v>910</v>
      </c>
      <c r="E1036" s="24"/>
      <c r="F1036" s="4">
        <f>F1037</f>
        <v>6589</v>
      </c>
    </row>
    <row r="1037" spans="1:6" ht="15.75" x14ac:dyDescent="0.25">
      <c r="A1037" s="23" t="s">
        <v>1088</v>
      </c>
      <c r="B1037" s="24" t="s">
        <v>253</v>
      </c>
      <c r="C1037" s="24" t="s">
        <v>228</v>
      </c>
      <c r="D1037" s="24" t="s">
        <v>1087</v>
      </c>
      <c r="E1037" s="24"/>
      <c r="F1037" s="4">
        <f>F1038+F1045</f>
        <v>6589</v>
      </c>
    </row>
    <row r="1038" spans="1:6" ht="15.75" x14ac:dyDescent="0.25">
      <c r="A1038" s="25" t="s">
        <v>832</v>
      </c>
      <c r="B1038" s="20" t="s">
        <v>253</v>
      </c>
      <c r="C1038" s="20" t="s">
        <v>228</v>
      </c>
      <c r="D1038" s="20" t="s">
        <v>1089</v>
      </c>
      <c r="E1038" s="20"/>
      <c r="F1038" s="6">
        <f>F1039+F1041+F1043</f>
        <v>6379</v>
      </c>
    </row>
    <row r="1039" spans="1:6" ht="78.75" x14ac:dyDescent="0.25">
      <c r="A1039" s="25" t="s">
        <v>142</v>
      </c>
      <c r="B1039" s="20" t="s">
        <v>253</v>
      </c>
      <c r="C1039" s="20" t="s">
        <v>228</v>
      </c>
      <c r="D1039" s="20" t="s">
        <v>1089</v>
      </c>
      <c r="E1039" s="20" t="s">
        <v>143</v>
      </c>
      <c r="F1039" s="6">
        <f>F1040</f>
        <v>5525</v>
      </c>
    </row>
    <row r="1040" spans="1:6" ht="15.75" x14ac:dyDescent="0.25">
      <c r="A1040" s="25" t="s">
        <v>223</v>
      </c>
      <c r="B1040" s="20" t="s">
        <v>253</v>
      </c>
      <c r="C1040" s="20" t="s">
        <v>228</v>
      </c>
      <c r="D1040" s="20" t="s">
        <v>1089</v>
      </c>
      <c r="E1040" s="20" t="s">
        <v>224</v>
      </c>
      <c r="F1040" s="6">
        <f>'Пр.4 ведом.20'!G478</f>
        <v>5525</v>
      </c>
    </row>
    <row r="1041" spans="1:8" ht="31.5" x14ac:dyDescent="0.25">
      <c r="A1041" s="25" t="s">
        <v>146</v>
      </c>
      <c r="B1041" s="20" t="s">
        <v>253</v>
      </c>
      <c r="C1041" s="20" t="s">
        <v>228</v>
      </c>
      <c r="D1041" s="20" t="s">
        <v>1089</v>
      </c>
      <c r="E1041" s="20" t="s">
        <v>147</v>
      </c>
      <c r="F1041" s="6">
        <f t="shared" ref="F1041" si="128">F1042</f>
        <v>804</v>
      </c>
    </row>
    <row r="1042" spans="1:8" ht="31.5" x14ac:dyDescent="0.25">
      <c r="A1042" s="25" t="s">
        <v>148</v>
      </c>
      <c r="B1042" s="20" t="s">
        <v>253</v>
      </c>
      <c r="C1042" s="20" t="s">
        <v>228</v>
      </c>
      <c r="D1042" s="20" t="s">
        <v>1089</v>
      </c>
      <c r="E1042" s="20" t="s">
        <v>149</v>
      </c>
      <c r="F1042" s="6">
        <f>'Пр.4 ведом.20'!G480</f>
        <v>804</v>
      </c>
    </row>
    <row r="1043" spans="1:8" ht="15.75" x14ac:dyDescent="0.25">
      <c r="A1043" s="25" t="s">
        <v>150</v>
      </c>
      <c r="B1043" s="20" t="s">
        <v>253</v>
      </c>
      <c r="C1043" s="20" t="s">
        <v>228</v>
      </c>
      <c r="D1043" s="20" t="s">
        <v>1089</v>
      </c>
      <c r="E1043" s="20" t="s">
        <v>160</v>
      </c>
      <c r="F1043" s="338">
        <f t="shared" ref="F1043" si="129">F1044</f>
        <v>50</v>
      </c>
    </row>
    <row r="1044" spans="1:8" ht="15.75" x14ac:dyDescent="0.25">
      <c r="A1044" s="25" t="s">
        <v>583</v>
      </c>
      <c r="B1044" s="20" t="s">
        <v>253</v>
      </c>
      <c r="C1044" s="20" t="s">
        <v>228</v>
      </c>
      <c r="D1044" s="20" t="s">
        <v>1089</v>
      </c>
      <c r="E1044" s="20" t="s">
        <v>153</v>
      </c>
      <c r="F1044" s="338">
        <f>'Пр.4 ведом.20'!G482</f>
        <v>50</v>
      </c>
    </row>
    <row r="1045" spans="1:8" ht="47.25" x14ac:dyDescent="0.25">
      <c r="A1045" s="25" t="s">
        <v>883</v>
      </c>
      <c r="B1045" s="20" t="s">
        <v>253</v>
      </c>
      <c r="C1045" s="20" t="s">
        <v>228</v>
      </c>
      <c r="D1045" s="20" t="s">
        <v>1090</v>
      </c>
      <c r="E1045" s="20"/>
      <c r="F1045" s="6">
        <f>F1046</f>
        <v>210</v>
      </c>
    </row>
    <row r="1046" spans="1:8" ht="78.75" x14ac:dyDescent="0.25">
      <c r="A1046" s="25" t="s">
        <v>142</v>
      </c>
      <c r="B1046" s="20" t="s">
        <v>253</v>
      </c>
      <c r="C1046" s="20" t="s">
        <v>228</v>
      </c>
      <c r="D1046" s="20" t="s">
        <v>1090</v>
      </c>
      <c r="E1046" s="20" t="s">
        <v>143</v>
      </c>
      <c r="F1046" s="6">
        <f>F1047</f>
        <v>210</v>
      </c>
    </row>
    <row r="1047" spans="1:8" ht="31.5" x14ac:dyDescent="0.25">
      <c r="A1047" s="25" t="s">
        <v>144</v>
      </c>
      <c r="B1047" s="20" t="s">
        <v>253</v>
      </c>
      <c r="C1047" s="20" t="s">
        <v>228</v>
      </c>
      <c r="D1047" s="20" t="s">
        <v>1090</v>
      </c>
      <c r="E1047" s="20" t="s">
        <v>224</v>
      </c>
      <c r="F1047" s="6">
        <f>'Пр.4 ведом.20'!G485</f>
        <v>210</v>
      </c>
    </row>
    <row r="1048" spans="1:8" ht="63" x14ac:dyDescent="0.25">
      <c r="A1048" s="41" t="s">
        <v>1177</v>
      </c>
      <c r="B1048" s="24" t="s">
        <v>253</v>
      </c>
      <c r="C1048" s="24" t="s">
        <v>228</v>
      </c>
      <c r="D1048" s="24" t="s">
        <v>726</v>
      </c>
      <c r="E1048" s="250"/>
      <c r="F1048" s="4">
        <f>F1049</f>
        <v>72</v>
      </c>
    </row>
    <row r="1049" spans="1:8" s="221" customFormat="1" ht="47.25" x14ac:dyDescent="0.25">
      <c r="A1049" s="41" t="s">
        <v>947</v>
      </c>
      <c r="B1049" s="24" t="s">
        <v>253</v>
      </c>
      <c r="C1049" s="24" t="s">
        <v>228</v>
      </c>
      <c r="D1049" s="24" t="s">
        <v>945</v>
      </c>
      <c r="E1049" s="250"/>
      <c r="F1049" s="4">
        <f>F1050</f>
        <v>72</v>
      </c>
    </row>
    <row r="1050" spans="1:8" s="221" customFormat="1" ht="47.25" x14ac:dyDescent="0.25">
      <c r="A1050" s="99" t="s">
        <v>1155</v>
      </c>
      <c r="B1050" s="20" t="s">
        <v>253</v>
      </c>
      <c r="C1050" s="20" t="s">
        <v>228</v>
      </c>
      <c r="D1050" s="20" t="s">
        <v>946</v>
      </c>
      <c r="E1050" s="32"/>
      <c r="F1050" s="6">
        <f>F1051</f>
        <v>72</v>
      </c>
    </row>
    <row r="1051" spans="1:8" s="221" customFormat="1" ht="31.5" x14ac:dyDescent="0.25">
      <c r="A1051" s="25" t="s">
        <v>146</v>
      </c>
      <c r="B1051" s="20" t="s">
        <v>253</v>
      </c>
      <c r="C1051" s="20" t="s">
        <v>228</v>
      </c>
      <c r="D1051" s="20" t="s">
        <v>946</v>
      </c>
      <c r="E1051" s="32" t="s">
        <v>147</v>
      </c>
      <c r="F1051" s="6">
        <f>F1052</f>
        <v>72</v>
      </c>
    </row>
    <row r="1052" spans="1:8" s="221" customFormat="1" ht="31.5" x14ac:dyDescent="0.25">
      <c r="A1052" s="25" t="s">
        <v>148</v>
      </c>
      <c r="B1052" s="20" t="s">
        <v>253</v>
      </c>
      <c r="C1052" s="20" t="s">
        <v>228</v>
      </c>
      <c r="D1052" s="20" t="s">
        <v>946</v>
      </c>
      <c r="E1052" s="32" t="s">
        <v>149</v>
      </c>
      <c r="F1052" s="6">
        <f>'Пр.4 ведом.20'!G490</f>
        <v>72</v>
      </c>
    </row>
    <row r="1053" spans="1:8" ht="15.75" x14ac:dyDescent="0.25">
      <c r="A1053" s="61" t="s">
        <v>602</v>
      </c>
      <c r="B1053" s="7"/>
      <c r="C1053" s="7"/>
      <c r="D1053" s="7"/>
      <c r="E1053" s="7"/>
      <c r="F1053" s="342">
        <f>F8+F224+F243+F325+F493+F783+F947+F1034+F889</f>
        <v>760529.61239999998</v>
      </c>
      <c r="H1053" s="22"/>
    </row>
    <row r="1054" spans="1:8" hidden="1" x14ac:dyDescent="0.25">
      <c r="F1054" s="22">
        <f>'Пр.4 ведом.20'!G1145</f>
        <v>760529.61239999998</v>
      </c>
    </row>
    <row r="1055" spans="1:8" hidden="1" x14ac:dyDescent="0.25">
      <c r="F1055" s="22">
        <f>F1054-F1053</f>
        <v>0</v>
      </c>
    </row>
  </sheetData>
  <mergeCells count="4">
    <mergeCell ref="A5:F5"/>
    <mergeCell ref="E3:F3"/>
    <mergeCell ref="E2:F2"/>
    <mergeCell ref="E1:F1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6"/>
  <sheetViews>
    <sheetView view="pageBreakPreview" topLeftCell="A987" zoomScale="60" zoomScaleNormal="100" workbookViewId="0">
      <selection activeCell="R1004" sqref="R1004"/>
    </sheetView>
  </sheetViews>
  <sheetFormatPr defaultRowHeight="15" x14ac:dyDescent="0.25"/>
  <cols>
    <col min="1" max="1" width="44" customWidth="1"/>
    <col min="2" max="2" width="4.5703125" customWidth="1"/>
    <col min="3" max="3" width="4.140625" customWidth="1"/>
    <col min="4" max="4" width="15.140625" customWidth="1"/>
    <col min="5" max="5" width="5.7109375" customWidth="1"/>
    <col min="6" max="6" width="12.42578125" style="22" customWidth="1"/>
    <col min="7" max="7" width="13.140625" style="22" customWidth="1"/>
    <col min="8" max="9" width="9.5703125" hidden="1" customWidth="1"/>
    <col min="10" max="11" width="0" hidden="1" customWidth="1"/>
  </cols>
  <sheetData>
    <row r="1" spans="1:11" ht="15.75" x14ac:dyDescent="0.25">
      <c r="A1" s="56"/>
      <c r="B1" s="56"/>
      <c r="C1" s="56"/>
      <c r="D1" s="222"/>
      <c r="E1" s="222"/>
      <c r="F1" s="415" t="s">
        <v>1547</v>
      </c>
      <c r="G1" s="415"/>
    </row>
    <row r="2" spans="1:11" ht="15.75" x14ac:dyDescent="0.25">
      <c r="A2" s="56"/>
      <c r="B2" s="56"/>
      <c r="C2" s="56"/>
      <c r="D2" s="222"/>
      <c r="E2" s="222"/>
      <c r="F2" s="415" t="s">
        <v>1546</v>
      </c>
      <c r="G2" s="415"/>
    </row>
    <row r="3" spans="1:11" ht="18.75" x14ac:dyDescent="0.3">
      <c r="A3" s="56"/>
      <c r="B3" s="56"/>
      <c r="C3" s="56"/>
      <c r="D3" s="222"/>
      <c r="E3" s="199"/>
      <c r="F3" s="415" t="s">
        <v>1545</v>
      </c>
      <c r="G3" s="415"/>
    </row>
    <row r="4" spans="1:11" x14ac:dyDescent="0.25">
      <c r="A4" s="56"/>
      <c r="B4" s="56"/>
      <c r="C4" s="56"/>
      <c r="D4" s="56"/>
      <c r="E4" s="56"/>
      <c r="F4" s="116"/>
      <c r="G4" s="116"/>
    </row>
    <row r="5" spans="1:11" ht="74.25" customHeight="1" x14ac:dyDescent="0.25">
      <c r="A5" s="413" t="s">
        <v>1354</v>
      </c>
      <c r="B5" s="413"/>
      <c r="C5" s="413"/>
      <c r="D5" s="413"/>
      <c r="E5" s="413"/>
      <c r="F5" s="413"/>
      <c r="G5" s="413"/>
    </row>
    <row r="6" spans="1:11" x14ac:dyDescent="0.25">
      <c r="A6" s="56"/>
      <c r="B6" s="56"/>
      <c r="C6" s="56"/>
      <c r="D6" s="56"/>
      <c r="E6" s="56"/>
      <c r="F6" s="116"/>
      <c r="G6" s="336" t="s">
        <v>1</v>
      </c>
    </row>
    <row r="7" spans="1:11" ht="35.450000000000003" customHeight="1" x14ac:dyDescent="0.25">
      <c r="A7" s="255" t="s">
        <v>607</v>
      </c>
      <c r="B7" s="256" t="s">
        <v>127</v>
      </c>
      <c r="C7" s="256" t="s">
        <v>128</v>
      </c>
      <c r="D7" s="256" t="s">
        <v>129</v>
      </c>
      <c r="E7" s="256" t="s">
        <v>130</v>
      </c>
      <c r="F7" s="337" t="s">
        <v>1277</v>
      </c>
      <c r="G7" s="337" t="s">
        <v>1278</v>
      </c>
    </row>
    <row r="8" spans="1:11" ht="15.75" x14ac:dyDescent="0.25">
      <c r="A8" s="41" t="s">
        <v>132</v>
      </c>
      <c r="B8" s="7" t="s">
        <v>133</v>
      </c>
      <c r="C8" s="7"/>
      <c r="D8" s="7"/>
      <c r="E8" s="7"/>
      <c r="F8" s="4">
        <f>F9+F28+F39+F97+F127+F119</f>
        <v>142238.12</v>
      </c>
      <c r="G8" s="4">
        <f>G9+G28+G39+G97+G127+G119</f>
        <v>147123.02000000002</v>
      </c>
      <c r="H8" s="253">
        <v>139576.82</v>
      </c>
      <c r="I8" s="253">
        <v>147498.12</v>
      </c>
      <c r="J8" s="253">
        <f>H8-F8</f>
        <v>-2661.2999999999884</v>
      </c>
      <c r="K8" s="253">
        <f>I8-G8</f>
        <v>375.09999999997672</v>
      </c>
    </row>
    <row r="9" spans="1:11" ht="63" x14ac:dyDescent="0.25">
      <c r="A9" s="41" t="s">
        <v>590</v>
      </c>
      <c r="B9" s="7" t="s">
        <v>133</v>
      </c>
      <c r="C9" s="7" t="s">
        <v>228</v>
      </c>
      <c r="D9" s="7"/>
      <c r="E9" s="7"/>
      <c r="F9" s="4">
        <f>F10+F20</f>
        <v>4268.5</v>
      </c>
      <c r="G9" s="4">
        <f>G10+G20</f>
        <v>4268.5</v>
      </c>
    </row>
    <row r="10" spans="1:11" ht="31.5" x14ac:dyDescent="0.25">
      <c r="A10" s="23" t="s">
        <v>988</v>
      </c>
      <c r="B10" s="7" t="s">
        <v>133</v>
      </c>
      <c r="C10" s="7" t="s">
        <v>228</v>
      </c>
      <c r="D10" s="7" t="s">
        <v>902</v>
      </c>
      <c r="E10" s="7"/>
      <c r="F10" s="4">
        <f t="shared" ref="F10:G10" si="0">F11</f>
        <v>4243</v>
      </c>
      <c r="G10" s="4">
        <f t="shared" si="0"/>
        <v>4243</v>
      </c>
    </row>
    <row r="11" spans="1:11" ht="31.5" x14ac:dyDescent="0.25">
      <c r="A11" s="23" t="s">
        <v>1132</v>
      </c>
      <c r="B11" s="7" t="s">
        <v>133</v>
      </c>
      <c r="C11" s="7" t="s">
        <v>228</v>
      </c>
      <c r="D11" s="7" t="s">
        <v>1133</v>
      </c>
      <c r="E11" s="7"/>
      <c r="F11" s="4">
        <f>F12+F17</f>
        <v>4243</v>
      </c>
      <c r="G11" s="4">
        <f>G12+G17</f>
        <v>4243</v>
      </c>
    </row>
    <row r="12" spans="1:11" ht="47.25" x14ac:dyDescent="0.25">
      <c r="A12" s="29" t="s">
        <v>591</v>
      </c>
      <c r="B12" s="40" t="s">
        <v>133</v>
      </c>
      <c r="C12" s="40" t="s">
        <v>228</v>
      </c>
      <c r="D12" s="40" t="s">
        <v>1134</v>
      </c>
      <c r="E12" s="40"/>
      <c r="F12" s="6">
        <f>F13+F15</f>
        <v>4201</v>
      </c>
      <c r="G12" s="6">
        <f>G13+G15</f>
        <v>4201</v>
      </c>
    </row>
    <row r="13" spans="1:11" ht="94.5" x14ac:dyDescent="0.25">
      <c r="A13" s="29" t="s">
        <v>142</v>
      </c>
      <c r="B13" s="40" t="s">
        <v>133</v>
      </c>
      <c r="C13" s="40" t="s">
        <v>228</v>
      </c>
      <c r="D13" s="40" t="s">
        <v>1134</v>
      </c>
      <c r="E13" s="40" t="s">
        <v>143</v>
      </c>
      <c r="F13" s="6">
        <f>F14</f>
        <v>4111</v>
      </c>
      <c r="G13" s="6">
        <f>G14</f>
        <v>4111</v>
      </c>
    </row>
    <row r="14" spans="1:11" ht="47.25" x14ac:dyDescent="0.25">
      <c r="A14" s="29" t="s">
        <v>144</v>
      </c>
      <c r="B14" s="40" t="s">
        <v>133</v>
      </c>
      <c r="C14" s="40" t="s">
        <v>228</v>
      </c>
      <c r="D14" s="40" t="s">
        <v>1134</v>
      </c>
      <c r="E14" s="40" t="s">
        <v>145</v>
      </c>
      <c r="F14" s="6">
        <f>'пр.4.1.ведом.21-22'!G1066</f>
        <v>4111</v>
      </c>
      <c r="G14" s="6">
        <f>'пр.4.1.ведом.21-22'!H1066</f>
        <v>4111</v>
      </c>
    </row>
    <row r="15" spans="1:11" ht="31.5" x14ac:dyDescent="0.25">
      <c r="A15" s="29" t="s">
        <v>146</v>
      </c>
      <c r="B15" s="40" t="s">
        <v>133</v>
      </c>
      <c r="C15" s="40" t="s">
        <v>228</v>
      </c>
      <c r="D15" s="40" t="s">
        <v>1134</v>
      </c>
      <c r="E15" s="40" t="s">
        <v>147</v>
      </c>
      <c r="F15" s="6">
        <f>F16</f>
        <v>90</v>
      </c>
      <c r="G15" s="6">
        <f>G16</f>
        <v>90</v>
      </c>
    </row>
    <row r="16" spans="1:11" ht="47.25" x14ac:dyDescent="0.25">
      <c r="A16" s="29" t="s">
        <v>148</v>
      </c>
      <c r="B16" s="40" t="s">
        <v>133</v>
      </c>
      <c r="C16" s="40" t="s">
        <v>228</v>
      </c>
      <c r="D16" s="40" t="s">
        <v>1134</v>
      </c>
      <c r="E16" s="40" t="s">
        <v>149</v>
      </c>
      <c r="F16" s="6">
        <f>'пр.4.1.ведом.21-22'!G1068</f>
        <v>90</v>
      </c>
      <c r="G16" s="6">
        <f>'пр.4.1.ведом.21-22'!H1068</f>
        <v>90</v>
      </c>
    </row>
    <row r="17" spans="1:7" ht="47.25" x14ac:dyDescent="0.25">
      <c r="A17" s="25" t="s">
        <v>883</v>
      </c>
      <c r="B17" s="40" t="s">
        <v>133</v>
      </c>
      <c r="C17" s="40" t="s">
        <v>228</v>
      </c>
      <c r="D17" s="40" t="s">
        <v>1135</v>
      </c>
      <c r="E17" s="40"/>
      <c r="F17" s="6">
        <f>F18</f>
        <v>42</v>
      </c>
      <c r="G17" s="6">
        <f t="shared" ref="G17:G66" si="1">F17</f>
        <v>42</v>
      </c>
    </row>
    <row r="18" spans="1:7" ht="94.5" x14ac:dyDescent="0.25">
      <c r="A18" s="25" t="s">
        <v>142</v>
      </c>
      <c r="B18" s="40" t="s">
        <v>133</v>
      </c>
      <c r="C18" s="40" t="s">
        <v>228</v>
      </c>
      <c r="D18" s="40" t="s">
        <v>1135</v>
      </c>
      <c r="E18" s="40" t="s">
        <v>143</v>
      </c>
      <c r="F18" s="6">
        <f>F19</f>
        <v>42</v>
      </c>
      <c r="G18" s="6">
        <f>G19</f>
        <v>42</v>
      </c>
    </row>
    <row r="19" spans="1:7" ht="47.25" x14ac:dyDescent="0.25">
      <c r="A19" s="25" t="s">
        <v>144</v>
      </c>
      <c r="B19" s="40" t="s">
        <v>133</v>
      </c>
      <c r="C19" s="40" t="s">
        <v>228</v>
      </c>
      <c r="D19" s="40" t="s">
        <v>1135</v>
      </c>
      <c r="E19" s="40" t="s">
        <v>145</v>
      </c>
      <c r="F19" s="6">
        <f>'пр.4.1.ведом.21-22'!G1071</f>
        <v>42</v>
      </c>
      <c r="G19" s="6">
        <f>'пр.4.1.ведом.21-22'!H1071</f>
        <v>42</v>
      </c>
    </row>
    <row r="20" spans="1:7" ht="63" x14ac:dyDescent="0.25">
      <c r="A20" s="23" t="s">
        <v>1426</v>
      </c>
      <c r="B20" s="24" t="s">
        <v>133</v>
      </c>
      <c r="C20" s="7" t="s">
        <v>228</v>
      </c>
      <c r="D20" s="24" t="s">
        <v>177</v>
      </c>
      <c r="E20" s="7"/>
      <c r="F20" s="339">
        <f>F21</f>
        <v>25.5</v>
      </c>
      <c r="G20" s="339">
        <f>G21</f>
        <v>25.5</v>
      </c>
    </row>
    <row r="21" spans="1:7" ht="78.75" x14ac:dyDescent="0.25">
      <c r="A21" s="247" t="s">
        <v>887</v>
      </c>
      <c r="B21" s="24" t="s">
        <v>133</v>
      </c>
      <c r="C21" s="7" t="s">
        <v>228</v>
      </c>
      <c r="D21" s="7" t="s">
        <v>894</v>
      </c>
      <c r="E21" s="7"/>
      <c r="F21" s="339">
        <f>F22+F25</f>
        <v>25.5</v>
      </c>
      <c r="G21" s="339">
        <f>G22+G25</f>
        <v>25.5</v>
      </c>
    </row>
    <row r="22" spans="1:7" ht="63" x14ac:dyDescent="0.25">
      <c r="A22" s="31" t="s">
        <v>710</v>
      </c>
      <c r="B22" s="20" t="s">
        <v>133</v>
      </c>
      <c r="C22" s="20" t="s">
        <v>228</v>
      </c>
      <c r="D22" s="40" t="s">
        <v>1140</v>
      </c>
      <c r="E22" s="20"/>
      <c r="F22" s="6">
        <f>F23</f>
        <v>0.5</v>
      </c>
      <c r="G22" s="6">
        <f>G23</f>
        <v>0.5</v>
      </c>
    </row>
    <row r="23" spans="1:7" ht="31.5" x14ac:dyDescent="0.25">
      <c r="A23" s="25" t="s">
        <v>146</v>
      </c>
      <c r="B23" s="20" t="s">
        <v>133</v>
      </c>
      <c r="C23" s="20" t="s">
        <v>228</v>
      </c>
      <c r="D23" s="40" t="s">
        <v>1140</v>
      </c>
      <c r="E23" s="20" t="s">
        <v>147</v>
      </c>
      <c r="F23" s="6">
        <f>F24</f>
        <v>0.5</v>
      </c>
      <c r="G23" s="6">
        <f>G24</f>
        <v>0.5</v>
      </c>
    </row>
    <row r="24" spans="1:7" ht="47.25" x14ac:dyDescent="0.25">
      <c r="A24" s="25" t="s">
        <v>148</v>
      </c>
      <c r="B24" s="20" t="s">
        <v>133</v>
      </c>
      <c r="C24" s="20" t="s">
        <v>228</v>
      </c>
      <c r="D24" s="40" t="s">
        <v>711</v>
      </c>
      <c r="E24" s="20" t="s">
        <v>149</v>
      </c>
      <c r="F24" s="6">
        <f>'пр.4.1.ведом.21-22'!G1076</f>
        <v>0.5</v>
      </c>
      <c r="G24" s="6">
        <f>'пр.4.1.ведом.21-22'!H1076</f>
        <v>0.5</v>
      </c>
    </row>
    <row r="25" spans="1:7" ht="63" x14ac:dyDescent="0.25">
      <c r="A25" s="31" t="s">
        <v>710</v>
      </c>
      <c r="B25" s="20" t="s">
        <v>133</v>
      </c>
      <c r="C25" s="20" t="s">
        <v>228</v>
      </c>
      <c r="D25" s="20" t="s">
        <v>1139</v>
      </c>
      <c r="E25" s="20"/>
      <c r="F25" s="6">
        <f>'Пр.3 Рд,пр, ЦС,ВР 20'!F25</f>
        <v>25</v>
      </c>
      <c r="G25" s="6">
        <f t="shared" si="1"/>
        <v>25</v>
      </c>
    </row>
    <row r="26" spans="1:7" ht="31.5" x14ac:dyDescent="0.25">
      <c r="A26" s="25" t="s">
        <v>146</v>
      </c>
      <c r="B26" s="20" t="s">
        <v>133</v>
      </c>
      <c r="C26" s="20" t="s">
        <v>228</v>
      </c>
      <c r="D26" s="20" t="s">
        <v>1139</v>
      </c>
      <c r="E26" s="20" t="s">
        <v>147</v>
      </c>
      <c r="F26" s="6">
        <f>'Пр.3 Рд,пр, ЦС,ВР 20'!F26</f>
        <v>25</v>
      </c>
      <c r="G26" s="6">
        <f t="shared" si="1"/>
        <v>25</v>
      </c>
    </row>
    <row r="27" spans="1:7" ht="47.25" x14ac:dyDescent="0.25">
      <c r="A27" s="25" t="s">
        <v>148</v>
      </c>
      <c r="B27" s="20" t="s">
        <v>133</v>
      </c>
      <c r="C27" s="20" t="s">
        <v>228</v>
      </c>
      <c r="D27" s="20" t="s">
        <v>1139</v>
      </c>
      <c r="E27" s="20" t="s">
        <v>149</v>
      </c>
      <c r="F27" s="6">
        <f>'пр.4.1.ведом.21-22'!G1079</f>
        <v>25</v>
      </c>
      <c r="G27" s="6">
        <f>'пр.4.1.ведом.21-22'!H1079</f>
        <v>25</v>
      </c>
    </row>
    <row r="28" spans="1:7" ht="78.75" x14ac:dyDescent="0.25">
      <c r="A28" s="41" t="s">
        <v>593</v>
      </c>
      <c r="B28" s="7" t="s">
        <v>133</v>
      </c>
      <c r="C28" s="7" t="s">
        <v>230</v>
      </c>
      <c r="D28" s="7"/>
      <c r="E28" s="7"/>
      <c r="F28" s="4">
        <f t="shared" ref="F28:G29" si="2">F29</f>
        <v>1091</v>
      </c>
      <c r="G28" s="4">
        <f t="shared" si="2"/>
        <v>1091</v>
      </c>
    </row>
    <row r="29" spans="1:7" ht="31.5" x14ac:dyDescent="0.25">
      <c r="A29" s="23" t="s">
        <v>988</v>
      </c>
      <c r="B29" s="7" t="s">
        <v>133</v>
      </c>
      <c r="C29" s="7" t="s">
        <v>230</v>
      </c>
      <c r="D29" s="7" t="s">
        <v>902</v>
      </c>
      <c r="E29" s="7"/>
      <c r="F29" s="4">
        <f t="shared" si="2"/>
        <v>1091</v>
      </c>
      <c r="G29" s="4">
        <f t="shared" si="2"/>
        <v>1091</v>
      </c>
    </row>
    <row r="30" spans="1:7" ht="31.5" x14ac:dyDescent="0.25">
      <c r="A30" s="23" t="s">
        <v>1132</v>
      </c>
      <c r="B30" s="7" t="s">
        <v>133</v>
      </c>
      <c r="C30" s="7" t="s">
        <v>230</v>
      </c>
      <c r="D30" s="7" t="s">
        <v>1133</v>
      </c>
      <c r="E30" s="7"/>
      <c r="F30" s="4">
        <f>F31+F36</f>
        <v>1091</v>
      </c>
      <c r="G30" s="4">
        <f>G31+G36</f>
        <v>1091</v>
      </c>
    </row>
    <row r="31" spans="1:7" ht="31.5" x14ac:dyDescent="0.25">
      <c r="A31" s="25" t="s">
        <v>1136</v>
      </c>
      <c r="B31" s="40" t="s">
        <v>133</v>
      </c>
      <c r="C31" s="40" t="s">
        <v>230</v>
      </c>
      <c r="D31" s="40" t="s">
        <v>1137</v>
      </c>
      <c r="E31" s="40"/>
      <c r="F31" s="6">
        <f>F32+F34</f>
        <v>1091</v>
      </c>
      <c r="G31" s="6">
        <f>G32+G34</f>
        <v>1091</v>
      </c>
    </row>
    <row r="32" spans="1:7" ht="94.5" x14ac:dyDescent="0.25">
      <c r="A32" s="29" t="s">
        <v>142</v>
      </c>
      <c r="B32" s="40" t="s">
        <v>133</v>
      </c>
      <c r="C32" s="40" t="s">
        <v>230</v>
      </c>
      <c r="D32" s="40" t="s">
        <v>1137</v>
      </c>
      <c r="E32" s="40" t="s">
        <v>143</v>
      </c>
      <c r="F32" s="6">
        <f>F33</f>
        <v>998</v>
      </c>
      <c r="G32" s="6">
        <f>G33</f>
        <v>998</v>
      </c>
    </row>
    <row r="33" spans="1:7" ht="35.450000000000003" customHeight="1" x14ac:dyDescent="0.25">
      <c r="A33" s="29" t="s">
        <v>144</v>
      </c>
      <c r="B33" s="40" t="s">
        <v>133</v>
      </c>
      <c r="C33" s="40" t="s">
        <v>230</v>
      </c>
      <c r="D33" s="40" t="s">
        <v>1137</v>
      </c>
      <c r="E33" s="40" t="s">
        <v>145</v>
      </c>
      <c r="F33" s="6">
        <f>'пр.4.1.ведом.21-22'!G1085</f>
        <v>998</v>
      </c>
      <c r="G33" s="6">
        <f>'пр.4.1.ведом.21-22'!H1085</f>
        <v>998</v>
      </c>
    </row>
    <row r="34" spans="1:7" ht="31.5" x14ac:dyDescent="0.25">
      <c r="A34" s="29" t="s">
        <v>146</v>
      </c>
      <c r="B34" s="40" t="s">
        <v>133</v>
      </c>
      <c r="C34" s="40" t="s">
        <v>230</v>
      </c>
      <c r="D34" s="40" t="s">
        <v>1137</v>
      </c>
      <c r="E34" s="40" t="s">
        <v>147</v>
      </c>
      <c r="F34" s="6">
        <f>F35</f>
        <v>93</v>
      </c>
      <c r="G34" s="6">
        <f>G35</f>
        <v>93</v>
      </c>
    </row>
    <row r="35" spans="1:7" ht="47.25" x14ac:dyDescent="0.25">
      <c r="A35" s="29" t="s">
        <v>148</v>
      </c>
      <c r="B35" s="40" t="s">
        <v>133</v>
      </c>
      <c r="C35" s="40" t="s">
        <v>230</v>
      </c>
      <c r="D35" s="40" t="s">
        <v>1137</v>
      </c>
      <c r="E35" s="40" t="s">
        <v>149</v>
      </c>
      <c r="F35" s="6">
        <f>'пр.4.1.ведом.21-22'!G1087</f>
        <v>93</v>
      </c>
      <c r="G35" s="6">
        <f>'пр.4.1.ведом.21-22'!H1087</f>
        <v>93</v>
      </c>
    </row>
    <row r="36" spans="1:7" ht="47.25" hidden="1" x14ac:dyDescent="0.25">
      <c r="A36" s="25" t="s">
        <v>883</v>
      </c>
      <c r="B36" s="40" t="s">
        <v>133</v>
      </c>
      <c r="C36" s="40" t="s">
        <v>230</v>
      </c>
      <c r="D36" s="40" t="s">
        <v>1135</v>
      </c>
      <c r="E36" s="40"/>
      <c r="F36" s="6">
        <f>'Пр.3 Рд,пр, ЦС,ВР 20'!F36</f>
        <v>0</v>
      </c>
      <c r="G36" s="6">
        <f t="shared" si="1"/>
        <v>0</v>
      </c>
    </row>
    <row r="37" spans="1:7" ht="94.5" hidden="1" x14ac:dyDescent="0.25">
      <c r="A37" s="25" t="s">
        <v>142</v>
      </c>
      <c r="B37" s="40" t="s">
        <v>133</v>
      </c>
      <c r="C37" s="40" t="s">
        <v>230</v>
      </c>
      <c r="D37" s="40" t="s">
        <v>1135</v>
      </c>
      <c r="E37" s="40" t="s">
        <v>143</v>
      </c>
      <c r="F37" s="6">
        <f>'Пр.3 Рд,пр, ЦС,ВР 20'!F37</f>
        <v>0</v>
      </c>
      <c r="G37" s="6">
        <f t="shared" si="1"/>
        <v>0</v>
      </c>
    </row>
    <row r="38" spans="1:7" ht="39.75" hidden="1" customHeight="1" x14ac:dyDescent="0.25">
      <c r="A38" s="25" t="s">
        <v>144</v>
      </c>
      <c r="B38" s="40" t="s">
        <v>133</v>
      </c>
      <c r="C38" s="40" t="s">
        <v>230</v>
      </c>
      <c r="D38" s="40" t="s">
        <v>1135</v>
      </c>
      <c r="E38" s="40" t="s">
        <v>145</v>
      </c>
      <c r="F38" s="6">
        <f>'Пр.3 Рд,пр, ЦС,ВР 20'!F38</f>
        <v>0</v>
      </c>
      <c r="G38" s="6">
        <f t="shared" si="1"/>
        <v>0</v>
      </c>
    </row>
    <row r="39" spans="1:7" ht="94.5" x14ac:dyDescent="0.25">
      <c r="A39" s="41" t="s">
        <v>164</v>
      </c>
      <c r="B39" s="7" t="s">
        <v>133</v>
      </c>
      <c r="C39" s="7" t="s">
        <v>165</v>
      </c>
      <c r="D39" s="7"/>
      <c r="E39" s="7"/>
      <c r="F39" s="4">
        <f>F40+F79</f>
        <v>62536.4</v>
      </c>
      <c r="G39" s="4">
        <f>G40+G79</f>
        <v>62593.1</v>
      </c>
    </row>
    <row r="40" spans="1:7" ht="31.5" x14ac:dyDescent="0.25">
      <c r="A40" s="23" t="s">
        <v>988</v>
      </c>
      <c r="B40" s="7" t="s">
        <v>133</v>
      </c>
      <c r="C40" s="7" t="s">
        <v>165</v>
      </c>
      <c r="D40" s="7" t="s">
        <v>902</v>
      </c>
      <c r="E40" s="7"/>
      <c r="F40" s="4">
        <f>F41+F57</f>
        <v>62012.9</v>
      </c>
      <c r="G40" s="4">
        <f>G41+G57</f>
        <v>62069.599999999999</v>
      </c>
    </row>
    <row r="41" spans="1:7" ht="15.75" x14ac:dyDescent="0.25">
      <c r="A41" s="23" t="s">
        <v>989</v>
      </c>
      <c r="B41" s="7" t="s">
        <v>133</v>
      </c>
      <c r="C41" s="7" t="s">
        <v>165</v>
      </c>
      <c r="D41" s="7" t="s">
        <v>903</v>
      </c>
      <c r="E41" s="7"/>
      <c r="F41" s="4">
        <f>F42+F51+F54</f>
        <v>58868</v>
      </c>
      <c r="G41" s="4">
        <f>G42+G51+G54</f>
        <v>58858</v>
      </c>
    </row>
    <row r="42" spans="1:7" ht="31.5" x14ac:dyDescent="0.25">
      <c r="A42" s="29" t="s">
        <v>965</v>
      </c>
      <c r="B42" s="40" t="s">
        <v>133</v>
      </c>
      <c r="C42" s="40" t="s">
        <v>165</v>
      </c>
      <c r="D42" s="40" t="s">
        <v>904</v>
      </c>
      <c r="E42" s="40"/>
      <c r="F42" s="6">
        <f>F43+F45+F47+F49</f>
        <v>54016</v>
      </c>
      <c r="G42" s="6">
        <f>G43+G45+G47+G49</f>
        <v>54006</v>
      </c>
    </row>
    <row r="43" spans="1:7" ht="94.5" x14ac:dyDescent="0.25">
      <c r="A43" s="29" t="s">
        <v>142</v>
      </c>
      <c r="B43" s="40" t="s">
        <v>133</v>
      </c>
      <c r="C43" s="40" t="s">
        <v>165</v>
      </c>
      <c r="D43" s="40" t="s">
        <v>904</v>
      </c>
      <c r="E43" s="40" t="s">
        <v>143</v>
      </c>
      <c r="F43" s="6">
        <f>F44</f>
        <v>47546</v>
      </c>
      <c r="G43" s="6">
        <f>G44</f>
        <v>47546</v>
      </c>
    </row>
    <row r="44" spans="1:7" ht="40.700000000000003" customHeight="1" x14ac:dyDescent="0.25">
      <c r="A44" s="29" t="s">
        <v>144</v>
      </c>
      <c r="B44" s="40" t="s">
        <v>133</v>
      </c>
      <c r="C44" s="40" t="s">
        <v>165</v>
      </c>
      <c r="D44" s="40" t="s">
        <v>904</v>
      </c>
      <c r="E44" s="40" t="s">
        <v>145</v>
      </c>
      <c r="F44" s="6">
        <f>'пр.4.1.ведом.21-22'!G499+'пр.4.1.ведом.21-22'!G37</f>
        <v>47546</v>
      </c>
      <c r="G44" s="6">
        <f>'пр.4.1.ведом.21-22'!H499+'пр.4.1.ведом.21-22'!H37</f>
        <v>47546</v>
      </c>
    </row>
    <row r="45" spans="1:7" ht="31.5" x14ac:dyDescent="0.25">
      <c r="A45" s="29" t="s">
        <v>146</v>
      </c>
      <c r="B45" s="40" t="s">
        <v>133</v>
      </c>
      <c r="C45" s="40" t="s">
        <v>165</v>
      </c>
      <c r="D45" s="40" t="s">
        <v>904</v>
      </c>
      <c r="E45" s="40" t="s">
        <v>147</v>
      </c>
      <c r="F45" s="6">
        <f>F46</f>
        <v>5509</v>
      </c>
      <c r="G45" s="6">
        <f>G46</f>
        <v>5499</v>
      </c>
    </row>
    <row r="46" spans="1:7" ht="47.25" x14ac:dyDescent="0.25">
      <c r="A46" s="29" t="s">
        <v>148</v>
      </c>
      <c r="B46" s="40" t="s">
        <v>133</v>
      </c>
      <c r="C46" s="40" t="s">
        <v>165</v>
      </c>
      <c r="D46" s="40" t="s">
        <v>904</v>
      </c>
      <c r="E46" s="40" t="s">
        <v>149</v>
      </c>
      <c r="F46" s="6">
        <f>'пр.4.1.ведом.21-22'!G39+'пр.4.1.ведом.21-22'!G501</f>
        <v>5509</v>
      </c>
      <c r="G46" s="6">
        <f>'пр.4.1.ведом.21-22'!H39+'пр.4.1.ведом.21-22'!H501</f>
        <v>5499</v>
      </c>
    </row>
    <row r="47" spans="1:7" ht="31.5" x14ac:dyDescent="0.25">
      <c r="A47" s="25" t="s">
        <v>263</v>
      </c>
      <c r="B47" s="40" t="s">
        <v>133</v>
      </c>
      <c r="C47" s="40" t="s">
        <v>165</v>
      </c>
      <c r="D47" s="40" t="s">
        <v>904</v>
      </c>
      <c r="E47" s="40" t="s">
        <v>264</v>
      </c>
      <c r="F47" s="6">
        <f>F48</f>
        <v>755</v>
      </c>
      <c r="G47" s="6">
        <f>G48</f>
        <v>755</v>
      </c>
    </row>
    <row r="48" spans="1:7" ht="47.25" x14ac:dyDescent="0.25">
      <c r="A48" s="25" t="s">
        <v>265</v>
      </c>
      <c r="B48" s="40" t="s">
        <v>133</v>
      </c>
      <c r="C48" s="40" t="s">
        <v>165</v>
      </c>
      <c r="D48" s="40" t="s">
        <v>904</v>
      </c>
      <c r="E48" s="40" t="s">
        <v>266</v>
      </c>
      <c r="F48" s="6">
        <f>'пр.4.1.ведом.21-22'!G41</f>
        <v>755</v>
      </c>
      <c r="G48" s="6">
        <f>'пр.4.1.ведом.21-22'!H41</f>
        <v>755</v>
      </c>
    </row>
    <row r="49" spans="1:7" ht="15.75" x14ac:dyDescent="0.25">
      <c r="A49" s="29" t="s">
        <v>150</v>
      </c>
      <c r="B49" s="40" t="s">
        <v>133</v>
      </c>
      <c r="C49" s="40" t="s">
        <v>165</v>
      </c>
      <c r="D49" s="40" t="s">
        <v>904</v>
      </c>
      <c r="E49" s="40" t="s">
        <v>160</v>
      </c>
      <c r="F49" s="6">
        <f>F50</f>
        <v>206</v>
      </c>
      <c r="G49" s="6">
        <f>G50</f>
        <v>206</v>
      </c>
    </row>
    <row r="50" spans="1:7" ht="19.5" customHeight="1" x14ac:dyDescent="0.25">
      <c r="A50" s="29" t="s">
        <v>583</v>
      </c>
      <c r="B50" s="40" t="s">
        <v>133</v>
      </c>
      <c r="C50" s="40" t="s">
        <v>165</v>
      </c>
      <c r="D50" s="40" t="s">
        <v>904</v>
      </c>
      <c r="E50" s="40" t="s">
        <v>153</v>
      </c>
      <c r="F50" s="6">
        <f>'пр.4.1.ведом.21-22'!G43+'пр.4.1.ведом.21-22'!G503</f>
        <v>206</v>
      </c>
      <c r="G50" s="6">
        <f>'пр.4.1.ведом.21-22'!H43+'пр.4.1.ведом.21-22'!H503</f>
        <v>206</v>
      </c>
    </row>
    <row r="51" spans="1:7" ht="47.25" x14ac:dyDescent="0.25">
      <c r="A51" s="25" t="s">
        <v>168</v>
      </c>
      <c r="B51" s="20" t="s">
        <v>133</v>
      </c>
      <c r="C51" s="20" t="s">
        <v>165</v>
      </c>
      <c r="D51" s="40" t="s">
        <v>905</v>
      </c>
      <c r="E51" s="20"/>
      <c r="F51" s="6">
        <f>F52</f>
        <v>2962</v>
      </c>
      <c r="G51" s="6">
        <f>G52</f>
        <v>2962</v>
      </c>
    </row>
    <row r="52" spans="1:7" ht="94.5" x14ac:dyDescent="0.25">
      <c r="A52" s="25" t="s">
        <v>142</v>
      </c>
      <c r="B52" s="20" t="s">
        <v>133</v>
      </c>
      <c r="C52" s="20" t="s">
        <v>165</v>
      </c>
      <c r="D52" s="40" t="s">
        <v>905</v>
      </c>
      <c r="E52" s="20" t="s">
        <v>143</v>
      </c>
      <c r="F52" s="6">
        <f>F53</f>
        <v>2962</v>
      </c>
      <c r="G52" s="6">
        <f>G53</f>
        <v>2962</v>
      </c>
    </row>
    <row r="53" spans="1:7" ht="33.75" customHeight="1" x14ac:dyDescent="0.25">
      <c r="A53" s="25" t="s">
        <v>144</v>
      </c>
      <c r="B53" s="20" t="s">
        <v>133</v>
      </c>
      <c r="C53" s="20" t="s">
        <v>165</v>
      </c>
      <c r="D53" s="40" t="s">
        <v>905</v>
      </c>
      <c r="E53" s="20" t="s">
        <v>145</v>
      </c>
      <c r="F53" s="6">
        <f>'пр.4.1.ведом.21-22'!G46</f>
        <v>2962</v>
      </c>
      <c r="G53" s="6">
        <f>'пр.4.1.ведом.21-22'!H46</f>
        <v>2962</v>
      </c>
    </row>
    <row r="54" spans="1:7" ht="47.25" x14ac:dyDescent="0.25">
      <c r="A54" s="25" t="s">
        <v>883</v>
      </c>
      <c r="B54" s="40" t="s">
        <v>133</v>
      </c>
      <c r="C54" s="20" t="s">
        <v>165</v>
      </c>
      <c r="D54" s="40" t="s">
        <v>906</v>
      </c>
      <c r="E54" s="40"/>
      <c r="F54" s="6">
        <f>F55</f>
        <v>1890</v>
      </c>
      <c r="G54" s="6">
        <f>G55</f>
        <v>1890</v>
      </c>
    </row>
    <row r="55" spans="1:7" ht="94.5" x14ac:dyDescent="0.25">
      <c r="A55" s="25" t="s">
        <v>142</v>
      </c>
      <c r="B55" s="40" t="s">
        <v>133</v>
      </c>
      <c r="C55" s="20" t="s">
        <v>165</v>
      </c>
      <c r="D55" s="40" t="s">
        <v>906</v>
      </c>
      <c r="E55" s="40" t="s">
        <v>143</v>
      </c>
      <c r="F55" s="6">
        <f>F56</f>
        <v>1890</v>
      </c>
      <c r="G55" s="6">
        <f>G56</f>
        <v>1890</v>
      </c>
    </row>
    <row r="56" spans="1:7" ht="31.7" customHeight="1" x14ac:dyDescent="0.25">
      <c r="A56" s="25" t="s">
        <v>144</v>
      </c>
      <c r="B56" s="40" t="s">
        <v>133</v>
      </c>
      <c r="C56" s="20" t="s">
        <v>165</v>
      </c>
      <c r="D56" s="40" t="s">
        <v>906</v>
      </c>
      <c r="E56" s="40" t="s">
        <v>145</v>
      </c>
      <c r="F56" s="6">
        <f>'пр.4.1.ведом.21-22'!G49+'пр.4.1.ведом.21-22'!G506</f>
        <v>1890</v>
      </c>
      <c r="G56" s="6">
        <f>'пр.4.1.ведом.21-22'!H49+'пр.4.1.ведом.21-22'!H506</f>
        <v>1890</v>
      </c>
    </row>
    <row r="57" spans="1:7" ht="47.25" x14ac:dyDescent="0.25">
      <c r="A57" s="23" t="s">
        <v>930</v>
      </c>
      <c r="B57" s="7" t="s">
        <v>133</v>
      </c>
      <c r="C57" s="24" t="s">
        <v>165</v>
      </c>
      <c r="D57" s="7" t="s">
        <v>907</v>
      </c>
      <c r="E57" s="7"/>
      <c r="F57" s="4">
        <f>F58+F61+F66+F71+F76</f>
        <v>3144.9</v>
      </c>
      <c r="G57" s="4">
        <f>G58+G61+G66+G71+G76</f>
        <v>3211.6</v>
      </c>
    </row>
    <row r="58" spans="1:7" ht="47.25" x14ac:dyDescent="0.25">
      <c r="A58" s="25" t="s">
        <v>202</v>
      </c>
      <c r="B58" s="40" t="s">
        <v>133</v>
      </c>
      <c r="C58" s="20" t="s">
        <v>165</v>
      </c>
      <c r="D58" s="40" t="s">
        <v>1258</v>
      </c>
      <c r="E58" s="7"/>
      <c r="F58" s="6">
        <f>F59</f>
        <v>6.3</v>
      </c>
      <c r="G58" s="6">
        <f>G59</f>
        <v>51</v>
      </c>
    </row>
    <row r="59" spans="1:7" ht="31.5" x14ac:dyDescent="0.25">
      <c r="A59" s="25" t="s">
        <v>146</v>
      </c>
      <c r="B59" s="40" t="s">
        <v>133</v>
      </c>
      <c r="C59" s="20" t="s">
        <v>165</v>
      </c>
      <c r="D59" s="40" t="s">
        <v>1258</v>
      </c>
      <c r="E59" s="40" t="s">
        <v>147</v>
      </c>
      <c r="F59" s="6">
        <f>F60</f>
        <v>6.3</v>
      </c>
      <c r="G59" s="6">
        <f>G60</f>
        <v>51</v>
      </c>
    </row>
    <row r="60" spans="1:7" ht="47.25" x14ac:dyDescent="0.25">
      <c r="A60" s="25" t="s">
        <v>148</v>
      </c>
      <c r="B60" s="40" t="s">
        <v>133</v>
      </c>
      <c r="C60" s="20" t="s">
        <v>165</v>
      </c>
      <c r="D60" s="40" t="s">
        <v>1258</v>
      </c>
      <c r="E60" s="40" t="s">
        <v>149</v>
      </c>
      <c r="F60" s="6">
        <f>'пр.4.1.ведом.21-22'!G53</f>
        <v>6.3</v>
      </c>
      <c r="G60" s="6">
        <f>'пр.4.1.ведом.21-22'!H53</f>
        <v>51</v>
      </c>
    </row>
    <row r="61" spans="1:7" ht="63" x14ac:dyDescent="0.25">
      <c r="A61" s="45" t="s">
        <v>204</v>
      </c>
      <c r="B61" s="40" t="s">
        <v>133</v>
      </c>
      <c r="C61" s="20" t="s">
        <v>165</v>
      </c>
      <c r="D61" s="40" t="s">
        <v>991</v>
      </c>
      <c r="E61" s="40"/>
      <c r="F61" s="6">
        <f>F62+F64</f>
        <v>567.40000000000009</v>
      </c>
      <c r="G61" s="6">
        <f>G62+G64</f>
        <v>589.40000000000009</v>
      </c>
    </row>
    <row r="62" spans="1:7" ht="94.5" x14ac:dyDescent="0.25">
      <c r="A62" s="29" t="s">
        <v>142</v>
      </c>
      <c r="B62" s="40" t="s">
        <v>133</v>
      </c>
      <c r="C62" s="20" t="s">
        <v>165</v>
      </c>
      <c r="D62" s="40" t="s">
        <v>991</v>
      </c>
      <c r="E62" s="40" t="s">
        <v>143</v>
      </c>
      <c r="F62" s="6">
        <f>F63</f>
        <v>528.70000000000005</v>
      </c>
      <c r="G62" s="6">
        <f>G63</f>
        <v>528.70000000000005</v>
      </c>
    </row>
    <row r="63" spans="1:7" ht="47.25" x14ac:dyDescent="0.25">
      <c r="A63" s="29" t="s">
        <v>144</v>
      </c>
      <c r="B63" s="40" t="s">
        <v>133</v>
      </c>
      <c r="C63" s="20" t="s">
        <v>165</v>
      </c>
      <c r="D63" s="40" t="s">
        <v>991</v>
      </c>
      <c r="E63" s="40" t="s">
        <v>145</v>
      </c>
      <c r="F63" s="6">
        <f>'пр.4.1.ведом.21-22'!G56</f>
        <v>528.70000000000005</v>
      </c>
      <c r="G63" s="6">
        <f>'пр.4.1.ведом.21-22'!H56</f>
        <v>528.70000000000005</v>
      </c>
    </row>
    <row r="64" spans="1:7" ht="31.5" x14ac:dyDescent="0.25">
      <c r="A64" s="25" t="s">
        <v>146</v>
      </c>
      <c r="B64" s="40" t="s">
        <v>133</v>
      </c>
      <c r="C64" s="20" t="s">
        <v>165</v>
      </c>
      <c r="D64" s="40" t="s">
        <v>991</v>
      </c>
      <c r="E64" s="40" t="s">
        <v>147</v>
      </c>
      <c r="F64" s="6">
        <f>F65</f>
        <v>38.700000000000003</v>
      </c>
      <c r="G64" s="6">
        <f>G65</f>
        <v>60.7</v>
      </c>
    </row>
    <row r="65" spans="1:7" ht="47.25" x14ac:dyDescent="0.25">
      <c r="A65" s="25" t="s">
        <v>148</v>
      </c>
      <c r="B65" s="40" t="s">
        <v>133</v>
      </c>
      <c r="C65" s="20" t="s">
        <v>165</v>
      </c>
      <c r="D65" s="40" t="s">
        <v>991</v>
      </c>
      <c r="E65" s="40" t="s">
        <v>149</v>
      </c>
      <c r="F65" s="6">
        <f>'пр.4.1.ведом.21-22'!G58</f>
        <v>38.700000000000003</v>
      </c>
      <c r="G65" s="6">
        <f>'пр.4.1.ведом.21-22'!H58</f>
        <v>60.7</v>
      </c>
    </row>
    <row r="66" spans="1:7" ht="63" x14ac:dyDescent="0.25">
      <c r="A66" s="31" t="s">
        <v>209</v>
      </c>
      <c r="B66" s="40" t="s">
        <v>133</v>
      </c>
      <c r="C66" s="20" t="s">
        <v>165</v>
      </c>
      <c r="D66" s="40" t="s">
        <v>1195</v>
      </c>
      <c r="E66" s="40"/>
      <c r="F66" s="6">
        <f>'Пр.3 Рд,пр, ЦС,ВР 20'!F71</f>
        <v>1433.3</v>
      </c>
      <c r="G66" s="6">
        <f t="shared" si="1"/>
        <v>1433.3</v>
      </c>
    </row>
    <row r="67" spans="1:7" ht="94.5" x14ac:dyDescent="0.25">
      <c r="A67" s="29" t="s">
        <v>142</v>
      </c>
      <c r="B67" s="40" t="s">
        <v>133</v>
      </c>
      <c r="C67" s="20" t="s">
        <v>165</v>
      </c>
      <c r="D67" s="40" t="s">
        <v>1195</v>
      </c>
      <c r="E67" s="40" t="s">
        <v>143</v>
      </c>
      <c r="F67" s="6">
        <f>F68</f>
        <v>1372.1</v>
      </c>
      <c r="G67" s="6">
        <f>G68</f>
        <v>1372.1</v>
      </c>
    </row>
    <row r="68" spans="1:7" ht="33" customHeight="1" x14ac:dyDescent="0.25">
      <c r="A68" s="29" t="s">
        <v>144</v>
      </c>
      <c r="B68" s="40" t="s">
        <v>133</v>
      </c>
      <c r="C68" s="20" t="s">
        <v>165</v>
      </c>
      <c r="D68" s="40" t="s">
        <v>1195</v>
      </c>
      <c r="E68" s="40" t="s">
        <v>145</v>
      </c>
      <c r="F68" s="6">
        <f>'пр.4.1.ведом.21-22'!G61</f>
        <v>1372.1</v>
      </c>
      <c r="G68" s="6">
        <f>'пр.4.1.ведом.21-22'!H61</f>
        <v>1372.1</v>
      </c>
    </row>
    <row r="69" spans="1:7" ht="31.5" x14ac:dyDescent="0.25">
      <c r="A69" s="25" t="s">
        <v>146</v>
      </c>
      <c r="B69" s="40" t="s">
        <v>133</v>
      </c>
      <c r="C69" s="20" t="s">
        <v>165</v>
      </c>
      <c r="D69" s="40" t="s">
        <v>1195</v>
      </c>
      <c r="E69" s="40" t="s">
        <v>147</v>
      </c>
      <c r="F69" s="6">
        <f>F70</f>
        <v>61.2</v>
      </c>
      <c r="G69" s="6">
        <f>G70</f>
        <v>61.2</v>
      </c>
    </row>
    <row r="70" spans="1:7" ht="47.25" x14ac:dyDescent="0.25">
      <c r="A70" s="25" t="s">
        <v>148</v>
      </c>
      <c r="B70" s="40" t="s">
        <v>133</v>
      </c>
      <c r="C70" s="20" t="s">
        <v>165</v>
      </c>
      <c r="D70" s="40" t="s">
        <v>1195</v>
      </c>
      <c r="E70" s="40" t="s">
        <v>149</v>
      </c>
      <c r="F70" s="6">
        <f>'пр.4.1.ведом.21-22'!G63</f>
        <v>61.2</v>
      </c>
      <c r="G70" s="6">
        <f>'пр.4.1.ведом.21-22'!H63</f>
        <v>61.2</v>
      </c>
    </row>
    <row r="71" spans="1:7" ht="63" x14ac:dyDescent="0.25">
      <c r="A71" s="45" t="s">
        <v>211</v>
      </c>
      <c r="B71" s="40" t="s">
        <v>133</v>
      </c>
      <c r="C71" s="20" t="s">
        <v>165</v>
      </c>
      <c r="D71" s="40" t="s">
        <v>992</v>
      </c>
      <c r="E71" s="40"/>
      <c r="F71" s="6">
        <f>F72+F74</f>
        <v>1115.9000000000001</v>
      </c>
      <c r="G71" s="6">
        <f>G72+G74</f>
        <v>1115.9000000000001</v>
      </c>
    </row>
    <row r="72" spans="1:7" ht="94.5" x14ac:dyDescent="0.25">
      <c r="A72" s="29" t="s">
        <v>142</v>
      </c>
      <c r="B72" s="40" t="s">
        <v>133</v>
      </c>
      <c r="C72" s="20" t="s">
        <v>165</v>
      </c>
      <c r="D72" s="40" t="s">
        <v>992</v>
      </c>
      <c r="E72" s="40" t="s">
        <v>143</v>
      </c>
      <c r="F72" s="6">
        <f>F73</f>
        <v>1026.5</v>
      </c>
      <c r="G72" s="6">
        <f>G73</f>
        <v>1026.5</v>
      </c>
    </row>
    <row r="73" spans="1:7" ht="33.75" customHeight="1" x14ac:dyDescent="0.25">
      <c r="A73" s="29" t="s">
        <v>144</v>
      </c>
      <c r="B73" s="40" t="s">
        <v>133</v>
      </c>
      <c r="C73" s="20" t="s">
        <v>165</v>
      </c>
      <c r="D73" s="40" t="s">
        <v>992</v>
      </c>
      <c r="E73" s="40" t="s">
        <v>145</v>
      </c>
      <c r="F73" s="6">
        <f>'пр.4.1.ведом.21-22'!G66</f>
        <v>1026.5</v>
      </c>
      <c r="G73" s="6">
        <f>'пр.4.1.ведом.21-22'!H66</f>
        <v>1026.5</v>
      </c>
    </row>
    <row r="74" spans="1:7" ht="31.5" x14ac:dyDescent="0.25">
      <c r="A74" s="29" t="s">
        <v>146</v>
      </c>
      <c r="B74" s="40" t="s">
        <v>133</v>
      </c>
      <c r="C74" s="20" t="s">
        <v>165</v>
      </c>
      <c r="D74" s="40" t="s">
        <v>992</v>
      </c>
      <c r="E74" s="40" t="s">
        <v>147</v>
      </c>
      <c r="F74" s="6">
        <f>F75</f>
        <v>89.4</v>
      </c>
      <c r="G74" s="6">
        <f>G75</f>
        <v>89.4</v>
      </c>
    </row>
    <row r="75" spans="1:7" ht="47.25" x14ac:dyDescent="0.25">
      <c r="A75" s="29" t="s">
        <v>148</v>
      </c>
      <c r="B75" s="40" t="s">
        <v>133</v>
      </c>
      <c r="C75" s="20" t="s">
        <v>165</v>
      </c>
      <c r="D75" s="40" t="s">
        <v>992</v>
      </c>
      <c r="E75" s="40" t="s">
        <v>149</v>
      </c>
      <c r="F75" s="6">
        <f>'пр.4.1.ведом.21-22'!G68</f>
        <v>89.4</v>
      </c>
      <c r="G75" s="6">
        <f>'пр.4.1.ведом.21-22'!H68</f>
        <v>89.4</v>
      </c>
    </row>
    <row r="76" spans="1:7" s="221" customFormat="1" ht="110.25" x14ac:dyDescent="0.25">
      <c r="A76" s="31" t="s">
        <v>1413</v>
      </c>
      <c r="B76" s="20" t="s">
        <v>133</v>
      </c>
      <c r="C76" s="20" t="s">
        <v>165</v>
      </c>
      <c r="D76" s="20" t="s">
        <v>1412</v>
      </c>
      <c r="E76" s="20"/>
      <c r="F76" s="26">
        <f>F77</f>
        <v>22</v>
      </c>
      <c r="G76" s="26">
        <f>G77</f>
        <v>22</v>
      </c>
    </row>
    <row r="77" spans="1:7" s="221" customFormat="1" ht="94.5" x14ac:dyDescent="0.25">
      <c r="A77" s="25" t="s">
        <v>142</v>
      </c>
      <c r="B77" s="20" t="s">
        <v>133</v>
      </c>
      <c r="C77" s="20" t="s">
        <v>165</v>
      </c>
      <c r="D77" s="20" t="s">
        <v>1412</v>
      </c>
      <c r="E77" s="20" t="s">
        <v>143</v>
      </c>
      <c r="F77" s="26">
        <f>F78</f>
        <v>22</v>
      </c>
      <c r="G77" s="26">
        <f>G78</f>
        <v>22</v>
      </c>
    </row>
    <row r="78" spans="1:7" s="221" customFormat="1" ht="38.25" customHeight="1" x14ac:dyDescent="0.25">
      <c r="A78" s="25" t="s">
        <v>144</v>
      </c>
      <c r="B78" s="20" t="s">
        <v>133</v>
      </c>
      <c r="C78" s="20" t="s">
        <v>165</v>
      </c>
      <c r="D78" s="20" t="s">
        <v>1412</v>
      </c>
      <c r="E78" s="20" t="s">
        <v>145</v>
      </c>
      <c r="F78" s="26">
        <f>'пр.4.1.ведом.21-22'!G510</f>
        <v>22</v>
      </c>
      <c r="G78" s="6">
        <f>'пр.4.1.ведом.21-22'!H510</f>
        <v>22</v>
      </c>
    </row>
    <row r="79" spans="1:7" ht="63" x14ac:dyDescent="0.25">
      <c r="A79" s="23" t="s">
        <v>1426</v>
      </c>
      <c r="B79" s="24" t="s">
        <v>133</v>
      </c>
      <c r="C79" s="24" t="s">
        <v>165</v>
      </c>
      <c r="D79" s="24" t="s">
        <v>177</v>
      </c>
      <c r="E79" s="24"/>
      <c r="F79" s="4">
        <f>F80+F84+F90</f>
        <v>523.5</v>
      </c>
      <c r="G79" s="4">
        <f>G80+G84+G90</f>
        <v>523.5</v>
      </c>
    </row>
    <row r="80" spans="1:7" ht="78.75" x14ac:dyDescent="0.25">
      <c r="A80" s="248" t="s">
        <v>1153</v>
      </c>
      <c r="B80" s="24" t="s">
        <v>133</v>
      </c>
      <c r="C80" s="24" t="s">
        <v>165</v>
      </c>
      <c r="D80" s="7" t="s">
        <v>893</v>
      </c>
      <c r="E80" s="24"/>
      <c r="F80" s="4">
        <f t="shared" ref="F80:G82" si="3">F81</f>
        <v>446</v>
      </c>
      <c r="G80" s="4">
        <f t="shared" si="3"/>
        <v>446</v>
      </c>
    </row>
    <row r="81" spans="1:7" ht="47.25" x14ac:dyDescent="0.25">
      <c r="A81" s="29" t="s">
        <v>1152</v>
      </c>
      <c r="B81" s="20" t="s">
        <v>133</v>
      </c>
      <c r="C81" s="20" t="s">
        <v>165</v>
      </c>
      <c r="D81" s="40" t="s">
        <v>885</v>
      </c>
      <c r="E81" s="20"/>
      <c r="F81" s="6">
        <f t="shared" si="3"/>
        <v>446</v>
      </c>
      <c r="G81" s="6">
        <f t="shared" si="3"/>
        <v>446</v>
      </c>
    </row>
    <row r="82" spans="1:7" ht="31.5" x14ac:dyDescent="0.25">
      <c r="A82" s="25" t="s">
        <v>146</v>
      </c>
      <c r="B82" s="20" t="s">
        <v>133</v>
      </c>
      <c r="C82" s="20" t="s">
        <v>165</v>
      </c>
      <c r="D82" s="40" t="s">
        <v>885</v>
      </c>
      <c r="E82" s="20" t="s">
        <v>147</v>
      </c>
      <c r="F82" s="6">
        <f t="shared" si="3"/>
        <v>446</v>
      </c>
      <c r="G82" s="6">
        <f t="shared" si="3"/>
        <v>446</v>
      </c>
    </row>
    <row r="83" spans="1:7" ht="47.25" x14ac:dyDescent="0.25">
      <c r="A83" s="25" t="s">
        <v>148</v>
      </c>
      <c r="B83" s="20" t="s">
        <v>133</v>
      </c>
      <c r="C83" s="20" t="s">
        <v>165</v>
      </c>
      <c r="D83" s="40" t="s">
        <v>885</v>
      </c>
      <c r="E83" s="20" t="s">
        <v>149</v>
      </c>
      <c r="F83" s="6">
        <f>'пр.4.1.ведом.21-22'!G73</f>
        <v>446</v>
      </c>
      <c r="G83" s="6">
        <f>'пр.4.1.ведом.21-22'!H73</f>
        <v>446</v>
      </c>
    </row>
    <row r="84" spans="1:7" ht="78.75" x14ac:dyDescent="0.25">
      <c r="A84" s="247" t="s">
        <v>887</v>
      </c>
      <c r="B84" s="24" t="s">
        <v>133</v>
      </c>
      <c r="C84" s="24" t="s">
        <v>165</v>
      </c>
      <c r="D84" s="7" t="s">
        <v>894</v>
      </c>
      <c r="E84" s="24"/>
      <c r="F84" s="4">
        <f>F85</f>
        <v>77</v>
      </c>
      <c r="G84" s="4">
        <f>G85</f>
        <v>77</v>
      </c>
    </row>
    <row r="85" spans="1:7" ht="63" x14ac:dyDescent="0.25">
      <c r="A85" s="178" t="s">
        <v>180</v>
      </c>
      <c r="B85" s="20" t="s">
        <v>133</v>
      </c>
      <c r="C85" s="20" t="s">
        <v>165</v>
      </c>
      <c r="D85" s="40" t="s">
        <v>886</v>
      </c>
      <c r="E85" s="20"/>
      <c r="F85" s="6">
        <f>F86+F88</f>
        <v>77</v>
      </c>
      <c r="G85" s="6">
        <f>G86+G88</f>
        <v>77</v>
      </c>
    </row>
    <row r="86" spans="1:7" ht="94.5" x14ac:dyDescent="0.25">
      <c r="A86" s="25" t="s">
        <v>142</v>
      </c>
      <c r="B86" s="20" t="s">
        <v>133</v>
      </c>
      <c r="C86" s="20" t="s">
        <v>165</v>
      </c>
      <c r="D86" s="40" t="s">
        <v>886</v>
      </c>
      <c r="E86" s="20" t="s">
        <v>143</v>
      </c>
      <c r="F86" s="6">
        <f>F87</f>
        <v>37</v>
      </c>
      <c r="G86" s="6">
        <f>G87</f>
        <v>37</v>
      </c>
    </row>
    <row r="87" spans="1:7" ht="47.25" x14ac:dyDescent="0.25">
      <c r="A87" s="25" t="s">
        <v>144</v>
      </c>
      <c r="B87" s="20" t="s">
        <v>133</v>
      </c>
      <c r="C87" s="20" t="s">
        <v>165</v>
      </c>
      <c r="D87" s="40" t="s">
        <v>886</v>
      </c>
      <c r="E87" s="20" t="s">
        <v>145</v>
      </c>
      <c r="F87" s="6">
        <f>'пр.4.1.ведом.21-22'!G77</f>
        <v>37</v>
      </c>
      <c r="G87" s="6">
        <f>'пр.4.1.ведом.21-22'!H77</f>
        <v>37</v>
      </c>
    </row>
    <row r="88" spans="1:7" ht="31.5" x14ac:dyDescent="0.25">
      <c r="A88" s="25" t="s">
        <v>146</v>
      </c>
      <c r="B88" s="20" t="s">
        <v>133</v>
      </c>
      <c r="C88" s="20" t="s">
        <v>165</v>
      </c>
      <c r="D88" s="40" t="s">
        <v>886</v>
      </c>
      <c r="E88" s="20" t="s">
        <v>147</v>
      </c>
      <c r="F88" s="6">
        <f>F89</f>
        <v>40</v>
      </c>
      <c r="G88" s="6">
        <f>G89</f>
        <v>40</v>
      </c>
    </row>
    <row r="89" spans="1:7" ht="47.25" x14ac:dyDescent="0.25">
      <c r="A89" s="25" t="s">
        <v>148</v>
      </c>
      <c r="B89" s="20" t="s">
        <v>133</v>
      </c>
      <c r="C89" s="20" t="s">
        <v>165</v>
      </c>
      <c r="D89" s="40" t="s">
        <v>886</v>
      </c>
      <c r="E89" s="20" t="s">
        <v>149</v>
      </c>
      <c r="F89" s="6">
        <f>'пр.4.1.ведом.21-22'!G79</f>
        <v>40</v>
      </c>
      <c r="G89" s="6">
        <f>'пр.4.1.ведом.21-22'!H79</f>
        <v>40</v>
      </c>
    </row>
    <row r="90" spans="1:7" ht="78.75" x14ac:dyDescent="0.25">
      <c r="A90" s="249" t="s">
        <v>1154</v>
      </c>
      <c r="B90" s="24" t="s">
        <v>133</v>
      </c>
      <c r="C90" s="24" t="s">
        <v>165</v>
      </c>
      <c r="D90" s="7" t="s">
        <v>895</v>
      </c>
      <c r="E90" s="24"/>
      <c r="F90" s="4">
        <f>F91+F94</f>
        <v>0.5</v>
      </c>
      <c r="G90" s="4">
        <f>G91+G94</f>
        <v>0.5</v>
      </c>
    </row>
    <row r="91" spans="1:7" ht="63" x14ac:dyDescent="0.25">
      <c r="A91" s="33" t="s">
        <v>206</v>
      </c>
      <c r="B91" s="20" t="s">
        <v>133</v>
      </c>
      <c r="C91" s="20" t="s">
        <v>165</v>
      </c>
      <c r="D91" s="40" t="s">
        <v>888</v>
      </c>
      <c r="E91" s="20"/>
      <c r="F91" s="6">
        <f>F92</f>
        <v>0.5</v>
      </c>
      <c r="G91" s="6">
        <f>G92</f>
        <v>0.5</v>
      </c>
    </row>
    <row r="92" spans="1:7" ht="31.5" x14ac:dyDescent="0.25">
      <c r="A92" s="25" t="s">
        <v>146</v>
      </c>
      <c r="B92" s="20" t="s">
        <v>133</v>
      </c>
      <c r="C92" s="20" t="s">
        <v>165</v>
      </c>
      <c r="D92" s="40" t="s">
        <v>888</v>
      </c>
      <c r="E92" s="20" t="s">
        <v>147</v>
      </c>
      <c r="F92" s="6">
        <f>F93</f>
        <v>0.5</v>
      </c>
      <c r="G92" s="6">
        <f>G93</f>
        <v>0.5</v>
      </c>
    </row>
    <row r="93" spans="1:7" ht="47.25" x14ac:dyDescent="0.25">
      <c r="A93" s="25" t="s">
        <v>148</v>
      </c>
      <c r="B93" s="20" t="s">
        <v>133</v>
      </c>
      <c r="C93" s="20" t="s">
        <v>165</v>
      </c>
      <c r="D93" s="40" t="s">
        <v>888</v>
      </c>
      <c r="E93" s="20" t="s">
        <v>149</v>
      </c>
      <c r="F93" s="6">
        <f>'пр.4.1.ведом.21-22'!G83</f>
        <v>0.5</v>
      </c>
      <c r="G93" s="6">
        <f>'пр.4.1.ведом.21-22'!H83</f>
        <v>0.5</v>
      </c>
    </row>
    <row r="94" spans="1:7" ht="63" hidden="1" x14ac:dyDescent="0.25">
      <c r="A94" s="33" t="s">
        <v>206</v>
      </c>
      <c r="B94" s="20" t="s">
        <v>133</v>
      </c>
      <c r="C94" s="20" t="s">
        <v>165</v>
      </c>
      <c r="D94" s="20" t="s">
        <v>889</v>
      </c>
      <c r="E94" s="20"/>
      <c r="F94" s="6">
        <f>'Пр.3 Рд,пр, ЦС,ВР 20'!F99</f>
        <v>0</v>
      </c>
      <c r="G94" s="6">
        <f t="shared" ref="G94:G145" si="4">F94</f>
        <v>0</v>
      </c>
    </row>
    <row r="95" spans="1:7" ht="31.5" hidden="1" x14ac:dyDescent="0.25">
      <c r="A95" s="25" t="s">
        <v>146</v>
      </c>
      <c r="B95" s="20" t="s">
        <v>133</v>
      </c>
      <c r="C95" s="20" t="s">
        <v>165</v>
      </c>
      <c r="D95" s="20" t="s">
        <v>889</v>
      </c>
      <c r="E95" s="20" t="s">
        <v>147</v>
      </c>
      <c r="F95" s="6">
        <f>'Пр.3 Рд,пр, ЦС,ВР 20'!F100</f>
        <v>0</v>
      </c>
      <c r="G95" s="6">
        <f t="shared" si="4"/>
        <v>0</v>
      </c>
    </row>
    <row r="96" spans="1:7" ht="47.25" hidden="1" x14ac:dyDescent="0.25">
      <c r="A96" s="25" t="s">
        <v>148</v>
      </c>
      <c r="B96" s="20" t="s">
        <v>133</v>
      </c>
      <c r="C96" s="20" t="s">
        <v>165</v>
      </c>
      <c r="D96" s="20" t="s">
        <v>889</v>
      </c>
      <c r="E96" s="20" t="s">
        <v>149</v>
      </c>
      <c r="F96" s="6">
        <f>'Пр.3 Рд,пр, ЦС,ВР 20'!F101</f>
        <v>0</v>
      </c>
      <c r="G96" s="6">
        <f t="shared" si="4"/>
        <v>0</v>
      </c>
    </row>
    <row r="97" spans="1:7" ht="63" x14ac:dyDescent="0.25">
      <c r="A97" s="41" t="s">
        <v>134</v>
      </c>
      <c r="B97" s="7" t="s">
        <v>133</v>
      </c>
      <c r="C97" s="7" t="s">
        <v>135</v>
      </c>
      <c r="D97" s="7"/>
      <c r="E97" s="7"/>
      <c r="F97" s="4">
        <f t="shared" ref="F97:G97" si="5">F98</f>
        <v>15283.5</v>
      </c>
      <c r="G97" s="4">
        <f t="shared" si="5"/>
        <v>15283.5</v>
      </c>
    </row>
    <row r="98" spans="1:7" ht="31.5" x14ac:dyDescent="0.25">
      <c r="A98" s="23" t="s">
        <v>988</v>
      </c>
      <c r="B98" s="7" t="s">
        <v>133</v>
      </c>
      <c r="C98" s="7" t="s">
        <v>135</v>
      </c>
      <c r="D98" s="7" t="s">
        <v>902</v>
      </c>
      <c r="E98" s="7"/>
      <c r="F98" s="4">
        <f>F108+F99</f>
        <v>15283.5</v>
      </c>
      <c r="G98" s="4">
        <f>G108+G99</f>
        <v>15283.5</v>
      </c>
    </row>
    <row r="99" spans="1:7" ht="31.5" x14ac:dyDescent="0.25">
      <c r="A99" s="23" t="s">
        <v>1132</v>
      </c>
      <c r="B99" s="7" t="s">
        <v>133</v>
      </c>
      <c r="C99" s="7" t="s">
        <v>135</v>
      </c>
      <c r="D99" s="7" t="s">
        <v>1133</v>
      </c>
      <c r="E99" s="7"/>
      <c r="F99" s="4">
        <f>F100+F105</f>
        <v>1646</v>
      </c>
      <c r="G99" s="4">
        <f>G100+G105</f>
        <v>1646</v>
      </c>
    </row>
    <row r="100" spans="1:7" ht="31.5" x14ac:dyDescent="0.25">
      <c r="A100" s="25" t="s">
        <v>965</v>
      </c>
      <c r="B100" s="20" t="s">
        <v>133</v>
      </c>
      <c r="C100" s="20" t="s">
        <v>135</v>
      </c>
      <c r="D100" s="20" t="s">
        <v>1137</v>
      </c>
      <c r="E100" s="20"/>
      <c r="F100" s="6">
        <f>F101+F103</f>
        <v>1604</v>
      </c>
      <c r="G100" s="6">
        <f>G101+G103</f>
        <v>1604</v>
      </c>
    </row>
    <row r="101" spans="1:7" ht="94.5" x14ac:dyDescent="0.25">
      <c r="A101" s="25" t="s">
        <v>142</v>
      </c>
      <c r="B101" s="20" t="s">
        <v>133</v>
      </c>
      <c r="C101" s="20" t="s">
        <v>135</v>
      </c>
      <c r="D101" s="20" t="s">
        <v>1137</v>
      </c>
      <c r="E101" s="20" t="s">
        <v>143</v>
      </c>
      <c r="F101" s="6">
        <f>F102</f>
        <v>1586</v>
      </c>
      <c r="G101" s="6">
        <f>G102</f>
        <v>1586</v>
      </c>
    </row>
    <row r="102" spans="1:7" ht="47.25" x14ac:dyDescent="0.25">
      <c r="A102" s="25" t="s">
        <v>144</v>
      </c>
      <c r="B102" s="20" t="s">
        <v>133</v>
      </c>
      <c r="C102" s="20" t="s">
        <v>135</v>
      </c>
      <c r="D102" s="20" t="s">
        <v>1137</v>
      </c>
      <c r="E102" s="20" t="s">
        <v>145</v>
      </c>
      <c r="F102" s="6">
        <f>'пр.4.1.ведом.21-22'!G1096</f>
        <v>1586</v>
      </c>
      <c r="G102" s="6">
        <f>'пр.4.1.ведом.21-22'!H1096</f>
        <v>1586</v>
      </c>
    </row>
    <row r="103" spans="1:7" ht="47.25" x14ac:dyDescent="0.25">
      <c r="A103" s="25" t="s">
        <v>213</v>
      </c>
      <c r="B103" s="20" t="s">
        <v>133</v>
      </c>
      <c r="C103" s="20" t="s">
        <v>135</v>
      </c>
      <c r="D103" s="20" t="s">
        <v>1137</v>
      </c>
      <c r="E103" s="20" t="s">
        <v>147</v>
      </c>
      <c r="F103" s="6">
        <f>F104</f>
        <v>18</v>
      </c>
      <c r="G103" s="6">
        <f>G104</f>
        <v>18</v>
      </c>
    </row>
    <row r="104" spans="1:7" ht="47.25" x14ac:dyDescent="0.25">
      <c r="A104" s="25" t="s">
        <v>148</v>
      </c>
      <c r="B104" s="20" t="s">
        <v>133</v>
      </c>
      <c r="C104" s="20" t="s">
        <v>135</v>
      </c>
      <c r="D104" s="20" t="s">
        <v>1137</v>
      </c>
      <c r="E104" s="20" t="s">
        <v>149</v>
      </c>
      <c r="F104" s="6">
        <f>'пр.4.1.ведом.21-22'!G1098</f>
        <v>18</v>
      </c>
      <c r="G104" s="6">
        <f>'пр.4.1.ведом.21-22'!H1098</f>
        <v>18</v>
      </c>
    </row>
    <row r="105" spans="1:7" ht="47.25" x14ac:dyDescent="0.25">
      <c r="A105" s="25" t="s">
        <v>883</v>
      </c>
      <c r="B105" s="20" t="s">
        <v>133</v>
      </c>
      <c r="C105" s="20" t="s">
        <v>135</v>
      </c>
      <c r="D105" s="20" t="s">
        <v>1135</v>
      </c>
      <c r="E105" s="20"/>
      <c r="F105" s="6">
        <f>F106</f>
        <v>42</v>
      </c>
      <c r="G105" s="6">
        <f>G106</f>
        <v>42</v>
      </c>
    </row>
    <row r="106" spans="1:7" ht="94.5" x14ac:dyDescent="0.25">
      <c r="A106" s="25" t="s">
        <v>142</v>
      </c>
      <c r="B106" s="20" t="s">
        <v>133</v>
      </c>
      <c r="C106" s="20" t="s">
        <v>135</v>
      </c>
      <c r="D106" s="20" t="s">
        <v>1135</v>
      </c>
      <c r="E106" s="20" t="s">
        <v>143</v>
      </c>
      <c r="F106" s="6">
        <f>F107</f>
        <v>42</v>
      </c>
      <c r="G106" s="6">
        <f>G107</f>
        <v>42</v>
      </c>
    </row>
    <row r="107" spans="1:7" ht="47.25" x14ac:dyDescent="0.25">
      <c r="A107" s="25" t="s">
        <v>144</v>
      </c>
      <c r="B107" s="20" t="s">
        <v>133</v>
      </c>
      <c r="C107" s="20" t="s">
        <v>135</v>
      </c>
      <c r="D107" s="20" t="s">
        <v>1135</v>
      </c>
      <c r="E107" s="20" t="s">
        <v>145</v>
      </c>
      <c r="F107" s="6">
        <f>'пр.4.1.ведом.21-22'!G1101</f>
        <v>42</v>
      </c>
      <c r="G107" s="6">
        <f>'пр.4.1.ведом.21-22'!H1101</f>
        <v>42</v>
      </c>
    </row>
    <row r="108" spans="1:7" ht="15.75" x14ac:dyDescent="0.25">
      <c r="A108" s="23" t="s">
        <v>989</v>
      </c>
      <c r="B108" s="7" t="s">
        <v>133</v>
      </c>
      <c r="C108" s="7" t="s">
        <v>135</v>
      </c>
      <c r="D108" s="7" t="s">
        <v>903</v>
      </c>
      <c r="E108" s="7"/>
      <c r="F108" s="4">
        <f>F109+F116</f>
        <v>13637.5</v>
      </c>
      <c r="G108" s="4">
        <f>G109+G116</f>
        <v>13637.5</v>
      </c>
    </row>
    <row r="109" spans="1:7" ht="31.5" x14ac:dyDescent="0.25">
      <c r="A109" s="29" t="s">
        <v>965</v>
      </c>
      <c r="B109" s="40" t="s">
        <v>133</v>
      </c>
      <c r="C109" s="40" t="s">
        <v>135</v>
      </c>
      <c r="D109" s="40" t="s">
        <v>904</v>
      </c>
      <c r="E109" s="40"/>
      <c r="F109" s="6">
        <f>F110+F112+F114</f>
        <v>13302.5</v>
      </c>
      <c r="G109" s="6">
        <f>G110+G112+G114</f>
        <v>13302.5</v>
      </c>
    </row>
    <row r="110" spans="1:7" ht="94.5" x14ac:dyDescent="0.25">
      <c r="A110" s="29" t="s">
        <v>142</v>
      </c>
      <c r="B110" s="40" t="s">
        <v>133</v>
      </c>
      <c r="C110" s="40" t="s">
        <v>135</v>
      </c>
      <c r="D110" s="40" t="s">
        <v>904</v>
      </c>
      <c r="E110" s="40" t="s">
        <v>143</v>
      </c>
      <c r="F110" s="6">
        <f>F111</f>
        <v>12474</v>
      </c>
      <c r="G110" s="6">
        <f>G111</f>
        <v>12474</v>
      </c>
    </row>
    <row r="111" spans="1:7" ht="47.25" x14ac:dyDescent="0.25">
      <c r="A111" s="29" t="s">
        <v>144</v>
      </c>
      <c r="B111" s="40" t="s">
        <v>133</v>
      </c>
      <c r="C111" s="40" t="s">
        <v>135</v>
      </c>
      <c r="D111" s="40" t="s">
        <v>904</v>
      </c>
      <c r="E111" s="40" t="s">
        <v>145</v>
      </c>
      <c r="F111" s="6">
        <f>'пр.4.1.ведом.21-22'!G92+'пр.4.1.ведом.21-22'!G16</f>
        <v>12474</v>
      </c>
      <c r="G111" s="6">
        <f>'пр.4.1.ведом.21-22'!H92+'пр.4.1.ведом.21-22'!H16</f>
        <v>12474</v>
      </c>
    </row>
    <row r="112" spans="1:7" ht="31.5" x14ac:dyDescent="0.25">
      <c r="A112" s="29" t="s">
        <v>146</v>
      </c>
      <c r="B112" s="40" t="s">
        <v>133</v>
      </c>
      <c r="C112" s="40" t="s">
        <v>135</v>
      </c>
      <c r="D112" s="40" t="s">
        <v>904</v>
      </c>
      <c r="E112" s="40" t="s">
        <v>147</v>
      </c>
      <c r="F112" s="6">
        <f>F113</f>
        <v>800.5</v>
      </c>
      <c r="G112" s="6">
        <f>G113</f>
        <v>800.5</v>
      </c>
    </row>
    <row r="113" spans="1:7" ht="47.25" x14ac:dyDescent="0.25">
      <c r="A113" s="29" t="s">
        <v>148</v>
      </c>
      <c r="B113" s="40" t="s">
        <v>133</v>
      </c>
      <c r="C113" s="40" t="s">
        <v>135</v>
      </c>
      <c r="D113" s="40" t="s">
        <v>904</v>
      </c>
      <c r="E113" s="40" t="s">
        <v>149</v>
      </c>
      <c r="F113" s="6">
        <f>'пр.4.1.ведом.21-22'!G18</f>
        <v>800.5</v>
      </c>
      <c r="G113" s="6">
        <f>'пр.4.1.ведом.21-22'!H18</f>
        <v>800.5</v>
      </c>
    </row>
    <row r="114" spans="1:7" ht="15.75" x14ac:dyDescent="0.25">
      <c r="A114" s="29" t="s">
        <v>150</v>
      </c>
      <c r="B114" s="40" t="s">
        <v>133</v>
      </c>
      <c r="C114" s="40" t="s">
        <v>135</v>
      </c>
      <c r="D114" s="40" t="s">
        <v>904</v>
      </c>
      <c r="E114" s="40" t="s">
        <v>160</v>
      </c>
      <c r="F114" s="6">
        <f>F115</f>
        <v>28</v>
      </c>
      <c r="G114" s="6">
        <f>G115</f>
        <v>28</v>
      </c>
    </row>
    <row r="115" spans="1:7" ht="31.5" x14ac:dyDescent="0.25">
      <c r="A115" s="29" t="s">
        <v>583</v>
      </c>
      <c r="B115" s="40" t="s">
        <v>133</v>
      </c>
      <c r="C115" s="40" t="s">
        <v>135</v>
      </c>
      <c r="D115" s="40" t="s">
        <v>904</v>
      </c>
      <c r="E115" s="40" t="s">
        <v>153</v>
      </c>
      <c r="F115" s="6">
        <f>'пр.4.1.ведом.21-22'!G20</f>
        <v>28</v>
      </c>
      <c r="G115" s="6">
        <f>'пр.4.1.ведом.21-22'!H20</f>
        <v>28</v>
      </c>
    </row>
    <row r="116" spans="1:7" ht="47.25" x14ac:dyDescent="0.25">
      <c r="A116" s="25" t="s">
        <v>883</v>
      </c>
      <c r="B116" s="20" t="s">
        <v>133</v>
      </c>
      <c r="C116" s="20" t="s">
        <v>135</v>
      </c>
      <c r="D116" s="20" t="s">
        <v>906</v>
      </c>
      <c r="E116" s="20"/>
      <c r="F116" s="6">
        <f>F117</f>
        <v>335</v>
      </c>
      <c r="G116" s="6">
        <f>G117</f>
        <v>335</v>
      </c>
    </row>
    <row r="117" spans="1:7" ht="94.5" x14ac:dyDescent="0.25">
      <c r="A117" s="25" t="s">
        <v>142</v>
      </c>
      <c r="B117" s="20" t="s">
        <v>133</v>
      </c>
      <c r="C117" s="20" t="s">
        <v>135</v>
      </c>
      <c r="D117" s="20" t="s">
        <v>906</v>
      </c>
      <c r="E117" s="20" t="s">
        <v>143</v>
      </c>
      <c r="F117" s="6">
        <f>F118</f>
        <v>335</v>
      </c>
      <c r="G117" s="6">
        <f>G118</f>
        <v>335</v>
      </c>
    </row>
    <row r="118" spans="1:7" ht="47.25" x14ac:dyDescent="0.25">
      <c r="A118" s="25" t="s">
        <v>144</v>
      </c>
      <c r="B118" s="20" t="s">
        <v>133</v>
      </c>
      <c r="C118" s="20" t="s">
        <v>135</v>
      </c>
      <c r="D118" s="20" t="s">
        <v>906</v>
      </c>
      <c r="E118" s="20" t="s">
        <v>145</v>
      </c>
      <c r="F118" s="6">
        <f>'пр.4.1.ведом.21-22'!G23+'пр.4.1.ведом.21-22'!G95</f>
        <v>335</v>
      </c>
      <c r="G118" s="6">
        <f>'пр.4.1.ведом.21-22'!H23+'пр.4.1.ведом.21-22'!H95</f>
        <v>335</v>
      </c>
    </row>
    <row r="119" spans="1:7" s="221" customFormat="1" ht="15.75" hidden="1" customHeight="1" x14ac:dyDescent="0.25">
      <c r="A119" s="23" t="s">
        <v>1373</v>
      </c>
      <c r="B119" s="24" t="s">
        <v>133</v>
      </c>
      <c r="C119" s="24" t="s">
        <v>279</v>
      </c>
      <c r="D119" s="24"/>
      <c r="E119" s="20"/>
      <c r="F119" s="21">
        <f t="shared" ref="F119:G121" si="6">F120</f>
        <v>0</v>
      </c>
      <c r="G119" s="21">
        <f t="shared" si="6"/>
        <v>0</v>
      </c>
    </row>
    <row r="120" spans="1:7" s="221" customFormat="1" ht="15.75" hidden="1" customHeight="1" x14ac:dyDescent="0.25">
      <c r="A120" s="23" t="s">
        <v>156</v>
      </c>
      <c r="B120" s="24" t="s">
        <v>133</v>
      </c>
      <c r="C120" s="24" t="s">
        <v>279</v>
      </c>
      <c r="D120" s="24" t="s">
        <v>910</v>
      </c>
      <c r="E120" s="20"/>
      <c r="F120" s="21">
        <f t="shared" si="6"/>
        <v>0</v>
      </c>
      <c r="G120" s="21">
        <f t="shared" si="6"/>
        <v>0</v>
      </c>
    </row>
    <row r="121" spans="1:7" s="221" customFormat="1" ht="31.7" hidden="1" customHeight="1" x14ac:dyDescent="0.25">
      <c r="A121" s="23" t="s">
        <v>914</v>
      </c>
      <c r="B121" s="24" t="s">
        <v>133</v>
      </c>
      <c r="C121" s="24" t="s">
        <v>279</v>
      </c>
      <c r="D121" s="24" t="s">
        <v>909</v>
      </c>
      <c r="E121" s="20"/>
      <c r="F121" s="21">
        <f t="shared" si="6"/>
        <v>0</v>
      </c>
      <c r="G121" s="21">
        <f t="shared" si="6"/>
        <v>0</v>
      </c>
    </row>
    <row r="122" spans="1:7" s="221" customFormat="1" ht="31.7" hidden="1" customHeight="1" x14ac:dyDescent="0.25">
      <c r="A122" s="45" t="s">
        <v>214</v>
      </c>
      <c r="B122" s="20" t="s">
        <v>133</v>
      </c>
      <c r="C122" s="20" t="s">
        <v>279</v>
      </c>
      <c r="D122" s="20" t="s">
        <v>1372</v>
      </c>
      <c r="E122" s="20"/>
      <c r="F122" s="26">
        <f>F123+F125</f>
        <v>0</v>
      </c>
      <c r="G122" s="26">
        <f>G123+G125</f>
        <v>0</v>
      </c>
    </row>
    <row r="123" spans="1:7" s="221" customFormat="1" ht="94.7" hidden="1" customHeight="1" x14ac:dyDescent="0.25">
      <c r="A123" s="25" t="s">
        <v>142</v>
      </c>
      <c r="B123" s="20" t="s">
        <v>133</v>
      </c>
      <c r="C123" s="20" t="s">
        <v>279</v>
      </c>
      <c r="D123" s="20" t="s">
        <v>1372</v>
      </c>
      <c r="E123" s="20" t="s">
        <v>143</v>
      </c>
      <c r="F123" s="26">
        <f>F124</f>
        <v>0</v>
      </c>
      <c r="G123" s="26">
        <f>G124</f>
        <v>0</v>
      </c>
    </row>
    <row r="124" spans="1:7" s="221" customFormat="1" ht="47.25" hidden="1" customHeight="1" x14ac:dyDescent="0.25">
      <c r="A124" s="25" t="s">
        <v>144</v>
      </c>
      <c r="B124" s="20" t="s">
        <v>133</v>
      </c>
      <c r="C124" s="20" t="s">
        <v>279</v>
      </c>
      <c r="D124" s="20" t="s">
        <v>1372</v>
      </c>
      <c r="E124" s="20" t="s">
        <v>145</v>
      </c>
      <c r="F124" s="26">
        <f>'пр.4.1.ведом.21-22'!G101</f>
        <v>0</v>
      </c>
      <c r="G124" s="26">
        <f>'пр.4.1.ведом.21-22'!H101</f>
        <v>0</v>
      </c>
    </row>
    <row r="125" spans="1:7" s="221" customFormat="1" ht="47.25" hidden="1" customHeight="1" x14ac:dyDescent="0.25">
      <c r="A125" s="25" t="s">
        <v>213</v>
      </c>
      <c r="B125" s="20" t="s">
        <v>133</v>
      </c>
      <c r="C125" s="20" t="s">
        <v>279</v>
      </c>
      <c r="D125" s="20" t="s">
        <v>1372</v>
      </c>
      <c r="E125" s="20" t="s">
        <v>147</v>
      </c>
      <c r="F125" s="26">
        <f>F126</f>
        <v>0</v>
      </c>
      <c r="G125" s="26">
        <f>G126</f>
        <v>0</v>
      </c>
    </row>
    <row r="126" spans="1:7" s="221" customFormat="1" ht="47.25" hidden="1" customHeight="1" x14ac:dyDescent="0.25">
      <c r="A126" s="25" t="s">
        <v>148</v>
      </c>
      <c r="B126" s="20" t="s">
        <v>133</v>
      </c>
      <c r="C126" s="20" t="s">
        <v>279</v>
      </c>
      <c r="D126" s="20" t="s">
        <v>1372</v>
      </c>
      <c r="E126" s="20" t="s">
        <v>149</v>
      </c>
      <c r="F126" s="26">
        <f>'пр.4.1.ведом.21-22'!G103</f>
        <v>0</v>
      </c>
      <c r="G126" s="26">
        <f>'пр.4.1.ведом.21-22'!H103</f>
        <v>0</v>
      </c>
    </row>
    <row r="127" spans="1:7" ht="15.75" x14ac:dyDescent="0.25">
      <c r="A127" s="41" t="s">
        <v>154</v>
      </c>
      <c r="B127" s="7" t="s">
        <v>133</v>
      </c>
      <c r="C127" s="7" t="s">
        <v>155</v>
      </c>
      <c r="D127" s="7"/>
      <c r="E127" s="7"/>
      <c r="F127" s="4">
        <f>F128+F159+F168+F191+F200+F205+F210</f>
        <v>59058.720000000001</v>
      </c>
      <c r="G127" s="4">
        <f>G128+G159+G168+G191+G200+G205+G210</f>
        <v>63886.92</v>
      </c>
    </row>
    <row r="128" spans="1:7" ht="15.75" x14ac:dyDescent="0.25">
      <c r="A128" s="23" t="s">
        <v>156</v>
      </c>
      <c r="B128" s="24" t="s">
        <v>133</v>
      </c>
      <c r="C128" s="24" t="s">
        <v>155</v>
      </c>
      <c r="D128" s="24" t="s">
        <v>910</v>
      </c>
      <c r="E128" s="24"/>
      <c r="F128" s="4">
        <f>F129+F140+F150</f>
        <v>55372.5</v>
      </c>
      <c r="G128" s="4">
        <f>G129+G140+G150</f>
        <v>63227.1</v>
      </c>
    </row>
    <row r="129" spans="1:7" ht="15.75" x14ac:dyDescent="0.25">
      <c r="A129" s="23" t="s">
        <v>1088</v>
      </c>
      <c r="B129" s="24" t="s">
        <v>133</v>
      </c>
      <c r="C129" s="24" t="s">
        <v>155</v>
      </c>
      <c r="D129" s="24" t="s">
        <v>1087</v>
      </c>
      <c r="E129" s="24"/>
      <c r="F129" s="340">
        <f>F133+F130</f>
        <v>38273</v>
      </c>
      <c r="G129" s="340">
        <f>G133+G130</f>
        <v>38273</v>
      </c>
    </row>
    <row r="130" spans="1:7" ht="47.25" x14ac:dyDescent="0.25">
      <c r="A130" s="25" t="s">
        <v>883</v>
      </c>
      <c r="B130" s="20" t="s">
        <v>133</v>
      </c>
      <c r="C130" s="20" t="s">
        <v>155</v>
      </c>
      <c r="D130" s="20" t="s">
        <v>1090</v>
      </c>
      <c r="E130" s="20"/>
      <c r="F130" s="6">
        <f>F131</f>
        <v>672</v>
      </c>
      <c r="G130" s="6">
        <f>G131</f>
        <v>672</v>
      </c>
    </row>
    <row r="131" spans="1:7" ht="94.5" x14ac:dyDescent="0.25">
      <c r="A131" s="25" t="s">
        <v>142</v>
      </c>
      <c r="B131" s="20" t="s">
        <v>133</v>
      </c>
      <c r="C131" s="20" t="s">
        <v>155</v>
      </c>
      <c r="D131" s="20" t="s">
        <v>1090</v>
      </c>
      <c r="E131" s="20" t="s">
        <v>143</v>
      </c>
      <c r="F131" s="6">
        <f>F132</f>
        <v>672</v>
      </c>
      <c r="G131" s="6">
        <f>G132</f>
        <v>672</v>
      </c>
    </row>
    <row r="132" spans="1:7" ht="47.25" x14ac:dyDescent="0.25">
      <c r="A132" s="25" t="s">
        <v>144</v>
      </c>
      <c r="B132" s="20" t="s">
        <v>133</v>
      </c>
      <c r="C132" s="20" t="s">
        <v>155</v>
      </c>
      <c r="D132" s="20" t="s">
        <v>1090</v>
      </c>
      <c r="E132" s="20" t="s">
        <v>224</v>
      </c>
      <c r="F132" s="6">
        <f>'пр.4.1.ведом.21-22'!G854</f>
        <v>672</v>
      </c>
      <c r="G132" s="6">
        <f>'пр.4.1.ведом.21-22'!H854</f>
        <v>672</v>
      </c>
    </row>
    <row r="133" spans="1:7" ht="31.5" x14ac:dyDescent="0.25">
      <c r="A133" s="25" t="s">
        <v>832</v>
      </c>
      <c r="B133" s="20" t="s">
        <v>133</v>
      </c>
      <c r="C133" s="20" t="s">
        <v>155</v>
      </c>
      <c r="D133" s="20" t="s">
        <v>1089</v>
      </c>
      <c r="E133" s="20"/>
      <c r="F133" s="6">
        <f>F134+F136+F138</f>
        <v>37601</v>
      </c>
      <c r="G133" s="6">
        <f>G134+G136+G138</f>
        <v>37601</v>
      </c>
    </row>
    <row r="134" spans="1:7" ht="94.5" x14ac:dyDescent="0.25">
      <c r="A134" s="25" t="s">
        <v>142</v>
      </c>
      <c r="B134" s="20" t="s">
        <v>133</v>
      </c>
      <c r="C134" s="20" t="s">
        <v>155</v>
      </c>
      <c r="D134" s="20" t="s">
        <v>1089</v>
      </c>
      <c r="E134" s="20" t="s">
        <v>143</v>
      </c>
      <c r="F134" s="6">
        <f>F135</f>
        <v>30180</v>
      </c>
      <c r="G134" s="6">
        <f>G135</f>
        <v>30180</v>
      </c>
    </row>
    <row r="135" spans="1:7" ht="31.5" x14ac:dyDescent="0.25">
      <c r="A135" s="46" t="s">
        <v>357</v>
      </c>
      <c r="B135" s="20" t="s">
        <v>133</v>
      </c>
      <c r="C135" s="20" t="s">
        <v>155</v>
      </c>
      <c r="D135" s="20" t="s">
        <v>1089</v>
      </c>
      <c r="E135" s="20" t="s">
        <v>224</v>
      </c>
      <c r="F135" s="6">
        <f>'пр.4.1.ведом.21-22'!G857</f>
        <v>30180</v>
      </c>
      <c r="G135" s="6">
        <f>'пр.4.1.ведом.21-22'!H857</f>
        <v>30180</v>
      </c>
    </row>
    <row r="136" spans="1:7" ht="31.5" x14ac:dyDescent="0.25">
      <c r="A136" s="25" t="s">
        <v>146</v>
      </c>
      <c r="B136" s="20" t="s">
        <v>133</v>
      </c>
      <c r="C136" s="20" t="s">
        <v>155</v>
      </c>
      <c r="D136" s="20" t="s">
        <v>1089</v>
      </c>
      <c r="E136" s="20" t="s">
        <v>147</v>
      </c>
      <c r="F136" s="6">
        <f>F137</f>
        <v>7000</v>
      </c>
      <c r="G136" s="6">
        <f>G137</f>
        <v>7000</v>
      </c>
    </row>
    <row r="137" spans="1:7" ht="47.25" x14ac:dyDescent="0.25">
      <c r="A137" s="25" t="s">
        <v>148</v>
      </c>
      <c r="B137" s="20" t="s">
        <v>133</v>
      </c>
      <c r="C137" s="20" t="s">
        <v>155</v>
      </c>
      <c r="D137" s="20" t="s">
        <v>1089</v>
      </c>
      <c r="E137" s="20" t="s">
        <v>149</v>
      </c>
      <c r="F137" s="6">
        <f>'пр.4.1.ведом.21-22'!G859</f>
        <v>7000</v>
      </c>
      <c r="G137" s="6">
        <f>'пр.4.1.ведом.21-22'!H859</f>
        <v>7000</v>
      </c>
    </row>
    <row r="138" spans="1:7" ht="15.75" x14ac:dyDescent="0.25">
      <c r="A138" s="25" t="s">
        <v>150</v>
      </c>
      <c r="B138" s="20" t="s">
        <v>133</v>
      </c>
      <c r="C138" s="20" t="s">
        <v>155</v>
      </c>
      <c r="D138" s="20" t="s">
        <v>1089</v>
      </c>
      <c r="E138" s="20" t="s">
        <v>160</v>
      </c>
      <c r="F138" s="6">
        <f>F139</f>
        <v>421</v>
      </c>
      <c r="G138" s="6">
        <f>G139</f>
        <v>421</v>
      </c>
    </row>
    <row r="139" spans="1:7" ht="15.75" x14ac:dyDescent="0.25">
      <c r="A139" s="25" t="s">
        <v>725</v>
      </c>
      <c r="B139" s="20" t="s">
        <v>133</v>
      </c>
      <c r="C139" s="20" t="s">
        <v>155</v>
      </c>
      <c r="D139" s="20" t="s">
        <v>1089</v>
      </c>
      <c r="E139" s="20" t="s">
        <v>153</v>
      </c>
      <c r="F139" s="6">
        <f>'пр.4.1.ведом.21-22'!G861</f>
        <v>421</v>
      </c>
      <c r="G139" s="6">
        <f>'пр.4.1.ведом.21-22'!H861</f>
        <v>421</v>
      </c>
    </row>
    <row r="140" spans="1:7" ht="31.5" x14ac:dyDescent="0.25">
      <c r="A140" s="23" t="s">
        <v>914</v>
      </c>
      <c r="B140" s="24" t="s">
        <v>133</v>
      </c>
      <c r="C140" s="24" t="s">
        <v>155</v>
      </c>
      <c r="D140" s="24" t="s">
        <v>909</v>
      </c>
      <c r="E140" s="24"/>
      <c r="F140" s="4">
        <f>F141+F147</f>
        <v>10419.5</v>
      </c>
      <c r="G140" s="4">
        <f>G141+G147</f>
        <v>18274.099999999999</v>
      </c>
    </row>
    <row r="141" spans="1:7" ht="63" x14ac:dyDescent="0.25">
      <c r="A141" s="25" t="s">
        <v>403</v>
      </c>
      <c r="B141" s="20" t="s">
        <v>133</v>
      </c>
      <c r="C141" s="20" t="s">
        <v>155</v>
      </c>
      <c r="D141" s="20" t="s">
        <v>1167</v>
      </c>
      <c r="E141" s="20"/>
      <c r="F141" s="6">
        <f>F142</f>
        <v>2900</v>
      </c>
      <c r="G141" s="6">
        <f>G142</f>
        <v>2900</v>
      </c>
    </row>
    <row r="142" spans="1:7" ht="31.5" x14ac:dyDescent="0.25">
      <c r="A142" s="25" t="s">
        <v>146</v>
      </c>
      <c r="B142" s="20" t="s">
        <v>133</v>
      </c>
      <c r="C142" s="20" t="s">
        <v>155</v>
      </c>
      <c r="D142" s="20" t="s">
        <v>1167</v>
      </c>
      <c r="E142" s="20" t="s">
        <v>147</v>
      </c>
      <c r="F142" s="6">
        <f>F143</f>
        <v>2900</v>
      </c>
      <c r="G142" s="6">
        <f>G143</f>
        <v>2900</v>
      </c>
    </row>
    <row r="143" spans="1:7" ht="47.25" x14ac:dyDescent="0.25">
      <c r="A143" s="25" t="s">
        <v>148</v>
      </c>
      <c r="B143" s="20" t="s">
        <v>133</v>
      </c>
      <c r="C143" s="20" t="s">
        <v>155</v>
      </c>
      <c r="D143" s="20" t="s">
        <v>1167</v>
      </c>
      <c r="E143" s="20" t="s">
        <v>149</v>
      </c>
      <c r="F143" s="6">
        <f>'пр.4.1.ведом.21-22'!G516</f>
        <v>2900</v>
      </c>
      <c r="G143" s="6">
        <f>'пр.4.1.ведом.21-22'!H516</f>
        <v>2900</v>
      </c>
    </row>
    <row r="144" spans="1:7" ht="47.25" hidden="1" x14ac:dyDescent="0.25">
      <c r="A144" s="25" t="s">
        <v>1002</v>
      </c>
      <c r="B144" s="20" t="s">
        <v>133</v>
      </c>
      <c r="C144" s="20" t="s">
        <v>155</v>
      </c>
      <c r="D144" s="20" t="s">
        <v>1168</v>
      </c>
      <c r="E144" s="20"/>
      <c r="F144" s="6">
        <f>'Пр.3 Рд,пр, ЦС,ВР 20'!F149</f>
        <v>0</v>
      </c>
      <c r="G144" s="6">
        <f t="shared" si="4"/>
        <v>0</v>
      </c>
    </row>
    <row r="145" spans="1:7" ht="31.5" hidden="1" x14ac:dyDescent="0.25">
      <c r="A145" s="25" t="s">
        <v>146</v>
      </c>
      <c r="B145" s="20" t="s">
        <v>133</v>
      </c>
      <c r="C145" s="20" t="s">
        <v>155</v>
      </c>
      <c r="D145" s="20" t="s">
        <v>1168</v>
      </c>
      <c r="E145" s="20" t="s">
        <v>147</v>
      </c>
      <c r="F145" s="6">
        <f>'Пр.3 Рд,пр, ЦС,ВР 20'!F150</f>
        <v>0</v>
      </c>
      <c r="G145" s="6">
        <f t="shared" si="4"/>
        <v>0</v>
      </c>
    </row>
    <row r="146" spans="1:7" ht="47.25" hidden="1" x14ac:dyDescent="0.25">
      <c r="A146" s="25" t="s">
        <v>148</v>
      </c>
      <c r="B146" s="20" t="s">
        <v>133</v>
      </c>
      <c r="C146" s="20" t="s">
        <v>155</v>
      </c>
      <c r="D146" s="20" t="s">
        <v>1168</v>
      </c>
      <c r="E146" s="20" t="s">
        <v>149</v>
      </c>
      <c r="F146" s="6">
        <f>'Пр.3 Рд,пр, ЦС,ВР 20'!F151</f>
        <v>0</v>
      </c>
      <c r="G146" s="6">
        <f t="shared" ref="G146:G212" si="7">F146</f>
        <v>0</v>
      </c>
    </row>
    <row r="147" spans="1:7" s="221" customFormat="1" ht="15.75" x14ac:dyDescent="0.25">
      <c r="A147" s="25" t="s">
        <v>1361</v>
      </c>
      <c r="B147" s="20" t="s">
        <v>133</v>
      </c>
      <c r="C147" s="20" t="s">
        <v>155</v>
      </c>
      <c r="D147" s="20" t="s">
        <v>1362</v>
      </c>
      <c r="E147" s="20"/>
      <c r="F147" s="26">
        <f>F148</f>
        <v>7519.5</v>
      </c>
      <c r="G147" s="26">
        <f>G148</f>
        <v>15374.1</v>
      </c>
    </row>
    <row r="148" spans="1:7" s="221" customFormat="1" ht="15.75" x14ac:dyDescent="0.25">
      <c r="A148" s="25" t="s">
        <v>150</v>
      </c>
      <c r="B148" s="20" t="s">
        <v>133</v>
      </c>
      <c r="C148" s="20" t="s">
        <v>155</v>
      </c>
      <c r="D148" s="20" t="s">
        <v>1362</v>
      </c>
      <c r="E148" s="20" t="s">
        <v>160</v>
      </c>
      <c r="F148" s="26">
        <f>F149</f>
        <v>7519.5</v>
      </c>
      <c r="G148" s="26">
        <f>G149</f>
        <v>15374.1</v>
      </c>
    </row>
    <row r="149" spans="1:7" s="221" customFormat="1" ht="15.75" x14ac:dyDescent="0.25">
      <c r="A149" s="25" t="s">
        <v>1361</v>
      </c>
      <c r="B149" s="20" t="s">
        <v>133</v>
      </c>
      <c r="C149" s="20" t="s">
        <v>155</v>
      </c>
      <c r="D149" s="20" t="s">
        <v>1362</v>
      </c>
      <c r="E149" s="20" t="s">
        <v>1363</v>
      </c>
      <c r="F149" s="26">
        <f>'пр.4.1.ведом.21-22'!G29</f>
        <v>7519.5</v>
      </c>
      <c r="G149" s="26">
        <f>'пр.4.1.ведом.21-22'!H29</f>
        <v>15374.1</v>
      </c>
    </row>
    <row r="150" spans="1:7" ht="31.5" x14ac:dyDescent="0.25">
      <c r="A150" s="23" t="s">
        <v>993</v>
      </c>
      <c r="B150" s="24" t="s">
        <v>133</v>
      </c>
      <c r="C150" s="24" t="s">
        <v>155</v>
      </c>
      <c r="D150" s="24" t="s">
        <v>911</v>
      </c>
      <c r="E150" s="24"/>
      <c r="F150" s="4">
        <f>F151+F156</f>
        <v>6680</v>
      </c>
      <c r="G150" s="4">
        <f>G151+G156</f>
        <v>6680</v>
      </c>
    </row>
    <row r="151" spans="1:7" ht="31.5" x14ac:dyDescent="0.25">
      <c r="A151" s="25" t="s">
        <v>999</v>
      </c>
      <c r="B151" s="20" t="s">
        <v>133</v>
      </c>
      <c r="C151" s="20" t="s">
        <v>155</v>
      </c>
      <c r="D151" s="20" t="s">
        <v>912</v>
      </c>
      <c r="E151" s="20"/>
      <c r="F151" s="6">
        <f>F152+F154</f>
        <v>6554</v>
      </c>
      <c r="G151" s="6">
        <f>G152+G154</f>
        <v>6554</v>
      </c>
    </row>
    <row r="152" spans="1:7" ht="94.5" x14ac:dyDescent="0.25">
      <c r="A152" s="25" t="s">
        <v>142</v>
      </c>
      <c r="B152" s="20" t="s">
        <v>133</v>
      </c>
      <c r="C152" s="20" t="s">
        <v>155</v>
      </c>
      <c r="D152" s="20" t="s">
        <v>912</v>
      </c>
      <c r="E152" s="20" t="s">
        <v>143</v>
      </c>
      <c r="F152" s="6">
        <f>F153</f>
        <v>5343</v>
      </c>
      <c r="G152" s="6">
        <f>G153</f>
        <v>5343</v>
      </c>
    </row>
    <row r="153" spans="1:7" ht="31.5" x14ac:dyDescent="0.25">
      <c r="A153" s="25" t="s">
        <v>223</v>
      </c>
      <c r="B153" s="20" t="s">
        <v>133</v>
      </c>
      <c r="C153" s="20" t="s">
        <v>155</v>
      </c>
      <c r="D153" s="20" t="s">
        <v>912</v>
      </c>
      <c r="E153" s="20" t="s">
        <v>224</v>
      </c>
      <c r="F153" s="6">
        <f>'пр.4.1.ведом.21-22'!G109</f>
        <v>5343</v>
      </c>
      <c r="G153" s="6">
        <f>'пр.4.1.ведом.21-22'!H109</f>
        <v>5343</v>
      </c>
    </row>
    <row r="154" spans="1:7" ht="47.25" x14ac:dyDescent="0.25">
      <c r="A154" s="25" t="s">
        <v>213</v>
      </c>
      <c r="B154" s="20" t="s">
        <v>133</v>
      </c>
      <c r="C154" s="20" t="s">
        <v>155</v>
      </c>
      <c r="D154" s="20" t="s">
        <v>912</v>
      </c>
      <c r="E154" s="20" t="s">
        <v>147</v>
      </c>
      <c r="F154" s="6">
        <f>F155</f>
        <v>1211</v>
      </c>
      <c r="G154" s="6">
        <f>G155</f>
        <v>1211</v>
      </c>
    </row>
    <row r="155" spans="1:7" ht="47.25" x14ac:dyDescent="0.25">
      <c r="A155" s="25" t="s">
        <v>148</v>
      </c>
      <c r="B155" s="20" t="s">
        <v>133</v>
      </c>
      <c r="C155" s="20" t="s">
        <v>155</v>
      </c>
      <c r="D155" s="20" t="s">
        <v>912</v>
      </c>
      <c r="E155" s="20" t="s">
        <v>149</v>
      </c>
      <c r="F155" s="6">
        <f>'пр.4.1.ведом.21-22'!G111</f>
        <v>1211</v>
      </c>
      <c r="G155" s="6">
        <f>'пр.4.1.ведом.21-22'!H111</f>
        <v>1211</v>
      </c>
    </row>
    <row r="156" spans="1:7" ht="47.25" x14ac:dyDescent="0.25">
      <c r="A156" s="25" t="s">
        <v>883</v>
      </c>
      <c r="B156" s="20" t="s">
        <v>133</v>
      </c>
      <c r="C156" s="20" t="s">
        <v>155</v>
      </c>
      <c r="D156" s="20" t="s">
        <v>913</v>
      </c>
      <c r="E156" s="20"/>
      <c r="F156" s="6">
        <f>F157</f>
        <v>126</v>
      </c>
      <c r="G156" s="6">
        <f>G157</f>
        <v>126</v>
      </c>
    </row>
    <row r="157" spans="1:7" ht="94.5" x14ac:dyDescent="0.25">
      <c r="A157" s="25" t="s">
        <v>142</v>
      </c>
      <c r="B157" s="20" t="s">
        <v>133</v>
      </c>
      <c r="C157" s="20" t="s">
        <v>155</v>
      </c>
      <c r="D157" s="20" t="s">
        <v>913</v>
      </c>
      <c r="E157" s="20" t="s">
        <v>143</v>
      </c>
      <c r="F157" s="6">
        <f>F158</f>
        <v>126</v>
      </c>
      <c r="G157" s="6">
        <f>G158</f>
        <v>126</v>
      </c>
    </row>
    <row r="158" spans="1:7" ht="47.25" x14ac:dyDescent="0.25">
      <c r="A158" s="25" t="s">
        <v>144</v>
      </c>
      <c r="B158" s="20" t="s">
        <v>133</v>
      </c>
      <c r="C158" s="20" t="s">
        <v>155</v>
      </c>
      <c r="D158" s="20" t="s">
        <v>913</v>
      </c>
      <c r="E158" s="20" t="s">
        <v>145</v>
      </c>
      <c r="F158" s="6">
        <f>'пр.4.1.ведом.21-22'!G114</f>
        <v>126</v>
      </c>
      <c r="G158" s="6">
        <f>'пр.4.1.ведом.21-22'!H114</f>
        <v>126</v>
      </c>
    </row>
    <row r="159" spans="1:7" ht="63" x14ac:dyDescent="0.25">
      <c r="A159" s="23" t="s">
        <v>1427</v>
      </c>
      <c r="B159" s="7" t="s">
        <v>133</v>
      </c>
      <c r="C159" s="7" t="s">
        <v>155</v>
      </c>
      <c r="D159" s="7" t="s">
        <v>359</v>
      </c>
      <c r="E159" s="7"/>
      <c r="F159" s="4">
        <f>F160</f>
        <v>60</v>
      </c>
      <c r="G159" s="4">
        <f>G160</f>
        <v>60</v>
      </c>
    </row>
    <row r="160" spans="1:7" ht="94.5" x14ac:dyDescent="0.25">
      <c r="A160" s="41" t="s">
        <v>1454</v>
      </c>
      <c r="B160" s="7" t="s">
        <v>133</v>
      </c>
      <c r="C160" s="7" t="s">
        <v>155</v>
      </c>
      <c r="D160" s="7" t="s">
        <v>396</v>
      </c>
      <c r="E160" s="7"/>
      <c r="F160" s="4">
        <f>F161</f>
        <v>60</v>
      </c>
      <c r="G160" s="4">
        <f>G161</f>
        <v>60</v>
      </c>
    </row>
    <row r="161" spans="1:7" ht="63" x14ac:dyDescent="0.25">
      <c r="A161" s="284" t="s">
        <v>1219</v>
      </c>
      <c r="B161" s="7" t="s">
        <v>133</v>
      </c>
      <c r="C161" s="7" t="s">
        <v>155</v>
      </c>
      <c r="D161" s="7" t="s">
        <v>931</v>
      </c>
      <c r="E161" s="7"/>
      <c r="F161" s="4">
        <f>F162+F165</f>
        <v>60</v>
      </c>
      <c r="G161" s="4">
        <f>G162+G165</f>
        <v>60</v>
      </c>
    </row>
    <row r="162" spans="1:7" ht="47.25" x14ac:dyDescent="0.25">
      <c r="A162" s="99" t="s">
        <v>1220</v>
      </c>
      <c r="B162" s="40" t="s">
        <v>133</v>
      </c>
      <c r="C162" s="40" t="s">
        <v>155</v>
      </c>
      <c r="D162" s="40" t="s">
        <v>932</v>
      </c>
      <c r="E162" s="40"/>
      <c r="F162" s="6">
        <f>F163</f>
        <v>60</v>
      </c>
      <c r="G162" s="6">
        <f>G163</f>
        <v>60</v>
      </c>
    </row>
    <row r="163" spans="1:7" ht="31.5" x14ac:dyDescent="0.25">
      <c r="A163" s="29" t="s">
        <v>146</v>
      </c>
      <c r="B163" s="40" t="s">
        <v>133</v>
      </c>
      <c r="C163" s="40" t="s">
        <v>155</v>
      </c>
      <c r="D163" s="40" t="s">
        <v>932</v>
      </c>
      <c r="E163" s="40" t="s">
        <v>147</v>
      </c>
      <c r="F163" s="6">
        <f>F164</f>
        <v>60</v>
      </c>
      <c r="G163" s="6">
        <f>G164</f>
        <v>60</v>
      </c>
    </row>
    <row r="164" spans="1:7" ht="47.25" x14ac:dyDescent="0.25">
      <c r="A164" s="29" t="s">
        <v>148</v>
      </c>
      <c r="B164" s="40" t="s">
        <v>133</v>
      </c>
      <c r="C164" s="40" t="s">
        <v>155</v>
      </c>
      <c r="D164" s="40" t="s">
        <v>932</v>
      </c>
      <c r="E164" s="40" t="s">
        <v>149</v>
      </c>
      <c r="F164" s="6">
        <f>'пр.4.1.ведом.21-22'!G222</f>
        <v>60</v>
      </c>
      <c r="G164" s="6">
        <f>'пр.4.1.ведом.21-22'!H222</f>
        <v>60</v>
      </c>
    </row>
    <row r="165" spans="1:7" ht="47.25" hidden="1" x14ac:dyDescent="0.25">
      <c r="A165" s="35" t="s">
        <v>934</v>
      </c>
      <c r="B165" s="20" t="s">
        <v>133</v>
      </c>
      <c r="C165" s="20" t="s">
        <v>155</v>
      </c>
      <c r="D165" s="20" t="s">
        <v>933</v>
      </c>
      <c r="E165" s="24"/>
      <c r="F165" s="6">
        <f>'Пр.3 Рд,пр, ЦС,ВР 20'!F167</f>
        <v>0</v>
      </c>
      <c r="G165" s="6">
        <f t="shared" si="7"/>
        <v>0</v>
      </c>
    </row>
    <row r="166" spans="1:7" ht="31.5" hidden="1" x14ac:dyDescent="0.25">
      <c r="A166" s="25" t="s">
        <v>146</v>
      </c>
      <c r="B166" s="20" t="s">
        <v>133</v>
      </c>
      <c r="C166" s="20" t="s">
        <v>155</v>
      </c>
      <c r="D166" s="20" t="s">
        <v>933</v>
      </c>
      <c r="E166" s="20" t="s">
        <v>147</v>
      </c>
      <c r="F166" s="6">
        <f>'Пр.3 Рд,пр, ЦС,ВР 20'!F168</f>
        <v>0</v>
      </c>
      <c r="G166" s="6">
        <f t="shared" si="7"/>
        <v>0</v>
      </c>
    </row>
    <row r="167" spans="1:7" ht="47.25" hidden="1" x14ac:dyDescent="0.25">
      <c r="A167" s="25" t="s">
        <v>148</v>
      </c>
      <c r="B167" s="20" t="s">
        <v>133</v>
      </c>
      <c r="C167" s="20" t="s">
        <v>155</v>
      </c>
      <c r="D167" s="20" t="s">
        <v>933</v>
      </c>
      <c r="E167" s="20" t="s">
        <v>149</v>
      </c>
      <c r="F167" s="6">
        <f>'Пр.3 Рд,пр, ЦС,ВР 20'!F169</f>
        <v>0</v>
      </c>
      <c r="G167" s="6">
        <f t="shared" si="7"/>
        <v>0</v>
      </c>
    </row>
    <row r="168" spans="1:7" ht="63" x14ac:dyDescent="0.25">
      <c r="A168" s="23" t="s">
        <v>1428</v>
      </c>
      <c r="B168" s="24" t="s">
        <v>133</v>
      </c>
      <c r="C168" s="24" t="s">
        <v>155</v>
      </c>
      <c r="D168" s="24" t="s">
        <v>350</v>
      </c>
      <c r="E168" s="24"/>
      <c r="F168" s="59">
        <f>F169</f>
        <v>175</v>
      </c>
      <c r="G168" s="59">
        <f>G169</f>
        <v>175</v>
      </c>
    </row>
    <row r="169" spans="1:7" ht="45" customHeight="1" x14ac:dyDescent="0.25">
      <c r="A169" s="23" t="s">
        <v>1225</v>
      </c>
      <c r="B169" s="24" t="s">
        <v>133</v>
      </c>
      <c r="C169" s="24" t="s">
        <v>155</v>
      </c>
      <c r="D169" s="24" t="s">
        <v>1226</v>
      </c>
      <c r="E169" s="24"/>
      <c r="F169" s="59">
        <f>F170+F176+F179+F182+F188+F173+F185</f>
        <v>175</v>
      </c>
      <c r="G169" s="59">
        <f>G170+G176+G179+G182+G188+G173+G185</f>
        <v>175</v>
      </c>
    </row>
    <row r="170" spans="1:7" ht="31.5" x14ac:dyDescent="0.25">
      <c r="A170" s="98" t="s">
        <v>351</v>
      </c>
      <c r="B170" s="20" t="s">
        <v>133</v>
      </c>
      <c r="C170" s="20" t="s">
        <v>155</v>
      </c>
      <c r="D170" s="20" t="s">
        <v>1227</v>
      </c>
      <c r="E170" s="20"/>
      <c r="F170" s="6">
        <f>F171</f>
        <v>120</v>
      </c>
      <c r="G170" s="6">
        <f>G171</f>
        <v>120</v>
      </c>
    </row>
    <row r="171" spans="1:7" ht="31.5" x14ac:dyDescent="0.25">
      <c r="A171" s="25" t="s">
        <v>146</v>
      </c>
      <c r="B171" s="20" t="s">
        <v>133</v>
      </c>
      <c r="C171" s="20" t="s">
        <v>155</v>
      </c>
      <c r="D171" s="20" t="s">
        <v>1227</v>
      </c>
      <c r="E171" s="20" t="s">
        <v>147</v>
      </c>
      <c r="F171" s="6">
        <f>F172</f>
        <v>120</v>
      </c>
      <c r="G171" s="6">
        <f>G172</f>
        <v>120</v>
      </c>
    </row>
    <row r="172" spans="1:7" ht="47.25" x14ac:dyDescent="0.25">
      <c r="A172" s="25" t="s">
        <v>148</v>
      </c>
      <c r="B172" s="20" t="s">
        <v>133</v>
      </c>
      <c r="C172" s="20" t="s">
        <v>155</v>
      </c>
      <c r="D172" s="20" t="s">
        <v>1227</v>
      </c>
      <c r="E172" s="20" t="s">
        <v>149</v>
      </c>
      <c r="F172" s="6">
        <f>'пр.4.1.ведом.21-22'!G777+'пр.4.1.ведом.21-22'!G542</f>
        <v>120</v>
      </c>
      <c r="G172" s="6">
        <f>'пр.4.1.ведом.21-22'!H777+'пр.4.1.ведом.21-22'!H542</f>
        <v>120</v>
      </c>
    </row>
    <row r="173" spans="1:7" ht="63" hidden="1" x14ac:dyDescent="0.25">
      <c r="A173" s="98" t="s">
        <v>831</v>
      </c>
      <c r="B173" s="20" t="s">
        <v>133</v>
      </c>
      <c r="C173" s="20" t="s">
        <v>155</v>
      </c>
      <c r="D173" s="20" t="s">
        <v>1232</v>
      </c>
      <c r="E173" s="20"/>
      <c r="F173" s="6">
        <f>'Пр.3 Рд,пр, ЦС,ВР 20'!F175</f>
        <v>0</v>
      </c>
      <c r="G173" s="6">
        <f>'Пр.3 Рд,пр, ЦС,ВР 20'!G175</f>
        <v>0</v>
      </c>
    </row>
    <row r="174" spans="1:7" ht="31.5" hidden="1" x14ac:dyDescent="0.25">
      <c r="A174" s="25" t="s">
        <v>146</v>
      </c>
      <c r="B174" s="20" t="s">
        <v>133</v>
      </c>
      <c r="C174" s="20" t="s">
        <v>155</v>
      </c>
      <c r="D174" s="20" t="s">
        <v>1232</v>
      </c>
      <c r="E174" s="20" t="s">
        <v>147</v>
      </c>
      <c r="F174" s="6">
        <f>'Пр.3 Рд,пр, ЦС,ВР 20'!F176</f>
        <v>0</v>
      </c>
      <c r="G174" s="6">
        <f>'Пр.3 Рд,пр, ЦС,ВР 20'!G176</f>
        <v>0</v>
      </c>
    </row>
    <row r="175" spans="1:7" ht="47.25" hidden="1" x14ac:dyDescent="0.25">
      <c r="A175" s="25" t="s">
        <v>148</v>
      </c>
      <c r="B175" s="20" t="s">
        <v>133</v>
      </c>
      <c r="C175" s="20" t="s">
        <v>155</v>
      </c>
      <c r="D175" s="20" t="s">
        <v>1232</v>
      </c>
      <c r="E175" s="20" t="s">
        <v>149</v>
      </c>
      <c r="F175" s="6">
        <f>'Пр.3 Рд,пр, ЦС,ВР 20'!F177</f>
        <v>0</v>
      </c>
      <c r="G175" s="6">
        <f>'Пр.3 Рд,пр, ЦС,ВР 20'!G177</f>
        <v>0</v>
      </c>
    </row>
    <row r="176" spans="1:7" ht="31.5" x14ac:dyDescent="0.25">
      <c r="A176" s="25" t="s">
        <v>353</v>
      </c>
      <c r="B176" s="20" t="s">
        <v>133</v>
      </c>
      <c r="C176" s="20" t="s">
        <v>155</v>
      </c>
      <c r="D176" s="20" t="s">
        <v>1228</v>
      </c>
      <c r="E176" s="20"/>
      <c r="F176" s="6">
        <f>F177</f>
        <v>25</v>
      </c>
      <c r="G176" s="6">
        <f>G177</f>
        <v>25</v>
      </c>
    </row>
    <row r="177" spans="1:7" ht="31.5" x14ac:dyDescent="0.25">
      <c r="A177" s="25" t="s">
        <v>146</v>
      </c>
      <c r="B177" s="20" t="s">
        <v>133</v>
      </c>
      <c r="C177" s="20" t="s">
        <v>155</v>
      </c>
      <c r="D177" s="20" t="s">
        <v>1228</v>
      </c>
      <c r="E177" s="20" t="s">
        <v>147</v>
      </c>
      <c r="F177" s="6">
        <f>F178</f>
        <v>25</v>
      </c>
      <c r="G177" s="6">
        <f>G178</f>
        <v>25</v>
      </c>
    </row>
    <row r="178" spans="1:7" ht="47.25" x14ac:dyDescent="0.25">
      <c r="A178" s="25" t="s">
        <v>148</v>
      </c>
      <c r="B178" s="20" t="s">
        <v>133</v>
      </c>
      <c r="C178" s="20" t="s">
        <v>155</v>
      </c>
      <c r="D178" s="20" t="s">
        <v>1228</v>
      </c>
      <c r="E178" s="20" t="s">
        <v>149</v>
      </c>
      <c r="F178" s="6">
        <f>'пр.4.1.ведом.21-22'!G233</f>
        <v>25</v>
      </c>
      <c r="G178" s="6">
        <f>'пр.4.1.ведом.21-22'!H233</f>
        <v>25</v>
      </c>
    </row>
    <row r="179" spans="1:7" ht="63" x14ac:dyDescent="0.25">
      <c r="A179" s="31" t="s">
        <v>792</v>
      </c>
      <c r="B179" s="20" t="s">
        <v>133</v>
      </c>
      <c r="C179" s="20" t="s">
        <v>155</v>
      </c>
      <c r="D179" s="20" t="s">
        <v>1229</v>
      </c>
      <c r="E179" s="20"/>
      <c r="F179" s="6">
        <f>F180</f>
        <v>10</v>
      </c>
      <c r="G179" s="6">
        <f>G180</f>
        <v>10</v>
      </c>
    </row>
    <row r="180" spans="1:7" ht="31.5" x14ac:dyDescent="0.25">
      <c r="A180" s="25" t="s">
        <v>146</v>
      </c>
      <c r="B180" s="20" t="s">
        <v>133</v>
      </c>
      <c r="C180" s="20" t="s">
        <v>155</v>
      </c>
      <c r="D180" s="20" t="s">
        <v>1229</v>
      </c>
      <c r="E180" s="20" t="s">
        <v>147</v>
      </c>
      <c r="F180" s="6">
        <f>F181</f>
        <v>10</v>
      </c>
      <c r="G180" s="6">
        <f>G181</f>
        <v>10</v>
      </c>
    </row>
    <row r="181" spans="1:7" ht="47.25" x14ac:dyDescent="0.25">
      <c r="A181" s="25" t="s">
        <v>148</v>
      </c>
      <c r="B181" s="20" t="s">
        <v>133</v>
      </c>
      <c r="C181" s="20" t="s">
        <v>155</v>
      </c>
      <c r="D181" s="20" t="s">
        <v>1229</v>
      </c>
      <c r="E181" s="20" t="s">
        <v>149</v>
      </c>
      <c r="F181" s="6">
        <f>'пр.4.1.ведом.21-22'!G236</f>
        <v>10</v>
      </c>
      <c r="G181" s="6">
        <f>'пр.4.1.ведом.21-22'!H236</f>
        <v>10</v>
      </c>
    </row>
    <row r="182" spans="1:7" ht="31.5" x14ac:dyDescent="0.25">
      <c r="A182" s="25" t="s">
        <v>1142</v>
      </c>
      <c r="B182" s="20" t="s">
        <v>133</v>
      </c>
      <c r="C182" s="20" t="s">
        <v>155</v>
      </c>
      <c r="D182" s="20" t="s">
        <v>1230</v>
      </c>
      <c r="E182" s="20"/>
      <c r="F182" s="6">
        <f>F183</f>
        <v>0</v>
      </c>
      <c r="G182" s="6">
        <f>G183</f>
        <v>0</v>
      </c>
    </row>
    <row r="183" spans="1:7" ht="31.5" x14ac:dyDescent="0.25">
      <c r="A183" s="25" t="s">
        <v>146</v>
      </c>
      <c r="B183" s="20" t="s">
        <v>133</v>
      </c>
      <c r="C183" s="20" t="s">
        <v>155</v>
      </c>
      <c r="D183" s="20" t="s">
        <v>1230</v>
      </c>
      <c r="E183" s="20" t="s">
        <v>147</v>
      </c>
      <c r="F183" s="6">
        <f>F184</f>
        <v>0</v>
      </c>
      <c r="G183" s="6">
        <f>G184</f>
        <v>0</v>
      </c>
    </row>
    <row r="184" spans="1:7" ht="47.25" x14ac:dyDescent="0.25">
      <c r="A184" s="25" t="s">
        <v>148</v>
      </c>
      <c r="B184" s="20" t="s">
        <v>133</v>
      </c>
      <c r="C184" s="20" t="s">
        <v>155</v>
      </c>
      <c r="D184" s="20" t="s">
        <v>1230</v>
      </c>
      <c r="E184" s="20" t="s">
        <v>149</v>
      </c>
      <c r="F184" s="6">
        <f>'пр.4.1.ведом.21-22'!G239</f>
        <v>0</v>
      </c>
      <c r="G184" s="6">
        <f>'пр.4.1.ведом.21-22'!H239</f>
        <v>0</v>
      </c>
    </row>
    <row r="185" spans="1:7" ht="31.5" hidden="1" x14ac:dyDescent="0.25">
      <c r="A185" s="31" t="s">
        <v>1259</v>
      </c>
      <c r="B185" s="20" t="s">
        <v>133</v>
      </c>
      <c r="C185" s="20" t="s">
        <v>155</v>
      </c>
      <c r="D185" s="20" t="s">
        <v>1260</v>
      </c>
      <c r="E185" s="20"/>
      <c r="F185" s="6">
        <f>'Пр.3 Рд,пр, ЦС,ВР 20'!F187</f>
        <v>0</v>
      </c>
      <c r="G185" s="6">
        <f>'Пр.3 Рд,пр, ЦС,ВР 20'!G187</f>
        <v>0</v>
      </c>
    </row>
    <row r="186" spans="1:7" ht="31.5" hidden="1" x14ac:dyDescent="0.25">
      <c r="A186" s="25" t="s">
        <v>146</v>
      </c>
      <c r="B186" s="20" t="s">
        <v>133</v>
      </c>
      <c r="C186" s="20" t="s">
        <v>155</v>
      </c>
      <c r="D186" s="20" t="s">
        <v>1260</v>
      </c>
      <c r="E186" s="20" t="s">
        <v>147</v>
      </c>
      <c r="F186" s="6">
        <f>'Пр.3 Рд,пр, ЦС,ВР 20'!F188</f>
        <v>0</v>
      </c>
      <c r="G186" s="6">
        <f>'Пр.3 Рд,пр, ЦС,ВР 20'!G188</f>
        <v>0</v>
      </c>
    </row>
    <row r="187" spans="1:7" ht="47.25" hidden="1" x14ac:dyDescent="0.25">
      <c r="A187" s="25" t="s">
        <v>148</v>
      </c>
      <c r="B187" s="20" t="s">
        <v>133</v>
      </c>
      <c r="C187" s="20" t="s">
        <v>155</v>
      </c>
      <c r="D187" s="20" t="s">
        <v>1260</v>
      </c>
      <c r="E187" s="20" t="s">
        <v>149</v>
      </c>
      <c r="F187" s="6">
        <f>'Пр.3 Рд,пр, ЦС,ВР 20'!F189</f>
        <v>0</v>
      </c>
      <c r="G187" s="6">
        <f>'Пр.3 Рд,пр, ЦС,ВР 20'!G189</f>
        <v>0</v>
      </c>
    </row>
    <row r="188" spans="1:7" ht="31.5" x14ac:dyDescent="0.25">
      <c r="A188" s="31" t="s">
        <v>793</v>
      </c>
      <c r="B188" s="20" t="s">
        <v>133</v>
      </c>
      <c r="C188" s="20" t="s">
        <v>155</v>
      </c>
      <c r="D188" s="20" t="s">
        <v>1231</v>
      </c>
      <c r="E188" s="20"/>
      <c r="F188" s="6">
        <f>F189</f>
        <v>20</v>
      </c>
      <c r="G188" s="6">
        <f>G189</f>
        <v>20</v>
      </c>
    </row>
    <row r="189" spans="1:7" ht="31.5" x14ac:dyDescent="0.25">
      <c r="A189" s="25" t="s">
        <v>146</v>
      </c>
      <c r="B189" s="20" t="s">
        <v>133</v>
      </c>
      <c r="C189" s="20" t="s">
        <v>155</v>
      </c>
      <c r="D189" s="20" t="s">
        <v>1231</v>
      </c>
      <c r="E189" s="20" t="s">
        <v>147</v>
      </c>
      <c r="F189" s="6">
        <f>F190</f>
        <v>20</v>
      </c>
      <c r="G189" s="6">
        <f>G190</f>
        <v>20</v>
      </c>
    </row>
    <row r="190" spans="1:7" ht="47.25" x14ac:dyDescent="0.25">
      <c r="A190" s="25" t="s">
        <v>148</v>
      </c>
      <c r="B190" s="20" t="s">
        <v>133</v>
      </c>
      <c r="C190" s="20" t="s">
        <v>155</v>
      </c>
      <c r="D190" s="20" t="s">
        <v>1231</v>
      </c>
      <c r="E190" s="20" t="s">
        <v>149</v>
      </c>
      <c r="F190" s="6">
        <f>'пр.4.1.ведом.21-22'!G242</f>
        <v>20</v>
      </c>
      <c r="G190" s="6">
        <f>'пр.4.1.ведом.21-22'!H242</f>
        <v>20</v>
      </c>
    </row>
    <row r="191" spans="1:7" ht="78.75" x14ac:dyDescent="0.25">
      <c r="A191" s="41" t="s">
        <v>1429</v>
      </c>
      <c r="B191" s="8" t="s">
        <v>133</v>
      </c>
      <c r="C191" s="8" t="s">
        <v>155</v>
      </c>
      <c r="D191" s="24" t="s">
        <v>726</v>
      </c>
      <c r="E191" s="250"/>
      <c r="F191" s="59">
        <f>F192+F196</f>
        <v>45</v>
      </c>
      <c r="G191" s="59">
        <f>G192+G196</f>
        <v>45</v>
      </c>
    </row>
    <row r="192" spans="1:7" ht="63" x14ac:dyDescent="0.25">
      <c r="A192" s="238" t="s">
        <v>890</v>
      </c>
      <c r="B192" s="24" t="s">
        <v>133</v>
      </c>
      <c r="C192" s="24" t="s">
        <v>155</v>
      </c>
      <c r="D192" s="24" t="s">
        <v>896</v>
      </c>
      <c r="E192" s="24"/>
      <c r="F192" s="59">
        <f>F193</f>
        <v>30</v>
      </c>
      <c r="G192" s="59">
        <f>G193</f>
        <v>30</v>
      </c>
    </row>
    <row r="193" spans="1:7" ht="47.25" x14ac:dyDescent="0.25">
      <c r="A193" s="99" t="s">
        <v>797</v>
      </c>
      <c r="B193" s="20" t="s">
        <v>133</v>
      </c>
      <c r="C193" s="20" t="s">
        <v>155</v>
      </c>
      <c r="D193" s="20" t="s">
        <v>891</v>
      </c>
      <c r="E193" s="20"/>
      <c r="F193" s="6">
        <f>F194</f>
        <v>30</v>
      </c>
      <c r="G193" s="6">
        <f>G194</f>
        <v>30</v>
      </c>
    </row>
    <row r="194" spans="1:7" ht="36.75" customHeight="1" x14ac:dyDescent="0.25">
      <c r="A194" s="25" t="s">
        <v>146</v>
      </c>
      <c r="B194" s="20" t="s">
        <v>133</v>
      </c>
      <c r="C194" s="20" t="s">
        <v>155</v>
      </c>
      <c r="D194" s="20" t="s">
        <v>891</v>
      </c>
      <c r="E194" s="20" t="s">
        <v>147</v>
      </c>
      <c r="F194" s="6">
        <f>F195</f>
        <v>30</v>
      </c>
      <c r="G194" s="6">
        <f t="shared" si="7"/>
        <v>30</v>
      </c>
    </row>
    <row r="195" spans="1:7" ht="47.25" x14ac:dyDescent="0.25">
      <c r="A195" s="25" t="s">
        <v>148</v>
      </c>
      <c r="B195" s="20" t="s">
        <v>133</v>
      </c>
      <c r="C195" s="20" t="s">
        <v>155</v>
      </c>
      <c r="D195" s="20" t="s">
        <v>891</v>
      </c>
      <c r="E195" s="20" t="s">
        <v>149</v>
      </c>
      <c r="F195" s="6">
        <f>'пр.4.1.ведом.21-22'!G119+'пр.4.1.ведом.21-22'!G247</f>
        <v>30</v>
      </c>
      <c r="G195" s="6">
        <f>'пр.4.1.ведом.21-22'!H119+'пр.4.1.ведом.21-22'!H247</f>
        <v>30</v>
      </c>
    </row>
    <row r="196" spans="1:7" ht="47.25" x14ac:dyDescent="0.25">
      <c r="A196" s="239" t="s">
        <v>1186</v>
      </c>
      <c r="B196" s="24" t="s">
        <v>133</v>
      </c>
      <c r="C196" s="24" t="s">
        <v>155</v>
      </c>
      <c r="D196" s="24" t="s">
        <v>897</v>
      </c>
      <c r="E196" s="250"/>
      <c r="F196" s="59">
        <f t="shared" ref="F196:G198" si="8">F197</f>
        <v>15</v>
      </c>
      <c r="G196" s="59">
        <f t="shared" si="8"/>
        <v>15</v>
      </c>
    </row>
    <row r="197" spans="1:7" ht="47.25" x14ac:dyDescent="0.25">
      <c r="A197" s="99" t="s">
        <v>798</v>
      </c>
      <c r="B197" s="20" t="s">
        <v>133</v>
      </c>
      <c r="C197" s="20" t="s">
        <v>155</v>
      </c>
      <c r="D197" s="20" t="s">
        <v>892</v>
      </c>
      <c r="E197" s="32"/>
      <c r="F197" s="6">
        <f t="shared" si="8"/>
        <v>15</v>
      </c>
      <c r="G197" s="6">
        <f t="shared" si="8"/>
        <v>15</v>
      </c>
    </row>
    <row r="198" spans="1:7" ht="31.5" x14ac:dyDescent="0.25">
      <c r="A198" s="25" t="s">
        <v>146</v>
      </c>
      <c r="B198" s="20" t="s">
        <v>133</v>
      </c>
      <c r="C198" s="20" t="s">
        <v>155</v>
      </c>
      <c r="D198" s="20" t="s">
        <v>892</v>
      </c>
      <c r="E198" s="32" t="s">
        <v>147</v>
      </c>
      <c r="F198" s="6">
        <f t="shared" si="8"/>
        <v>15</v>
      </c>
      <c r="G198" s="6">
        <f t="shared" si="8"/>
        <v>15</v>
      </c>
    </row>
    <row r="199" spans="1:7" ht="47.25" x14ac:dyDescent="0.25">
      <c r="A199" s="25" t="s">
        <v>148</v>
      </c>
      <c r="B199" s="20" t="s">
        <v>133</v>
      </c>
      <c r="C199" s="20" t="s">
        <v>155</v>
      </c>
      <c r="D199" s="20" t="s">
        <v>892</v>
      </c>
      <c r="E199" s="32" t="s">
        <v>149</v>
      </c>
      <c r="F199" s="6">
        <f>'пр.4.1.ведом.21-22'!G123</f>
        <v>15</v>
      </c>
      <c r="G199" s="6">
        <f>'пр.4.1.ведом.21-22'!H123</f>
        <v>15</v>
      </c>
    </row>
    <row r="200" spans="1:7" ht="94.5" x14ac:dyDescent="0.25">
      <c r="A200" s="244" t="s">
        <v>1433</v>
      </c>
      <c r="B200" s="24" t="s">
        <v>133</v>
      </c>
      <c r="C200" s="24" t="s">
        <v>155</v>
      </c>
      <c r="D200" s="24" t="s">
        <v>804</v>
      </c>
      <c r="E200" s="250"/>
      <c r="F200" s="59">
        <f>F202</f>
        <v>3266.2200000000003</v>
      </c>
      <c r="G200" s="59">
        <f>G202</f>
        <v>239.82000000000016</v>
      </c>
    </row>
    <row r="201" spans="1:7" ht="31.5" x14ac:dyDescent="0.25">
      <c r="A201" s="23" t="s">
        <v>1001</v>
      </c>
      <c r="B201" s="24" t="s">
        <v>133</v>
      </c>
      <c r="C201" s="24" t="s">
        <v>155</v>
      </c>
      <c r="D201" s="24" t="s">
        <v>1180</v>
      </c>
      <c r="E201" s="250"/>
      <c r="F201" s="59">
        <f t="shared" ref="F201:G203" si="9">F202</f>
        <v>3266.2200000000003</v>
      </c>
      <c r="G201" s="59">
        <f t="shared" si="9"/>
        <v>239.82000000000016</v>
      </c>
    </row>
    <row r="202" spans="1:7" ht="31.5" x14ac:dyDescent="0.25">
      <c r="A202" s="193" t="s">
        <v>814</v>
      </c>
      <c r="B202" s="20" t="s">
        <v>133</v>
      </c>
      <c r="C202" s="20" t="s">
        <v>155</v>
      </c>
      <c r="D202" s="20" t="s">
        <v>1181</v>
      </c>
      <c r="E202" s="32"/>
      <c r="F202" s="6">
        <f t="shared" si="9"/>
        <v>3266.2200000000003</v>
      </c>
      <c r="G202" s="6">
        <f t="shared" si="9"/>
        <v>239.82000000000016</v>
      </c>
    </row>
    <row r="203" spans="1:7" ht="31.5" x14ac:dyDescent="0.25">
      <c r="A203" s="193" t="s">
        <v>146</v>
      </c>
      <c r="B203" s="20" t="s">
        <v>133</v>
      </c>
      <c r="C203" s="20" t="s">
        <v>155</v>
      </c>
      <c r="D203" s="20" t="s">
        <v>1181</v>
      </c>
      <c r="E203" s="32" t="s">
        <v>147</v>
      </c>
      <c r="F203" s="6">
        <f t="shared" si="9"/>
        <v>3266.2200000000003</v>
      </c>
      <c r="G203" s="6">
        <f t="shared" si="9"/>
        <v>239.82000000000016</v>
      </c>
    </row>
    <row r="204" spans="1:7" ht="47.25" x14ac:dyDescent="0.25">
      <c r="A204" s="193" t="s">
        <v>148</v>
      </c>
      <c r="B204" s="20" t="s">
        <v>133</v>
      </c>
      <c r="C204" s="20" t="s">
        <v>155</v>
      </c>
      <c r="D204" s="20" t="s">
        <v>1181</v>
      </c>
      <c r="E204" s="32" t="s">
        <v>149</v>
      </c>
      <c r="F204" s="6">
        <f>'пр.4.1.ведом.21-22'!G524</f>
        <v>3266.2200000000003</v>
      </c>
      <c r="G204" s="6">
        <f>'пр.4.1.ведом.21-22'!H524</f>
        <v>239.82000000000016</v>
      </c>
    </row>
    <row r="205" spans="1:7" ht="94.5" x14ac:dyDescent="0.25">
      <c r="A205" s="41" t="s">
        <v>1424</v>
      </c>
      <c r="B205" s="8" t="s">
        <v>133</v>
      </c>
      <c r="C205" s="8" t="s">
        <v>155</v>
      </c>
      <c r="D205" s="275" t="s">
        <v>859</v>
      </c>
      <c r="E205" s="8"/>
      <c r="F205" s="59">
        <f t="shared" ref="F205:F208" si="10">F206</f>
        <v>40</v>
      </c>
      <c r="G205" s="59">
        <f>G206</f>
        <v>40</v>
      </c>
    </row>
    <row r="206" spans="1:7" ht="47.25" x14ac:dyDescent="0.25">
      <c r="A206" s="240" t="s">
        <v>898</v>
      </c>
      <c r="B206" s="8" t="s">
        <v>133</v>
      </c>
      <c r="C206" s="8" t="s">
        <v>155</v>
      </c>
      <c r="D206" s="210" t="s">
        <v>1262</v>
      </c>
      <c r="E206" s="8"/>
      <c r="F206" s="59">
        <f t="shared" si="10"/>
        <v>40</v>
      </c>
      <c r="G206" s="59">
        <f>G207</f>
        <v>40</v>
      </c>
    </row>
    <row r="207" spans="1:7" ht="47.25" x14ac:dyDescent="0.25">
      <c r="A207" s="98" t="s">
        <v>186</v>
      </c>
      <c r="B207" s="9" t="s">
        <v>133</v>
      </c>
      <c r="C207" s="9" t="s">
        <v>155</v>
      </c>
      <c r="D207" s="5" t="s">
        <v>899</v>
      </c>
      <c r="E207" s="9"/>
      <c r="F207" s="6">
        <f t="shared" si="10"/>
        <v>40</v>
      </c>
      <c r="G207" s="6">
        <f>G208</f>
        <v>40</v>
      </c>
    </row>
    <row r="208" spans="1:7" ht="31.5" x14ac:dyDescent="0.25">
      <c r="A208" s="25" t="s">
        <v>146</v>
      </c>
      <c r="B208" s="9" t="s">
        <v>133</v>
      </c>
      <c r="C208" s="9" t="s">
        <v>155</v>
      </c>
      <c r="D208" s="5" t="s">
        <v>899</v>
      </c>
      <c r="E208" s="9" t="s">
        <v>147</v>
      </c>
      <c r="F208" s="6">
        <f t="shared" si="10"/>
        <v>40</v>
      </c>
      <c r="G208" s="6">
        <f>G209</f>
        <v>40</v>
      </c>
    </row>
    <row r="209" spans="1:7" ht="47.25" x14ac:dyDescent="0.25">
      <c r="A209" s="25" t="s">
        <v>148</v>
      </c>
      <c r="B209" s="9" t="s">
        <v>133</v>
      </c>
      <c r="C209" s="9" t="s">
        <v>155</v>
      </c>
      <c r="D209" s="5" t="s">
        <v>899</v>
      </c>
      <c r="E209" s="9" t="s">
        <v>149</v>
      </c>
      <c r="F209" s="6">
        <f>'пр.4.1.ведом.21-22'!G128</f>
        <v>40</v>
      </c>
      <c r="G209" s="6">
        <f>'пр.4.1.ведом.21-22'!H128</f>
        <v>40</v>
      </c>
    </row>
    <row r="210" spans="1:7" ht="94.5" x14ac:dyDescent="0.25">
      <c r="A210" s="41" t="s">
        <v>1423</v>
      </c>
      <c r="B210" s="8" t="s">
        <v>133</v>
      </c>
      <c r="C210" s="8" t="s">
        <v>155</v>
      </c>
      <c r="D210" s="210" t="s">
        <v>860</v>
      </c>
      <c r="E210" s="8"/>
      <c r="F210" s="4">
        <f>F211</f>
        <v>100</v>
      </c>
      <c r="G210" s="4">
        <f>G211</f>
        <v>100</v>
      </c>
    </row>
    <row r="211" spans="1:7" ht="31.5" x14ac:dyDescent="0.25">
      <c r="A211" s="58" t="s">
        <v>900</v>
      </c>
      <c r="B211" s="8" t="s">
        <v>133</v>
      </c>
      <c r="C211" s="8" t="s">
        <v>155</v>
      </c>
      <c r="D211" s="210" t="s">
        <v>908</v>
      </c>
      <c r="E211" s="8"/>
      <c r="F211" s="4">
        <f t="shared" ref="F211:G211" si="11">F212</f>
        <v>100</v>
      </c>
      <c r="G211" s="4">
        <f t="shared" si="11"/>
        <v>100</v>
      </c>
    </row>
    <row r="212" spans="1:7" ht="31.5" x14ac:dyDescent="0.25">
      <c r="A212" s="45" t="s">
        <v>865</v>
      </c>
      <c r="B212" s="9" t="s">
        <v>133</v>
      </c>
      <c r="C212" s="9" t="s">
        <v>155</v>
      </c>
      <c r="D212" s="5" t="s">
        <v>901</v>
      </c>
      <c r="E212" s="9"/>
      <c r="F212" s="6">
        <f>F213</f>
        <v>100</v>
      </c>
      <c r="G212" s="6">
        <f t="shared" si="7"/>
        <v>100</v>
      </c>
    </row>
    <row r="213" spans="1:7" ht="31.5" x14ac:dyDescent="0.25">
      <c r="A213" s="25" t="s">
        <v>146</v>
      </c>
      <c r="B213" s="9" t="s">
        <v>133</v>
      </c>
      <c r="C213" s="9" t="s">
        <v>155</v>
      </c>
      <c r="D213" s="5" t="s">
        <v>901</v>
      </c>
      <c r="E213" s="9" t="s">
        <v>147</v>
      </c>
      <c r="F213" s="6">
        <f>F214</f>
        <v>100</v>
      </c>
      <c r="G213" s="6">
        <f t="shared" ref="G213:G272" si="12">F213</f>
        <v>100</v>
      </c>
    </row>
    <row r="214" spans="1:7" ht="47.25" x14ac:dyDescent="0.25">
      <c r="A214" s="25" t="s">
        <v>148</v>
      </c>
      <c r="B214" s="9" t="s">
        <v>133</v>
      </c>
      <c r="C214" s="9" t="s">
        <v>155</v>
      </c>
      <c r="D214" s="5" t="s">
        <v>901</v>
      </c>
      <c r="E214" s="9" t="s">
        <v>149</v>
      </c>
      <c r="F214" s="6">
        <f>'пр.4.1.ведом.21-22'!G133</f>
        <v>100</v>
      </c>
      <c r="G214" s="6">
        <f>'пр.4.1.ведом.21-22'!H133</f>
        <v>100</v>
      </c>
    </row>
    <row r="215" spans="1:7" ht="15.75" hidden="1" x14ac:dyDescent="0.25">
      <c r="A215" s="23" t="s">
        <v>227</v>
      </c>
      <c r="B215" s="24" t="s">
        <v>228</v>
      </c>
      <c r="C215" s="24"/>
      <c r="D215" s="24"/>
      <c r="E215" s="24"/>
      <c r="F215" s="4">
        <f t="shared" ref="F215:G218" si="13">F216</f>
        <v>0</v>
      </c>
      <c r="G215" s="4">
        <f t="shared" si="13"/>
        <v>0</v>
      </c>
    </row>
    <row r="216" spans="1:7" ht="31.5" hidden="1" x14ac:dyDescent="0.25">
      <c r="A216" s="23" t="s">
        <v>233</v>
      </c>
      <c r="B216" s="24" t="s">
        <v>228</v>
      </c>
      <c r="C216" s="24" t="s">
        <v>234</v>
      </c>
      <c r="D216" s="24"/>
      <c r="E216" s="24"/>
      <c r="F216" s="4">
        <f t="shared" si="13"/>
        <v>0</v>
      </c>
      <c r="G216" s="4">
        <f t="shared" si="13"/>
        <v>0</v>
      </c>
    </row>
    <row r="217" spans="1:7" ht="15.75" hidden="1" x14ac:dyDescent="0.25">
      <c r="A217" s="23" t="s">
        <v>156</v>
      </c>
      <c r="B217" s="24" t="s">
        <v>228</v>
      </c>
      <c r="C217" s="24" t="s">
        <v>234</v>
      </c>
      <c r="D217" s="24" t="s">
        <v>910</v>
      </c>
      <c r="E217" s="24"/>
      <c r="F217" s="4">
        <f t="shared" si="13"/>
        <v>0</v>
      </c>
      <c r="G217" s="4">
        <f t="shared" si="13"/>
        <v>0</v>
      </c>
    </row>
    <row r="218" spans="1:7" ht="31.5" hidden="1" x14ac:dyDescent="0.25">
      <c r="A218" s="23" t="s">
        <v>914</v>
      </c>
      <c r="B218" s="24" t="s">
        <v>228</v>
      </c>
      <c r="C218" s="24" t="s">
        <v>234</v>
      </c>
      <c r="D218" s="24" t="s">
        <v>909</v>
      </c>
      <c r="E218" s="24"/>
      <c r="F218" s="4">
        <f t="shared" si="13"/>
        <v>0</v>
      </c>
      <c r="G218" s="4">
        <f t="shared" si="13"/>
        <v>0</v>
      </c>
    </row>
    <row r="219" spans="1:7" ht="31.5" hidden="1" x14ac:dyDescent="0.25">
      <c r="A219" s="25" t="s">
        <v>235</v>
      </c>
      <c r="B219" s="20" t="s">
        <v>228</v>
      </c>
      <c r="C219" s="20" t="s">
        <v>234</v>
      </c>
      <c r="D219" s="20" t="s">
        <v>915</v>
      </c>
      <c r="E219" s="20"/>
      <c r="F219" s="6">
        <f>'Пр.3 Рд,пр, ЦС,ВР 20'!F221</f>
        <v>0</v>
      </c>
      <c r="G219" s="6">
        <f t="shared" si="12"/>
        <v>0</v>
      </c>
    </row>
    <row r="220" spans="1:7" ht="47.25" hidden="1" x14ac:dyDescent="0.25">
      <c r="A220" s="25" t="s">
        <v>213</v>
      </c>
      <c r="B220" s="20" t="s">
        <v>228</v>
      </c>
      <c r="C220" s="20" t="s">
        <v>234</v>
      </c>
      <c r="D220" s="20" t="s">
        <v>915</v>
      </c>
      <c r="E220" s="20" t="s">
        <v>147</v>
      </c>
      <c r="F220" s="6">
        <f>'Пр.3 Рд,пр, ЦС,ВР 20'!F222</f>
        <v>0</v>
      </c>
      <c r="G220" s="6">
        <f t="shared" si="12"/>
        <v>0</v>
      </c>
    </row>
    <row r="221" spans="1:7" ht="47.25" hidden="1" x14ac:dyDescent="0.25">
      <c r="A221" s="25" t="s">
        <v>148</v>
      </c>
      <c r="B221" s="20" t="s">
        <v>228</v>
      </c>
      <c r="C221" s="20" t="s">
        <v>234</v>
      </c>
      <c r="D221" s="20" t="s">
        <v>915</v>
      </c>
      <c r="E221" s="20" t="s">
        <v>149</v>
      </c>
      <c r="F221" s="6">
        <f>'Пр.3 Рд,пр, ЦС,ВР 20'!F223</f>
        <v>0</v>
      </c>
      <c r="G221" s="6">
        <f t="shared" si="12"/>
        <v>0</v>
      </c>
    </row>
    <row r="222" spans="1:7" ht="31.5" x14ac:dyDescent="0.25">
      <c r="A222" s="23" t="s">
        <v>237</v>
      </c>
      <c r="B222" s="24" t="s">
        <v>230</v>
      </c>
      <c r="C222" s="24"/>
      <c r="D222" s="24"/>
      <c r="E222" s="24"/>
      <c r="F222" s="4">
        <f t="shared" ref="F222:G223" si="14">F223</f>
        <v>8029</v>
      </c>
      <c r="G222" s="4">
        <f t="shared" si="14"/>
        <v>8029</v>
      </c>
    </row>
    <row r="223" spans="1:7" ht="63" x14ac:dyDescent="0.25">
      <c r="A223" s="23" t="s">
        <v>238</v>
      </c>
      <c r="B223" s="24" t="s">
        <v>230</v>
      </c>
      <c r="C223" s="24" t="s">
        <v>234</v>
      </c>
      <c r="D223" s="20"/>
      <c r="E223" s="20"/>
      <c r="F223" s="4">
        <f t="shared" si="14"/>
        <v>8029</v>
      </c>
      <c r="G223" s="4">
        <f t="shared" si="14"/>
        <v>8029</v>
      </c>
    </row>
    <row r="224" spans="1:7" ht="15.75" x14ac:dyDescent="0.25">
      <c r="A224" s="23" t="s">
        <v>156</v>
      </c>
      <c r="B224" s="24" t="s">
        <v>230</v>
      </c>
      <c r="C224" s="24" t="s">
        <v>234</v>
      </c>
      <c r="D224" s="24" t="s">
        <v>910</v>
      </c>
      <c r="E224" s="24"/>
      <c r="F224" s="4">
        <f>F225+F232</f>
        <v>8029</v>
      </c>
      <c r="G224" s="4">
        <f>G225+G232</f>
        <v>8029</v>
      </c>
    </row>
    <row r="225" spans="1:7" ht="31.5" x14ac:dyDescent="0.25">
      <c r="A225" s="23" t="s">
        <v>914</v>
      </c>
      <c r="B225" s="24" t="s">
        <v>230</v>
      </c>
      <c r="C225" s="24" t="s">
        <v>234</v>
      </c>
      <c r="D225" s="24" t="s">
        <v>909</v>
      </c>
      <c r="E225" s="24"/>
      <c r="F225" s="4">
        <f>F226+F229</f>
        <v>2089</v>
      </c>
      <c r="G225" s="4">
        <f>G226+G229</f>
        <v>2089</v>
      </c>
    </row>
    <row r="226" spans="1:7" ht="47.25" x14ac:dyDescent="0.25">
      <c r="A226" s="25" t="s">
        <v>239</v>
      </c>
      <c r="B226" s="20" t="s">
        <v>230</v>
      </c>
      <c r="C226" s="20" t="s">
        <v>234</v>
      </c>
      <c r="D226" s="20" t="s">
        <v>919</v>
      </c>
      <c r="E226" s="20"/>
      <c r="F226" s="6">
        <f>F227</f>
        <v>1785</v>
      </c>
      <c r="G226" s="6">
        <f>G227</f>
        <v>1785</v>
      </c>
    </row>
    <row r="227" spans="1:7" ht="47.25" x14ac:dyDescent="0.25">
      <c r="A227" s="25" t="s">
        <v>213</v>
      </c>
      <c r="B227" s="20" t="s">
        <v>230</v>
      </c>
      <c r="C227" s="20" t="s">
        <v>234</v>
      </c>
      <c r="D227" s="20" t="s">
        <v>919</v>
      </c>
      <c r="E227" s="20" t="s">
        <v>147</v>
      </c>
      <c r="F227" s="6">
        <f>F228</f>
        <v>1785</v>
      </c>
      <c r="G227" s="6">
        <f>G228</f>
        <v>1785</v>
      </c>
    </row>
    <row r="228" spans="1:7" ht="47.25" x14ac:dyDescent="0.25">
      <c r="A228" s="25" t="s">
        <v>148</v>
      </c>
      <c r="B228" s="20" t="s">
        <v>230</v>
      </c>
      <c r="C228" s="20" t="s">
        <v>234</v>
      </c>
      <c r="D228" s="20" t="s">
        <v>919</v>
      </c>
      <c r="E228" s="20" t="s">
        <v>149</v>
      </c>
      <c r="F228" s="6">
        <f>'пр.4.1.ведом.21-22'!G147</f>
        <v>1785</v>
      </c>
      <c r="G228" s="6">
        <f>'пр.4.1.ведом.21-22'!H147</f>
        <v>1785</v>
      </c>
    </row>
    <row r="229" spans="1:7" ht="15.75" x14ac:dyDescent="0.25">
      <c r="A229" s="25" t="s">
        <v>245</v>
      </c>
      <c r="B229" s="20" t="s">
        <v>230</v>
      </c>
      <c r="C229" s="20" t="s">
        <v>234</v>
      </c>
      <c r="D229" s="20" t="s">
        <v>920</v>
      </c>
      <c r="E229" s="20"/>
      <c r="F229" s="6">
        <f>F230</f>
        <v>304</v>
      </c>
      <c r="G229" s="6">
        <f>G230</f>
        <v>304</v>
      </c>
    </row>
    <row r="230" spans="1:7" ht="47.25" x14ac:dyDescent="0.25">
      <c r="A230" s="25" t="s">
        <v>213</v>
      </c>
      <c r="B230" s="20" t="s">
        <v>230</v>
      </c>
      <c r="C230" s="20" t="s">
        <v>234</v>
      </c>
      <c r="D230" s="20" t="s">
        <v>920</v>
      </c>
      <c r="E230" s="20" t="s">
        <v>147</v>
      </c>
      <c r="F230" s="6">
        <f>F231</f>
        <v>304</v>
      </c>
      <c r="G230" s="6">
        <f>G231</f>
        <v>304</v>
      </c>
    </row>
    <row r="231" spans="1:7" ht="47.25" x14ac:dyDescent="0.25">
      <c r="A231" s="25" t="s">
        <v>148</v>
      </c>
      <c r="B231" s="20" t="s">
        <v>230</v>
      </c>
      <c r="C231" s="20" t="s">
        <v>234</v>
      </c>
      <c r="D231" s="20" t="s">
        <v>920</v>
      </c>
      <c r="E231" s="20" t="s">
        <v>149</v>
      </c>
      <c r="F231" s="6">
        <f>'пр.4.1.ведом.21-22'!G150+'пр.4.1.ведом.21-22'!G868</f>
        <v>304</v>
      </c>
      <c r="G231" s="6">
        <f>'пр.4.1.ведом.21-22'!H150+'пр.4.1.ведом.21-22'!H868</f>
        <v>304</v>
      </c>
    </row>
    <row r="232" spans="1:7" ht="47.25" x14ac:dyDescent="0.25">
      <c r="A232" s="23" t="s">
        <v>994</v>
      </c>
      <c r="B232" s="24" t="s">
        <v>230</v>
      </c>
      <c r="C232" s="24" t="s">
        <v>234</v>
      </c>
      <c r="D232" s="24" t="s">
        <v>916</v>
      </c>
      <c r="E232" s="24"/>
      <c r="F232" s="4">
        <f>F233+F238</f>
        <v>5940</v>
      </c>
      <c r="G232" s="4">
        <f>G233+G238</f>
        <v>5940</v>
      </c>
    </row>
    <row r="233" spans="1:7" ht="31.5" x14ac:dyDescent="0.25">
      <c r="A233" s="25" t="s">
        <v>998</v>
      </c>
      <c r="B233" s="20" t="s">
        <v>230</v>
      </c>
      <c r="C233" s="20" t="s">
        <v>234</v>
      </c>
      <c r="D233" s="20" t="s">
        <v>917</v>
      </c>
      <c r="E233" s="20"/>
      <c r="F233" s="6">
        <f>F234+F236</f>
        <v>5688</v>
      </c>
      <c r="G233" s="6">
        <f>G234+G236</f>
        <v>5688</v>
      </c>
    </row>
    <row r="234" spans="1:7" ht="94.5" x14ac:dyDescent="0.25">
      <c r="A234" s="25" t="s">
        <v>142</v>
      </c>
      <c r="B234" s="20" t="s">
        <v>230</v>
      </c>
      <c r="C234" s="20" t="s">
        <v>234</v>
      </c>
      <c r="D234" s="20" t="s">
        <v>917</v>
      </c>
      <c r="E234" s="20" t="s">
        <v>143</v>
      </c>
      <c r="F234" s="6">
        <f>F235</f>
        <v>5525</v>
      </c>
      <c r="G234" s="6">
        <f>G235</f>
        <v>5525</v>
      </c>
    </row>
    <row r="235" spans="1:7" ht="31.5" x14ac:dyDescent="0.25">
      <c r="A235" s="25" t="s">
        <v>223</v>
      </c>
      <c r="B235" s="20" t="s">
        <v>230</v>
      </c>
      <c r="C235" s="20" t="s">
        <v>234</v>
      </c>
      <c r="D235" s="20" t="s">
        <v>917</v>
      </c>
      <c r="E235" s="20" t="s">
        <v>224</v>
      </c>
      <c r="F235" s="6">
        <f>'пр.4.1.ведом.21-22'!G154</f>
        <v>5525</v>
      </c>
      <c r="G235" s="6">
        <f>'пр.4.1.ведом.21-22'!H154</f>
        <v>5525</v>
      </c>
    </row>
    <row r="236" spans="1:7" ht="47.25" x14ac:dyDescent="0.25">
      <c r="A236" s="25" t="s">
        <v>213</v>
      </c>
      <c r="B236" s="20" t="s">
        <v>230</v>
      </c>
      <c r="C236" s="20" t="s">
        <v>234</v>
      </c>
      <c r="D236" s="20" t="s">
        <v>917</v>
      </c>
      <c r="E236" s="20" t="s">
        <v>147</v>
      </c>
      <c r="F236" s="6">
        <f>F237</f>
        <v>163</v>
      </c>
      <c r="G236" s="6">
        <f>G237</f>
        <v>163</v>
      </c>
    </row>
    <row r="237" spans="1:7" ht="47.25" x14ac:dyDescent="0.25">
      <c r="A237" s="25" t="s">
        <v>148</v>
      </c>
      <c r="B237" s="20" t="s">
        <v>230</v>
      </c>
      <c r="C237" s="20" t="s">
        <v>234</v>
      </c>
      <c r="D237" s="20" t="s">
        <v>917</v>
      </c>
      <c r="E237" s="20" t="s">
        <v>149</v>
      </c>
      <c r="F237" s="6">
        <f>'пр.4.1.ведом.21-22'!G156</f>
        <v>163</v>
      </c>
      <c r="G237" s="6">
        <f>'пр.4.1.ведом.21-22'!H156</f>
        <v>163</v>
      </c>
    </row>
    <row r="238" spans="1:7" ht="47.25" x14ac:dyDescent="0.25">
      <c r="A238" s="25" t="s">
        <v>883</v>
      </c>
      <c r="B238" s="20" t="s">
        <v>230</v>
      </c>
      <c r="C238" s="20" t="s">
        <v>234</v>
      </c>
      <c r="D238" s="20" t="s">
        <v>918</v>
      </c>
      <c r="E238" s="20"/>
      <c r="F238" s="6">
        <f>F239</f>
        <v>252</v>
      </c>
      <c r="G238" s="6">
        <f>G239</f>
        <v>252</v>
      </c>
    </row>
    <row r="239" spans="1:7" ht="94.5" x14ac:dyDescent="0.25">
      <c r="A239" s="25" t="s">
        <v>142</v>
      </c>
      <c r="B239" s="20" t="s">
        <v>230</v>
      </c>
      <c r="C239" s="20" t="s">
        <v>234</v>
      </c>
      <c r="D239" s="20" t="s">
        <v>918</v>
      </c>
      <c r="E239" s="20" t="s">
        <v>143</v>
      </c>
      <c r="F239" s="6">
        <f>F240</f>
        <v>252</v>
      </c>
      <c r="G239" s="6">
        <f>G240</f>
        <v>252</v>
      </c>
    </row>
    <row r="240" spans="1:7" ht="47.25" x14ac:dyDescent="0.25">
      <c r="A240" s="25" t="s">
        <v>144</v>
      </c>
      <c r="B240" s="20" t="s">
        <v>230</v>
      </c>
      <c r="C240" s="20" t="s">
        <v>234</v>
      </c>
      <c r="D240" s="20" t="s">
        <v>918</v>
      </c>
      <c r="E240" s="20" t="s">
        <v>145</v>
      </c>
      <c r="F240" s="6">
        <f>'пр.4.1.ведом.21-22'!G159</f>
        <v>252</v>
      </c>
      <c r="G240" s="6">
        <f>'пр.4.1.ведом.21-22'!H159</f>
        <v>252</v>
      </c>
    </row>
    <row r="241" spans="1:7" ht="15.75" x14ac:dyDescent="0.25">
      <c r="A241" s="23" t="s">
        <v>247</v>
      </c>
      <c r="B241" s="24" t="s">
        <v>165</v>
      </c>
      <c r="C241" s="24"/>
      <c r="D241" s="24"/>
      <c r="E241" s="20"/>
      <c r="F241" s="4">
        <f t="shared" ref="F241" si="15">F255+F261+F273+F242</f>
        <v>7611.8</v>
      </c>
      <c r="G241" s="4">
        <f>G255+G261+G273+G242</f>
        <v>7579.5</v>
      </c>
    </row>
    <row r="242" spans="1:7" ht="15.75" x14ac:dyDescent="0.25">
      <c r="A242" s="23" t="s">
        <v>248</v>
      </c>
      <c r="B242" s="24" t="s">
        <v>165</v>
      </c>
      <c r="C242" s="24" t="s">
        <v>249</v>
      </c>
      <c r="D242" s="24"/>
      <c r="E242" s="20"/>
      <c r="F242" s="4">
        <f>F243</f>
        <v>306</v>
      </c>
      <c r="G242" s="4">
        <f>G243</f>
        <v>306</v>
      </c>
    </row>
    <row r="243" spans="1:7" ht="47.25" x14ac:dyDescent="0.25">
      <c r="A243" s="34" t="s">
        <v>1443</v>
      </c>
      <c r="B243" s="24" t="s">
        <v>165</v>
      </c>
      <c r="C243" s="24" t="s">
        <v>249</v>
      </c>
      <c r="D243" s="210" t="s">
        <v>197</v>
      </c>
      <c r="E243" s="250"/>
      <c r="F243" s="4">
        <f>F244+F251</f>
        <v>306</v>
      </c>
      <c r="G243" s="4">
        <f>G244+G251</f>
        <v>306</v>
      </c>
    </row>
    <row r="244" spans="1:7" ht="47.25" x14ac:dyDescent="0.25">
      <c r="A244" s="34" t="s">
        <v>1157</v>
      </c>
      <c r="B244" s="24" t="s">
        <v>165</v>
      </c>
      <c r="C244" s="24" t="s">
        <v>249</v>
      </c>
      <c r="D244" s="285" t="s">
        <v>921</v>
      </c>
      <c r="E244" s="250"/>
      <c r="F244" s="4">
        <f>F245+F248</f>
        <v>256</v>
      </c>
      <c r="G244" s="4">
        <f>G245+G248</f>
        <v>256</v>
      </c>
    </row>
    <row r="245" spans="1:7" ht="15.75" x14ac:dyDescent="0.25">
      <c r="A245" s="25" t="s">
        <v>922</v>
      </c>
      <c r="B245" s="20" t="s">
        <v>165</v>
      </c>
      <c r="C245" s="20" t="s">
        <v>249</v>
      </c>
      <c r="D245" s="20" t="s">
        <v>966</v>
      </c>
      <c r="E245" s="32"/>
      <c r="F245" s="6">
        <f>F246</f>
        <v>1</v>
      </c>
      <c r="G245" s="6">
        <f>G246</f>
        <v>1</v>
      </c>
    </row>
    <row r="246" spans="1:7" ht="15.75" x14ac:dyDescent="0.25">
      <c r="A246" s="29" t="s">
        <v>150</v>
      </c>
      <c r="B246" s="20" t="s">
        <v>165</v>
      </c>
      <c r="C246" s="20" t="s">
        <v>249</v>
      </c>
      <c r="D246" s="20" t="s">
        <v>966</v>
      </c>
      <c r="E246" s="32" t="s">
        <v>160</v>
      </c>
      <c r="F246" s="6">
        <f>F247</f>
        <v>1</v>
      </c>
      <c r="G246" s="6">
        <f>G247</f>
        <v>1</v>
      </c>
    </row>
    <row r="247" spans="1:7" ht="63" x14ac:dyDescent="0.25">
      <c r="A247" s="29" t="s">
        <v>199</v>
      </c>
      <c r="B247" s="20" t="s">
        <v>165</v>
      </c>
      <c r="C247" s="20" t="s">
        <v>249</v>
      </c>
      <c r="D247" s="20" t="s">
        <v>966</v>
      </c>
      <c r="E247" s="32" t="s">
        <v>175</v>
      </c>
      <c r="F247" s="6">
        <f>'пр.4.1.ведом.21-22'!G166</f>
        <v>1</v>
      </c>
      <c r="G247" s="6">
        <f>'пр.4.1.ведом.21-22'!H166</f>
        <v>1</v>
      </c>
    </row>
    <row r="248" spans="1:7" ht="31.5" x14ac:dyDescent="0.25">
      <c r="A248" s="25" t="s">
        <v>250</v>
      </c>
      <c r="B248" s="20" t="s">
        <v>165</v>
      </c>
      <c r="C248" s="20" t="s">
        <v>249</v>
      </c>
      <c r="D248" s="20" t="s">
        <v>925</v>
      </c>
      <c r="E248" s="20"/>
      <c r="F248" s="6">
        <f>F249</f>
        <v>255</v>
      </c>
      <c r="G248" s="6">
        <f>G249</f>
        <v>255</v>
      </c>
    </row>
    <row r="249" spans="1:7" ht="15.75" x14ac:dyDescent="0.25">
      <c r="A249" s="25" t="s">
        <v>150</v>
      </c>
      <c r="B249" s="20" t="s">
        <v>165</v>
      </c>
      <c r="C249" s="20" t="s">
        <v>249</v>
      </c>
      <c r="D249" s="20" t="s">
        <v>925</v>
      </c>
      <c r="E249" s="20" t="s">
        <v>160</v>
      </c>
      <c r="F249" s="6">
        <f>F250</f>
        <v>255</v>
      </c>
      <c r="G249" s="6">
        <f>G250</f>
        <v>255</v>
      </c>
    </row>
    <row r="250" spans="1:7" ht="63" x14ac:dyDescent="0.25">
      <c r="A250" s="25" t="s">
        <v>199</v>
      </c>
      <c r="B250" s="20" t="s">
        <v>165</v>
      </c>
      <c r="C250" s="20" t="s">
        <v>249</v>
      </c>
      <c r="D250" s="20" t="s">
        <v>925</v>
      </c>
      <c r="E250" s="20" t="s">
        <v>175</v>
      </c>
      <c r="F250" s="6">
        <f>'пр.4.1.ведом.21-22'!G169</f>
        <v>255</v>
      </c>
      <c r="G250" s="6">
        <f>'пр.4.1.ведом.21-22'!H169</f>
        <v>255</v>
      </c>
    </row>
    <row r="251" spans="1:7" ht="47.25" x14ac:dyDescent="0.25">
      <c r="A251" s="241" t="s">
        <v>1158</v>
      </c>
      <c r="B251" s="24" t="s">
        <v>165</v>
      </c>
      <c r="C251" s="24" t="s">
        <v>249</v>
      </c>
      <c r="D251" s="210" t="s">
        <v>924</v>
      </c>
      <c r="E251" s="250"/>
      <c r="F251" s="4">
        <f t="shared" ref="F251:G253" si="16">F252</f>
        <v>50</v>
      </c>
      <c r="G251" s="4">
        <f t="shared" si="16"/>
        <v>50</v>
      </c>
    </row>
    <row r="252" spans="1:7" ht="15.75" x14ac:dyDescent="0.25">
      <c r="A252" s="25" t="s">
        <v>923</v>
      </c>
      <c r="B252" s="20" t="s">
        <v>165</v>
      </c>
      <c r="C252" s="20" t="s">
        <v>249</v>
      </c>
      <c r="D252" s="5" t="s">
        <v>967</v>
      </c>
      <c r="E252" s="32"/>
      <c r="F252" s="6">
        <f t="shared" si="16"/>
        <v>50</v>
      </c>
      <c r="G252" s="6">
        <f t="shared" si="16"/>
        <v>50</v>
      </c>
    </row>
    <row r="253" spans="1:7" ht="15.75" x14ac:dyDescent="0.25">
      <c r="A253" s="29" t="s">
        <v>150</v>
      </c>
      <c r="B253" s="20" t="s">
        <v>165</v>
      </c>
      <c r="C253" s="20" t="s">
        <v>249</v>
      </c>
      <c r="D253" s="5" t="s">
        <v>967</v>
      </c>
      <c r="E253" s="32" t="s">
        <v>160</v>
      </c>
      <c r="F253" s="6">
        <f t="shared" si="16"/>
        <v>50</v>
      </c>
      <c r="G253" s="6">
        <f t="shared" si="16"/>
        <v>50</v>
      </c>
    </row>
    <row r="254" spans="1:7" ht="63" x14ac:dyDescent="0.25">
      <c r="A254" s="29" t="s">
        <v>199</v>
      </c>
      <c r="B254" s="20" t="s">
        <v>165</v>
      </c>
      <c r="C254" s="20" t="s">
        <v>249</v>
      </c>
      <c r="D254" s="5" t="s">
        <v>967</v>
      </c>
      <c r="E254" s="32" t="s">
        <v>175</v>
      </c>
      <c r="F254" s="6">
        <f>'пр.4.1.ведом.21-22'!G173</f>
        <v>50</v>
      </c>
      <c r="G254" s="6">
        <f>'пр.4.1.ведом.21-22'!H173</f>
        <v>50</v>
      </c>
    </row>
    <row r="255" spans="1:7" ht="15.75" x14ac:dyDescent="0.25">
      <c r="A255" s="23" t="s">
        <v>520</v>
      </c>
      <c r="B255" s="24" t="s">
        <v>165</v>
      </c>
      <c r="C255" s="24" t="s">
        <v>314</v>
      </c>
      <c r="D255" s="24"/>
      <c r="E255" s="24"/>
      <c r="F255" s="4">
        <f t="shared" ref="F255:G257" si="17">F256</f>
        <v>3258</v>
      </c>
      <c r="G255" s="4">
        <f t="shared" si="17"/>
        <v>3258</v>
      </c>
    </row>
    <row r="256" spans="1:7" ht="15.75" x14ac:dyDescent="0.25">
      <c r="A256" s="23" t="s">
        <v>156</v>
      </c>
      <c r="B256" s="24" t="s">
        <v>165</v>
      </c>
      <c r="C256" s="24" t="s">
        <v>314</v>
      </c>
      <c r="D256" s="24" t="s">
        <v>910</v>
      </c>
      <c r="E256" s="24"/>
      <c r="F256" s="4">
        <f t="shared" si="17"/>
        <v>3258</v>
      </c>
      <c r="G256" s="4">
        <f t="shared" si="17"/>
        <v>3258</v>
      </c>
    </row>
    <row r="257" spans="1:7" ht="31.5" x14ac:dyDescent="0.25">
      <c r="A257" s="23" t="s">
        <v>914</v>
      </c>
      <c r="B257" s="24" t="s">
        <v>165</v>
      </c>
      <c r="C257" s="24" t="s">
        <v>314</v>
      </c>
      <c r="D257" s="24" t="s">
        <v>909</v>
      </c>
      <c r="E257" s="24"/>
      <c r="F257" s="4">
        <f t="shared" si="17"/>
        <v>3258</v>
      </c>
      <c r="G257" s="4">
        <f t="shared" si="17"/>
        <v>3258</v>
      </c>
    </row>
    <row r="258" spans="1:7" ht="31.5" x14ac:dyDescent="0.25">
      <c r="A258" s="25" t="s">
        <v>521</v>
      </c>
      <c r="B258" s="20" t="s">
        <v>165</v>
      </c>
      <c r="C258" s="20" t="s">
        <v>314</v>
      </c>
      <c r="D258" s="20" t="s">
        <v>1091</v>
      </c>
      <c r="E258" s="20"/>
      <c r="F258" s="6">
        <f>F259</f>
        <v>3258</v>
      </c>
      <c r="G258" s="6">
        <f>G259</f>
        <v>3258</v>
      </c>
    </row>
    <row r="259" spans="1:7" ht="31.5" x14ac:dyDescent="0.25">
      <c r="A259" s="25" t="s">
        <v>146</v>
      </c>
      <c r="B259" s="20" t="s">
        <v>165</v>
      </c>
      <c r="C259" s="20" t="s">
        <v>314</v>
      </c>
      <c r="D259" s="20" t="s">
        <v>1091</v>
      </c>
      <c r="E259" s="20" t="s">
        <v>147</v>
      </c>
      <c r="F259" s="6">
        <f>F260</f>
        <v>3258</v>
      </c>
      <c r="G259" s="6">
        <f>G260</f>
        <v>3258</v>
      </c>
    </row>
    <row r="260" spans="1:7" ht="47.25" x14ac:dyDescent="0.25">
      <c r="A260" s="25" t="s">
        <v>148</v>
      </c>
      <c r="B260" s="20" t="s">
        <v>165</v>
      </c>
      <c r="C260" s="20" t="s">
        <v>314</v>
      </c>
      <c r="D260" s="20" t="s">
        <v>1091</v>
      </c>
      <c r="E260" s="20" t="s">
        <v>149</v>
      </c>
      <c r="F260" s="6">
        <f>'пр.4.1.ведом.21-22'!G875</f>
        <v>3258</v>
      </c>
      <c r="G260" s="6">
        <f>'пр.4.1.ведом.21-22'!H875</f>
        <v>3258</v>
      </c>
    </row>
    <row r="261" spans="1:7" ht="15.75" x14ac:dyDescent="0.25">
      <c r="A261" s="23" t="s">
        <v>523</v>
      </c>
      <c r="B261" s="24" t="s">
        <v>165</v>
      </c>
      <c r="C261" s="24" t="s">
        <v>234</v>
      </c>
      <c r="D261" s="20"/>
      <c r="E261" s="24"/>
      <c r="F261" s="4">
        <f t="shared" ref="F261:G261" si="18">F262</f>
        <v>3189</v>
      </c>
      <c r="G261" s="4">
        <f t="shared" si="18"/>
        <v>3278</v>
      </c>
    </row>
    <row r="262" spans="1:7" ht="63" x14ac:dyDescent="0.25">
      <c r="A262" s="34" t="s">
        <v>1439</v>
      </c>
      <c r="B262" s="24" t="s">
        <v>165</v>
      </c>
      <c r="C262" s="24" t="s">
        <v>234</v>
      </c>
      <c r="D262" s="24" t="s">
        <v>525</v>
      </c>
      <c r="E262" s="24"/>
      <c r="F262" s="59">
        <f>F263+F267</f>
        <v>3189</v>
      </c>
      <c r="G262" s="59">
        <f>G263+G267</f>
        <v>3278</v>
      </c>
    </row>
    <row r="263" spans="1:7" ht="31.5" hidden="1" x14ac:dyDescent="0.25">
      <c r="A263" s="34" t="s">
        <v>1148</v>
      </c>
      <c r="B263" s="24" t="s">
        <v>165</v>
      </c>
      <c r="C263" s="24" t="s">
        <v>234</v>
      </c>
      <c r="D263" s="7" t="s">
        <v>1092</v>
      </c>
      <c r="E263" s="24"/>
      <c r="F263" s="59">
        <f>F264</f>
        <v>0</v>
      </c>
      <c r="G263" s="59">
        <f>G264</f>
        <v>0</v>
      </c>
    </row>
    <row r="264" spans="1:7" ht="31.5" hidden="1" x14ac:dyDescent="0.25">
      <c r="A264" s="29" t="s">
        <v>1150</v>
      </c>
      <c r="B264" s="20" t="s">
        <v>165</v>
      </c>
      <c r="C264" s="20" t="s">
        <v>234</v>
      </c>
      <c r="D264" s="40" t="s">
        <v>1149</v>
      </c>
      <c r="E264" s="20"/>
      <c r="F264" s="6">
        <f>'Пр.3 Рд,пр, ЦС,ВР 20'!F266</f>
        <v>0</v>
      </c>
      <c r="G264" s="6">
        <f t="shared" si="12"/>
        <v>0</v>
      </c>
    </row>
    <row r="265" spans="1:7" ht="31.5" hidden="1" x14ac:dyDescent="0.25">
      <c r="A265" s="25" t="s">
        <v>146</v>
      </c>
      <c r="B265" s="20" t="s">
        <v>165</v>
      </c>
      <c r="C265" s="20" t="s">
        <v>234</v>
      </c>
      <c r="D265" s="40" t="s">
        <v>1149</v>
      </c>
      <c r="E265" s="20" t="s">
        <v>147</v>
      </c>
      <c r="F265" s="6">
        <f>'Пр.3 Рд,пр, ЦС,ВР 20'!F267</f>
        <v>0</v>
      </c>
      <c r="G265" s="6">
        <f t="shared" si="12"/>
        <v>0</v>
      </c>
    </row>
    <row r="266" spans="1:7" ht="47.25" hidden="1" x14ac:dyDescent="0.25">
      <c r="A266" s="25" t="s">
        <v>148</v>
      </c>
      <c r="B266" s="20" t="s">
        <v>165</v>
      </c>
      <c r="C266" s="20" t="s">
        <v>234</v>
      </c>
      <c r="D266" s="40" t="s">
        <v>1149</v>
      </c>
      <c r="E266" s="20" t="s">
        <v>149</v>
      </c>
      <c r="F266" s="6">
        <f>'Пр.3 Рд,пр, ЦС,ВР 20'!F268</f>
        <v>0</v>
      </c>
      <c r="G266" s="6">
        <f t="shared" si="12"/>
        <v>0</v>
      </c>
    </row>
    <row r="267" spans="1:7" ht="47.25" x14ac:dyDescent="0.25">
      <c r="A267" s="34" t="s">
        <v>1237</v>
      </c>
      <c r="B267" s="24" t="s">
        <v>165</v>
      </c>
      <c r="C267" s="24" t="s">
        <v>234</v>
      </c>
      <c r="D267" s="24" t="s">
        <v>1093</v>
      </c>
      <c r="E267" s="24"/>
      <c r="F267" s="340">
        <f t="shared" ref="F267:G269" si="19">F268</f>
        <v>3189</v>
      </c>
      <c r="G267" s="340">
        <f t="shared" si="19"/>
        <v>3278</v>
      </c>
    </row>
    <row r="268" spans="1:7" ht="15.75" x14ac:dyDescent="0.25">
      <c r="A268" s="29" t="s">
        <v>526</v>
      </c>
      <c r="B268" s="20" t="s">
        <v>165</v>
      </c>
      <c r="C268" s="20" t="s">
        <v>234</v>
      </c>
      <c r="D268" s="40" t="s">
        <v>1151</v>
      </c>
      <c r="E268" s="20"/>
      <c r="F268" s="6">
        <f t="shared" si="19"/>
        <v>3189</v>
      </c>
      <c r="G268" s="6">
        <f t="shared" si="19"/>
        <v>3278</v>
      </c>
    </row>
    <row r="269" spans="1:7" ht="31.5" x14ac:dyDescent="0.25">
      <c r="A269" s="25" t="s">
        <v>146</v>
      </c>
      <c r="B269" s="20" t="s">
        <v>165</v>
      </c>
      <c r="C269" s="20" t="s">
        <v>234</v>
      </c>
      <c r="D269" s="40" t="s">
        <v>1151</v>
      </c>
      <c r="E269" s="20" t="s">
        <v>147</v>
      </c>
      <c r="F269" s="6">
        <f t="shared" si="19"/>
        <v>3189</v>
      </c>
      <c r="G269" s="6">
        <f t="shared" si="19"/>
        <v>3278</v>
      </c>
    </row>
    <row r="270" spans="1:7" ht="47.25" x14ac:dyDescent="0.25">
      <c r="A270" s="25" t="s">
        <v>148</v>
      </c>
      <c r="B270" s="20" t="s">
        <v>165</v>
      </c>
      <c r="C270" s="20" t="s">
        <v>234</v>
      </c>
      <c r="D270" s="40" t="s">
        <v>1151</v>
      </c>
      <c r="E270" s="20" t="s">
        <v>149</v>
      </c>
      <c r="F270" s="6">
        <f>'пр.4.1.ведом.21-22'!G885</f>
        <v>3189</v>
      </c>
      <c r="G270" s="6">
        <f>'пр.4.1.ведом.21-22'!H885</f>
        <v>3278</v>
      </c>
    </row>
    <row r="271" spans="1:7" ht="15.75" hidden="1" x14ac:dyDescent="0.25">
      <c r="A271" s="25" t="s">
        <v>150</v>
      </c>
      <c r="B271" s="20" t="s">
        <v>165</v>
      </c>
      <c r="C271" s="20" t="s">
        <v>234</v>
      </c>
      <c r="D271" s="40" t="s">
        <v>1151</v>
      </c>
      <c r="E271" s="20" t="s">
        <v>160</v>
      </c>
      <c r="F271" s="6">
        <f>'Пр.3 Рд,пр, ЦС,ВР 20'!F275</f>
        <v>0</v>
      </c>
      <c r="G271" s="6">
        <f t="shared" si="12"/>
        <v>0</v>
      </c>
    </row>
    <row r="272" spans="1:7" ht="31.5" hidden="1" x14ac:dyDescent="0.25">
      <c r="A272" s="25" t="s">
        <v>583</v>
      </c>
      <c r="B272" s="20" t="s">
        <v>165</v>
      </c>
      <c r="C272" s="20" t="s">
        <v>234</v>
      </c>
      <c r="D272" s="40" t="s">
        <v>1151</v>
      </c>
      <c r="E272" s="20" t="s">
        <v>153</v>
      </c>
      <c r="F272" s="6">
        <f>'Пр.3 Рд,пр, ЦС,ВР 20'!F276</f>
        <v>0</v>
      </c>
      <c r="G272" s="6">
        <f t="shared" si="12"/>
        <v>0</v>
      </c>
    </row>
    <row r="273" spans="1:7" ht="31.5" x14ac:dyDescent="0.25">
      <c r="A273" s="23" t="s">
        <v>252</v>
      </c>
      <c r="B273" s="24" t="s">
        <v>165</v>
      </c>
      <c r="C273" s="24" t="s">
        <v>253</v>
      </c>
      <c r="D273" s="24"/>
      <c r="E273" s="24"/>
      <c r="F273" s="59">
        <f>F274+F281+F308</f>
        <v>858.8</v>
      </c>
      <c r="G273" s="59">
        <f>G274+G281+G308</f>
        <v>737.5</v>
      </c>
    </row>
    <row r="274" spans="1:7" ht="31.5" x14ac:dyDescent="0.25">
      <c r="A274" s="23" t="s">
        <v>988</v>
      </c>
      <c r="B274" s="24" t="s">
        <v>165</v>
      </c>
      <c r="C274" s="24" t="s">
        <v>253</v>
      </c>
      <c r="D274" s="24" t="s">
        <v>902</v>
      </c>
      <c r="E274" s="24"/>
      <c r="F274" s="59">
        <f>F275</f>
        <v>288.8</v>
      </c>
      <c r="G274" s="59">
        <f>G275</f>
        <v>288.8</v>
      </c>
    </row>
    <row r="275" spans="1:7" ht="47.25" x14ac:dyDescent="0.25">
      <c r="A275" s="23" t="s">
        <v>930</v>
      </c>
      <c r="B275" s="24" t="s">
        <v>165</v>
      </c>
      <c r="C275" s="24" t="s">
        <v>253</v>
      </c>
      <c r="D275" s="24" t="s">
        <v>907</v>
      </c>
      <c r="E275" s="24"/>
      <c r="F275" s="59">
        <f>F276</f>
        <v>288.8</v>
      </c>
      <c r="G275" s="59">
        <f>G276</f>
        <v>288.8</v>
      </c>
    </row>
    <row r="276" spans="1:7" ht="78.75" x14ac:dyDescent="0.25">
      <c r="A276" s="31" t="s">
        <v>256</v>
      </c>
      <c r="B276" s="20" t="s">
        <v>165</v>
      </c>
      <c r="C276" s="20" t="s">
        <v>253</v>
      </c>
      <c r="D276" s="20" t="s">
        <v>995</v>
      </c>
      <c r="E276" s="20"/>
      <c r="F276" s="6">
        <f>F277+F279</f>
        <v>288.8</v>
      </c>
      <c r="G276" s="6">
        <f>G277+G279</f>
        <v>288.8</v>
      </c>
    </row>
    <row r="277" spans="1:7" ht="94.5" x14ac:dyDescent="0.25">
      <c r="A277" s="25" t="s">
        <v>142</v>
      </c>
      <c r="B277" s="20" t="s">
        <v>165</v>
      </c>
      <c r="C277" s="20" t="s">
        <v>253</v>
      </c>
      <c r="D277" s="20" t="s">
        <v>995</v>
      </c>
      <c r="E277" s="20" t="s">
        <v>143</v>
      </c>
      <c r="F277" s="6">
        <f>F278</f>
        <v>187</v>
      </c>
      <c r="G277" s="6">
        <f>G278</f>
        <v>187</v>
      </c>
    </row>
    <row r="278" spans="1:7" ht="47.25" x14ac:dyDescent="0.25">
      <c r="A278" s="25" t="s">
        <v>144</v>
      </c>
      <c r="B278" s="20" t="s">
        <v>165</v>
      </c>
      <c r="C278" s="20" t="s">
        <v>253</v>
      </c>
      <c r="D278" s="20" t="s">
        <v>995</v>
      </c>
      <c r="E278" s="20" t="s">
        <v>145</v>
      </c>
      <c r="F278" s="6">
        <f>'пр.4.1.ведом.21-22'!G179</f>
        <v>187</v>
      </c>
      <c r="G278" s="6">
        <f>'пр.4.1.ведом.21-22'!H179</f>
        <v>187</v>
      </c>
    </row>
    <row r="279" spans="1:7" ht="31.5" x14ac:dyDescent="0.25">
      <c r="A279" s="25" t="s">
        <v>146</v>
      </c>
      <c r="B279" s="20" t="s">
        <v>165</v>
      </c>
      <c r="C279" s="20" t="s">
        <v>253</v>
      </c>
      <c r="D279" s="20" t="s">
        <v>995</v>
      </c>
      <c r="E279" s="20" t="s">
        <v>147</v>
      </c>
      <c r="F279" s="6">
        <f>F280</f>
        <v>101.8</v>
      </c>
      <c r="G279" s="6">
        <f>G280</f>
        <v>101.8</v>
      </c>
    </row>
    <row r="280" spans="1:7" ht="47.25" x14ac:dyDescent="0.25">
      <c r="A280" s="25" t="s">
        <v>148</v>
      </c>
      <c r="B280" s="20" t="s">
        <v>165</v>
      </c>
      <c r="C280" s="20" t="s">
        <v>253</v>
      </c>
      <c r="D280" s="20" t="s">
        <v>995</v>
      </c>
      <c r="E280" s="20" t="s">
        <v>149</v>
      </c>
      <c r="F280" s="6">
        <f>'пр.4.1.ведом.21-22'!G181</f>
        <v>101.8</v>
      </c>
      <c r="G280" s="6">
        <f>'пр.4.1.ведом.21-22'!H181</f>
        <v>101.8</v>
      </c>
    </row>
    <row r="281" spans="1:7" ht="63" x14ac:dyDescent="0.25">
      <c r="A281" s="23" t="s">
        <v>1427</v>
      </c>
      <c r="B281" s="24" t="s">
        <v>165</v>
      </c>
      <c r="C281" s="24" t="s">
        <v>253</v>
      </c>
      <c r="D281" s="24" t="s">
        <v>359</v>
      </c>
      <c r="E281" s="250"/>
      <c r="F281" s="59">
        <f>F282</f>
        <v>570</v>
      </c>
      <c r="G281" s="59">
        <f>G282</f>
        <v>448.7</v>
      </c>
    </row>
    <row r="282" spans="1:7" ht="63" x14ac:dyDescent="0.25">
      <c r="A282" s="23" t="s">
        <v>382</v>
      </c>
      <c r="B282" s="24" t="s">
        <v>165</v>
      </c>
      <c r="C282" s="24" t="s">
        <v>253</v>
      </c>
      <c r="D282" s="24" t="s">
        <v>383</v>
      </c>
      <c r="E282" s="24"/>
      <c r="F282" s="59">
        <f>F283+F290+F297+F304</f>
        <v>570</v>
      </c>
      <c r="G282" s="59">
        <f>G283+G290+G297+G304</f>
        <v>448.7</v>
      </c>
    </row>
    <row r="283" spans="1:7" ht="47.25" hidden="1" x14ac:dyDescent="0.25">
      <c r="A283" s="242" t="s">
        <v>1211</v>
      </c>
      <c r="B283" s="24" t="s">
        <v>165</v>
      </c>
      <c r="C283" s="24" t="s">
        <v>253</v>
      </c>
      <c r="D283" s="24" t="s">
        <v>935</v>
      </c>
      <c r="E283" s="24"/>
      <c r="F283" s="59">
        <f>F284+F287</f>
        <v>0</v>
      </c>
      <c r="G283" s="59">
        <f>G284+G287</f>
        <v>0</v>
      </c>
    </row>
    <row r="284" spans="1:7" ht="63" hidden="1" x14ac:dyDescent="0.25">
      <c r="A284" s="25" t="s">
        <v>390</v>
      </c>
      <c r="B284" s="20" t="s">
        <v>165</v>
      </c>
      <c r="C284" s="20" t="s">
        <v>253</v>
      </c>
      <c r="D284" s="20" t="s">
        <v>1212</v>
      </c>
      <c r="E284" s="20"/>
      <c r="F284" s="6">
        <f>'Пр.3 Рд,пр, ЦС,ВР 20'!F293</f>
        <v>0</v>
      </c>
      <c r="G284" s="6">
        <f t="shared" ref="G284:G343" si="20">F284</f>
        <v>0</v>
      </c>
    </row>
    <row r="285" spans="1:7" ht="31.5" hidden="1" x14ac:dyDescent="0.25">
      <c r="A285" s="25" t="s">
        <v>263</v>
      </c>
      <c r="B285" s="20" t="s">
        <v>165</v>
      </c>
      <c r="C285" s="20" t="s">
        <v>253</v>
      </c>
      <c r="D285" s="20" t="s">
        <v>1212</v>
      </c>
      <c r="E285" s="20" t="s">
        <v>264</v>
      </c>
      <c r="F285" s="6">
        <f>'Пр.3 Рд,пр, ЦС,ВР 20'!F294</f>
        <v>0</v>
      </c>
      <c r="G285" s="6">
        <f t="shared" si="20"/>
        <v>0</v>
      </c>
    </row>
    <row r="286" spans="1:7" ht="47.25" hidden="1" x14ac:dyDescent="0.25">
      <c r="A286" s="25" t="s">
        <v>265</v>
      </c>
      <c r="B286" s="20" t="s">
        <v>165</v>
      </c>
      <c r="C286" s="20" t="s">
        <v>253</v>
      </c>
      <c r="D286" s="20" t="s">
        <v>1212</v>
      </c>
      <c r="E286" s="20" t="s">
        <v>266</v>
      </c>
      <c r="F286" s="6">
        <f>'Пр.3 Рд,пр, ЦС,ВР 20'!F295</f>
        <v>0</v>
      </c>
      <c r="G286" s="6">
        <f t="shared" si="20"/>
        <v>0</v>
      </c>
    </row>
    <row r="287" spans="1:7" ht="63" hidden="1" x14ac:dyDescent="0.25">
      <c r="A287" s="25" t="s">
        <v>390</v>
      </c>
      <c r="B287" s="20" t="s">
        <v>165</v>
      </c>
      <c r="C287" s="20" t="s">
        <v>253</v>
      </c>
      <c r="D287" s="20" t="s">
        <v>1213</v>
      </c>
      <c r="E287" s="20"/>
      <c r="F287" s="6">
        <f>'Пр.3 Рд,пр, ЦС,ВР 20'!F296</f>
        <v>0</v>
      </c>
      <c r="G287" s="6">
        <f t="shared" si="20"/>
        <v>0</v>
      </c>
    </row>
    <row r="288" spans="1:7" ht="31.5" hidden="1" x14ac:dyDescent="0.25">
      <c r="A288" s="25" t="s">
        <v>263</v>
      </c>
      <c r="B288" s="20" t="s">
        <v>165</v>
      </c>
      <c r="C288" s="20" t="s">
        <v>253</v>
      </c>
      <c r="D288" s="20" t="s">
        <v>1213</v>
      </c>
      <c r="E288" s="20" t="s">
        <v>264</v>
      </c>
      <c r="F288" s="6">
        <f>'Пр.3 Рд,пр, ЦС,ВР 20'!F297</f>
        <v>0</v>
      </c>
      <c r="G288" s="6">
        <f t="shared" si="20"/>
        <v>0</v>
      </c>
    </row>
    <row r="289" spans="1:7" ht="47.25" hidden="1" x14ac:dyDescent="0.25">
      <c r="A289" s="25" t="s">
        <v>265</v>
      </c>
      <c r="B289" s="20" t="s">
        <v>165</v>
      </c>
      <c r="C289" s="20" t="s">
        <v>253</v>
      </c>
      <c r="D289" s="20" t="s">
        <v>1213</v>
      </c>
      <c r="E289" s="20" t="s">
        <v>266</v>
      </c>
      <c r="F289" s="6">
        <f>'Пр.3 Рд,пр, ЦС,ВР 20'!F298</f>
        <v>0</v>
      </c>
      <c r="G289" s="6">
        <f t="shared" si="20"/>
        <v>0</v>
      </c>
    </row>
    <row r="290" spans="1:7" ht="47.25" x14ac:dyDescent="0.25">
      <c r="A290" s="23" t="s">
        <v>1209</v>
      </c>
      <c r="B290" s="24" t="s">
        <v>165</v>
      </c>
      <c r="C290" s="24" t="s">
        <v>253</v>
      </c>
      <c r="D290" s="24" t="s">
        <v>936</v>
      </c>
      <c r="E290" s="24"/>
      <c r="F290" s="59">
        <f>F291+F294</f>
        <v>560</v>
      </c>
      <c r="G290" s="59">
        <f>G291+G294</f>
        <v>438.7</v>
      </c>
    </row>
    <row r="291" spans="1:7" ht="31.5" x14ac:dyDescent="0.25">
      <c r="A291" s="25" t="s">
        <v>1210</v>
      </c>
      <c r="B291" s="20" t="s">
        <v>165</v>
      </c>
      <c r="C291" s="20" t="s">
        <v>253</v>
      </c>
      <c r="D291" s="20" t="s">
        <v>1214</v>
      </c>
      <c r="E291" s="20"/>
      <c r="F291" s="6">
        <f>F292</f>
        <v>60</v>
      </c>
      <c r="G291" s="6">
        <f>G292</f>
        <v>60</v>
      </c>
    </row>
    <row r="292" spans="1:7" ht="15.75" x14ac:dyDescent="0.25">
      <c r="A292" s="25" t="s">
        <v>150</v>
      </c>
      <c r="B292" s="20" t="s">
        <v>165</v>
      </c>
      <c r="C292" s="20" t="s">
        <v>253</v>
      </c>
      <c r="D292" s="20" t="s">
        <v>1214</v>
      </c>
      <c r="E292" s="20" t="s">
        <v>160</v>
      </c>
      <c r="F292" s="6">
        <f>F293</f>
        <v>60</v>
      </c>
      <c r="G292" s="6">
        <f>G293</f>
        <v>60</v>
      </c>
    </row>
    <row r="293" spans="1:7" ht="63" x14ac:dyDescent="0.25">
      <c r="A293" s="25" t="s">
        <v>199</v>
      </c>
      <c r="B293" s="20" t="s">
        <v>165</v>
      </c>
      <c r="C293" s="20" t="s">
        <v>253</v>
      </c>
      <c r="D293" s="20" t="s">
        <v>1214</v>
      </c>
      <c r="E293" s="20" t="s">
        <v>175</v>
      </c>
      <c r="F293" s="6">
        <f>'пр.4.1.ведом.21-22'!G262</f>
        <v>60</v>
      </c>
      <c r="G293" s="6">
        <f>'пр.4.1.ведом.21-22'!H262</f>
        <v>60</v>
      </c>
    </row>
    <row r="294" spans="1:7" ht="126" x14ac:dyDescent="0.25">
      <c r="A294" s="25" t="s">
        <v>388</v>
      </c>
      <c r="B294" s="20" t="s">
        <v>165</v>
      </c>
      <c r="C294" s="20" t="s">
        <v>253</v>
      </c>
      <c r="D294" s="20" t="s">
        <v>1215</v>
      </c>
      <c r="E294" s="20"/>
      <c r="F294" s="6">
        <f>F295</f>
        <v>500</v>
      </c>
      <c r="G294" s="6">
        <f>G295</f>
        <v>378.7</v>
      </c>
    </row>
    <row r="295" spans="1:7" ht="15.75" x14ac:dyDescent="0.25">
      <c r="A295" s="25" t="s">
        <v>150</v>
      </c>
      <c r="B295" s="20" t="s">
        <v>165</v>
      </c>
      <c r="C295" s="20" t="s">
        <v>253</v>
      </c>
      <c r="D295" s="20" t="s">
        <v>1215</v>
      </c>
      <c r="E295" s="20" t="s">
        <v>160</v>
      </c>
      <c r="F295" s="6">
        <f>F296</f>
        <v>500</v>
      </c>
      <c r="G295" s="6">
        <f>G296</f>
        <v>378.7</v>
      </c>
    </row>
    <row r="296" spans="1:7" ht="63" x14ac:dyDescent="0.25">
      <c r="A296" s="25" t="s">
        <v>199</v>
      </c>
      <c r="B296" s="20" t="s">
        <v>165</v>
      </c>
      <c r="C296" s="20" t="s">
        <v>253</v>
      </c>
      <c r="D296" s="20" t="s">
        <v>1215</v>
      </c>
      <c r="E296" s="20" t="s">
        <v>175</v>
      </c>
      <c r="F296" s="6">
        <f>'пр.4.1.ведом.21-22'!G265</f>
        <v>500</v>
      </c>
      <c r="G296" s="6">
        <f>'пр.4.1.ведом.21-22'!H264</f>
        <v>378.7</v>
      </c>
    </row>
    <row r="297" spans="1:7" ht="31.5" x14ac:dyDescent="0.25">
      <c r="A297" s="23" t="s">
        <v>1143</v>
      </c>
      <c r="B297" s="24" t="s">
        <v>165</v>
      </c>
      <c r="C297" s="24" t="s">
        <v>253</v>
      </c>
      <c r="D297" s="24" t="s">
        <v>937</v>
      </c>
      <c r="E297" s="24"/>
      <c r="F297" s="59">
        <f>F298+F301</f>
        <v>0</v>
      </c>
      <c r="G297" s="59">
        <f>G298+G301</f>
        <v>0</v>
      </c>
    </row>
    <row r="298" spans="1:7" ht="47.25" x14ac:dyDescent="0.25">
      <c r="A298" s="286" t="s">
        <v>1218</v>
      </c>
      <c r="B298" s="20" t="s">
        <v>165</v>
      </c>
      <c r="C298" s="20" t="s">
        <v>253</v>
      </c>
      <c r="D298" s="20" t="s">
        <v>1216</v>
      </c>
      <c r="E298" s="20"/>
      <c r="F298" s="6">
        <f>'Пр.3 Рд,пр, ЦС,ВР 20'!F307</f>
        <v>0</v>
      </c>
      <c r="G298" s="6">
        <f t="shared" si="20"/>
        <v>0</v>
      </c>
    </row>
    <row r="299" spans="1:7" ht="31.5" x14ac:dyDescent="0.25">
      <c r="A299" s="25" t="s">
        <v>146</v>
      </c>
      <c r="B299" s="20" t="s">
        <v>165</v>
      </c>
      <c r="C299" s="20" t="s">
        <v>253</v>
      </c>
      <c r="D299" s="20" t="s">
        <v>1216</v>
      </c>
      <c r="E299" s="20" t="s">
        <v>147</v>
      </c>
      <c r="F299" s="6">
        <f>'Пр.3 Рд,пр, ЦС,ВР 20'!F308</f>
        <v>0</v>
      </c>
      <c r="G299" s="6">
        <f t="shared" si="20"/>
        <v>0</v>
      </c>
    </row>
    <row r="300" spans="1:7" ht="47.25" x14ac:dyDescent="0.25">
      <c r="A300" s="25" t="s">
        <v>148</v>
      </c>
      <c r="B300" s="20" t="s">
        <v>165</v>
      </c>
      <c r="C300" s="20" t="s">
        <v>253</v>
      </c>
      <c r="D300" s="20" t="s">
        <v>1216</v>
      </c>
      <c r="E300" s="20" t="s">
        <v>149</v>
      </c>
      <c r="F300" s="6">
        <f>'Пр.3 Рд,пр, ЦС,ВР 20'!F309</f>
        <v>0</v>
      </c>
      <c r="G300" s="6">
        <f t="shared" si="20"/>
        <v>0</v>
      </c>
    </row>
    <row r="301" spans="1:7" ht="47.25" x14ac:dyDescent="0.25">
      <c r="A301" s="25" t="s">
        <v>392</v>
      </c>
      <c r="B301" s="20" t="s">
        <v>165</v>
      </c>
      <c r="C301" s="20" t="s">
        <v>253</v>
      </c>
      <c r="D301" s="20" t="s">
        <v>1217</v>
      </c>
      <c r="E301" s="20"/>
      <c r="F301" s="6">
        <f>'Пр.3 Рд,пр, ЦС,ВР 20'!F310</f>
        <v>0</v>
      </c>
      <c r="G301" s="6">
        <f t="shared" si="20"/>
        <v>0</v>
      </c>
    </row>
    <row r="302" spans="1:7" ht="31.5" x14ac:dyDescent="0.25">
      <c r="A302" s="25" t="s">
        <v>146</v>
      </c>
      <c r="B302" s="20" t="s">
        <v>165</v>
      </c>
      <c r="C302" s="20" t="s">
        <v>253</v>
      </c>
      <c r="D302" s="20" t="s">
        <v>1217</v>
      </c>
      <c r="E302" s="20" t="s">
        <v>147</v>
      </c>
      <c r="F302" s="6">
        <f>'Пр.3 Рд,пр, ЦС,ВР 20'!F311</f>
        <v>0</v>
      </c>
      <c r="G302" s="6">
        <f t="shared" si="20"/>
        <v>0</v>
      </c>
    </row>
    <row r="303" spans="1:7" ht="47.25" x14ac:dyDescent="0.25">
      <c r="A303" s="25" t="s">
        <v>148</v>
      </c>
      <c r="B303" s="20" t="s">
        <v>165</v>
      </c>
      <c r="C303" s="20" t="s">
        <v>253</v>
      </c>
      <c r="D303" s="20" t="s">
        <v>1217</v>
      </c>
      <c r="E303" s="20" t="s">
        <v>149</v>
      </c>
      <c r="F303" s="6">
        <f>'Пр.3 Рд,пр, ЦС,ВР 20'!F312</f>
        <v>0</v>
      </c>
      <c r="G303" s="6">
        <f t="shared" si="20"/>
        <v>0</v>
      </c>
    </row>
    <row r="304" spans="1:7" s="221" customFormat="1" ht="47.25" x14ac:dyDescent="0.25">
      <c r="A304" s="239" t="s">
        <v>1310</v>
      </c>
      <c r="B304" s="24" t="s">
        <v>165</v>
      </c>
      <c r="C304" s="24" t="s">
        <v>253</v>
      </c>
      <c r="D304" s="24" t="s">
        <v>1309</v>
      </c>
      <c r="E304" s="24"/>
      <c r="F304" s="21">
        <f t="shared" ref="F304:G306" si="21">F305</f>
        <v>10</v>
      </c>
      <c r="G304" s="21">
        <f t="shared" si="21"/>
        <v>10</v>
      </c>
    </row>
    <row r="305" spans="1:7" s="221" customFormat="1" ht="31.5" x14ac:dyDescent="0.25">
      <c r="A305" s="264" t="s">
        <v>1311</v>
      </c>
      <c r="B305" s="20" t="s">
        <v>165</v>
      </c>
      <c r="C305" s="20" t="s">
        <v>253</v>
      </c>
      <c r="D305" s="20" t="s">
        <v>1364</v>
      </c>
      <c r="E305" s="20"/>
      <c r="F305" s="26">
        <f t="shared" si="21"/>
        <v>10</v>
      </c>
      <c r="G305" s="6">
        <f t="shared" si="21"/>
        <v>10</v>
      </c>
    </row>
    <row r="306" spans="1:7" s="221" customFormat="1" ht="31.5" x14ac:dyDescent="0.25">
      <c r="A306" s="25" t="s">
        <v>146</v>
      </c>
      <c r="B306" s="20" t="s">
        <v>165</v>
      </c>
      <c r="C306" s="20" t="s">
        <v>253</v>
      </c>
      <c r="D306" s="20" t="s">
        <v>1364</v>
      </c>
      <c r="E306" s="20" t="s">
        <v>147</v>
      </c>
      <c r="F306" s="26">
        <f t="shared" si="21"/>
        <v>10</v>
      </c>
      <c r="G306" s="6">
        <f t="shared" si="21"/>
        <v>10</v>
      </c>
    </row>
    <row r="307" spans="1:7" s="221" customFormat="1" ht="47.25" x14ac:dyDescent="0.25">
      <c r="A307" s="25" t="s">
        <v>148</v>
      </c>
      <c r="B307" s="20" t="s">
        <v>165</v>
      </c>
      <c r="C307" s="20" t="s">
        <v>253</v>
      </c>
      <c r="D307" s="20" t="s">
        <v>1364</v>
      </c>
      <c r="E307" s="20" t="s">
        <v>149</v>
      </c>
      <c r="F307" s="26">
        <f>'пр.4.1.ведом.21-22'!G276</f>
        <v>10</v>
      </c>
      <c r="G307" s="6">
        <f>'пр.4.1.ведом.21-22'!H276</f>
        <v>10</v>
      </c>
    </row>
    <row r="308" spans="1:7" ht="63" hidden="1" x14ac:dyDescent="0.25">
      <c r="A308" s="23" t="s">
        <v>1444</v>
      </c>
      <c r="B308" s="24" t="s">
        <v>165</v>
      </c>
      <c r="C308" s="24" t="s">
        <v>253</v>
      </c>
      <c r="D308" s="24" t="s">
        <v>171</v>
      </c>
      <c r="E308" s="24"/>
      <c r="F308" s="59">
        <f>F309</f>
        <v>0</v>
      </c>
      <c r="G308" s="59">
        <f>G309</f>
        <v>0</v>
      </c>
    </row>
    <row r="309" spans="1:7" ht="47.25" hidden="1" x14ac:dyDescent="0.25">
      <c r="A309" s="23" t="s">
        <v>1243</v>
      </c>
      <c r="B309" s="24" t="s">
        <v>165</v>
      </c>
      <c r="C309" s="24" t="s">
        <v>253</v>
      </c>
      <c r="D309" s="24" t="s">
        <v>1240</v>
      </c>
      <c r="E309" s="24"/>
      <c r="F309" s="59">
        <f>F310+F313</f>
        <v>0</v>
      </c>
      <c r="G309" s="59">
        <f>G310+G313</f>
        <v>0</v>
      </c>
    </row>
    <row r="310" spans="1:7" ht="31.5" hidden="1" x14ac:dyDescent="0.25">
      <c r="A310" s="25" t="s">
        <v>1244</v>
      </c>
      <c r="B310" s="20" t="s">
        <v>165</v>
      </c>
      <c r="C310" s="20" t="s">
        <v>253</v>
      </c>
      <c r="D310" s="20" t="s">
        <v>1241</v>
      </c>
      <c r="E310" s="20"/>
      <c r="F310" s="6">
        <f>'Пр.3 Рд,пр, ЦС,ВР 20'!F319</f>
        <v>0</v>
      </c>
      <c r="G310" s="6">
        <f t="shared" si="20"/>
        <v>0</v>
      </c>
    </row>
    <row r="311" spans="1:7" ht="15.75" hidden="1" x14ac:dyDescent="0.25">
      <c r="A311" s="25" t="s">
        <v>150</v>
      </c>
      <c r="B311" s="20" t="s">
        <v>165</v>
      </c>
      <c r="C311" s="20" t="s">
        <v>253</v>
      </c>
      <c r="D311" s="20" t="s">
        <v>1241</v>
      </c>
      <c r="E311" s="20" t="s">
        <v>160</v>
      </c>
      <c r="F311" s="6">
        <f>'Пр.3 Рд,пр, ЦС,ВР 20'!F320</f>
        <v>0</v>
      </c>
      <c r="G311" s="6">
        <f t="shared" si="20"/>
        <v>0</v>
      </c>
    </row>
    <row r="312" spans="1:7" ht="63" hidden="1" x14ac:dyDescent="0.25">
      <c r="A312" s="25" t="s">
        <v>199</v>
      </c>
      <c r="B312" s="20" t="s">
        <v>165</v>
      </c>
      <c r="C312" s="20" t="s">
        <v>253</v>
      </c>
      <c r="D312" s="20" t="s">
        <v>1241</v>
      </c>
      <c r="E312" s="20" t="s">
        <v>175</v>
      </c>
      <c r="F312" s="6">
        <f>'Пр.3 Рд,пр, ЦС,ВР 20'!F321</f>
        <v>0</v>
      </c>
      <c r="G312" s="6">
        <f t="shared" si="20"/>
        <v>0</v>
      </c>
    </row>
    <row r="313" spans="1:7" ht="47.25" hidden="1" x14ac:dyDescent="0.25">
      <c r="A313" s="25" t="s">
        <v>254</v>
      </c>
      <c r="B313" s="20" t="s">
        <v>165</v>
      </c>
      <c r="C313" s="20" t="s">
        <v>253</v>
      </c>
      <c r="D313" s="20" t="s">
        <v>1242</v>
      </c>
      <c r="E313" s="24"/>
      <c r="F313" s="6">
        <f>'Пр.3 Рд,пр, ЦС,ВР 20'!F322</f>
        <v>0</v>
      </c>
      <c r="G313" s="6">
        <f t="shared" si="20"/>
        <v>0</v>
      </c>
    </row>
    <row r="314" spans="1:7" ht="15.75" hidden="1" x14ac:dyDescent="0.25">
      <c r="A314" s="25" t="s">
        <v>150</v>
      </c>
      <c r="B314" s="20" t="s">
        <v>165</v>
      </c>
      <c r="C314" s="20" t="s">
        <v>253</v>
      </c>
      <c r="D314" s="20" t="s">
        <v>1242</v>
      </c>
      <c r="E314" s="20" t="s">
        <v>160</v>
      </c>
      <c r="F314" s="6">
        <f>'Пр.3 Рд,пр, ЦС,ВР 20'!F323</f>
        <v>0</v>
      </c>
      <c r="G314" s="6">
        <f t="shared" si="20"/>
        <v>0</v>
      </c>
    </row>
    <row r="315" spans="1:7" ht="63" hidden="1" x14ac:dyDescent="0.25">
      <c r="A315" s="25" t="s">
        <v>199</v>
      </c>
      <c r="B315" s="20" t="s">
        <v>165</v>
      </c>
      <c r="C315" s="20" t="s">
        <v>253</v>
      </c>
      <c r="D315" s="20" t="s">
        <v>1242</v>
      </c>
      <c r="E315" s="20" t="s">
        <v>175</v>
      </c>
      <c r="F315" s="6">
        <f>'Пр.3 Рд,пр, ЦС,ВР 20'!F324</f>
        <v>0</v>
      </c>
      <c r="G315" s="6">
        <f t="shared" si="20"/>
        <v>0</v>
      </c>
    </row>
    <row r="316" spans="1:7" ht="15.75" x14ac:dyDescent="0.25">
      <c r="A316" s="23" t="s">
        <v>405</v>
      </c>
      <c r="B316" s="24" t="s">
        <v>249</v>
      </c>
      <c r="C316" s="24"/>
      <c r="D316" s="24"/>
      <c r="E316" s="24"/>
      <c r="F316" s="4">
        <f>F317++F331+F395+F444</f>
        <v>38717.5</v>
      </c>
      <c r="G316" s="4">
        <f>G317++G331+G395+G444</f>
        <v>44867.9</v>
      </c>
    </row>
    <row r="317" spans="1:7" ht="15.75" x14ac:dyDescent="0.25">
      <c r="A317" s="23" t="s">
        <v>406</v>
      </c>
      <c r="B317" s="24" t="s">
        <v>249</v>
      </c>
      <c r="C317" s="24" t="s">
        <v>133</v>
      </c>
      <c r="D317" s="24"/>
      <c r="E317" s="24"/>
      <c r="F317" s="4">
        <f t="shared" ref="F317:G318" si="22">F318</f>
        <v>6341</v>
      </c>
      <c r="G317" s="4">
        <f t="shared" si="22"/>
        <v>6341</v>
      </c>
    </row>
    <row r="318" spans="1:7" ht="15.75" x14ac:dyDescent="0.25">
      <c r="A318" s="23" t="s">
        <v>156</v>
      </c>
      <c r="B318" s="24" t="s">
        <v>249</v>
      </c>
      <c r="C318" s="24" t="s">
        <v>133</v>
      </c>
      <c r="D318" s="24" t="s">
        <v>910</v>
      </c>
      <c r="E318" s="24"/>
      <c r="F318" s="4">
        <f t="shared" si="22"/>
        <v>6341</v>
      </c>
      <c r="G318" s="4">
        <f t="shared" si="22"/>
        <v>6341</v>
      </c>
    </row>
    <row r="319" spans="1:7" ht="31.5" x14ac:dyDescent="0.25">
      <c r="A319" s="23" t="s">
        <v>914</v>
      </c>
      <c r="B319" s="24" t="s">
        <v>249</v>
      </c>
      <c r="C319" s="24" t="s">
        <v>133</v>
      </c>
      <c r="D319" s="24" t="s">
        <v>909</v>
      </c>
      <c r="E319" s="24"/>
      <c r="F319" s="4">
        <f>F320+F325+F328</f>
        <v>6341</v>
      </c>
      <c r="G319" s="4">
        <f>G320+G325+G328</f>
        <v>6341</v>
      </c>
    </row>
    <row r="320" spans="1:7" ht="31.5" hidden="1" x14ac:dyDescent="0.25">
      <c r="A320" s="25" t="s">
        <v>530</v>
      </c>
      <c r="B320" s="20" t="s">
        <v>795</v>
      </c>
      <c r="C320" s="20" t="s">
        <v>133</v>
      </c>
      <c r="D320" s="20" t="s">
        <v>1094</v>
      </c>
      <c r="E320" s="24"/>
      <c r="F320" s="6">
        <f>F321</f>
        <v>0</v>
      </c>
      <c r="G320" s="6">
        <f>G321</f>
        <v>0</v>
      </c>
    </row>
    <row r="321" spans="1:7" ht="31.5" hidden="1" x14ac:dyDescent="0.25">
      <c r="A321" s="25" t="s">
        <v>146</v>
      </c>
      <c r="B321" s="20" t="s">
        <v>249</v>
      </c>
      <c r="C321" s="20" t="s">
        <v>133</v>
      </c>
      <c r="D321" s="20" t="s">
        <v>1094</v>
      </c>
      <c r="E321" s="20" t="s">
        <v>147</v>
      </c>
      <c r="F321" s="6">
        <f>F322</f>
        <v>0</v>
      </c>
      <c r="G321" s="6">
        <f>G322</f>
        <v>0</v>
      </c>
    </row>
    <row r="322" spans="1:7" ht="47.25" hidden="1" x14ac:dyDescent="0.25">
      <c r="A322" s="25" t="s">
        <v>148</v>
      </c>
      <c r="B322" s="20" t="s">
        <v>249</v>
      </c>
      <c r="C322" s="20" t="s">
        <v>133</v>
      </c>
      <c r="D322" s="20" t="s">
        <v>1094</v>
      </c>
      <c r="E322" s="20" t="s">
        <v>149</v>
      </c>
      <c r="F322" s="6">
        <f>'пр.4.1.ведом.21-22'!G894</f>
        <v>0</v>
      </c>
      <c r="G322" s="6">
        <f>'пр.4.1.ведом.21-22'!H894</f>
        <v>0</v>
      </c>
    </row>
    <row r="323" spans="1:7" ht="15.75" hidden="1" x14ac:dyDescent="0.25">
      <c r="A323" s="25" t="s">
        <v>150</v>
      </c>
      <c r="B323" s="20" t="s">
        <v>249</v>
      </c>
      <c r="C323" s="20" t="s">
        <v>133</v>
      </c>
      <c r="D323" s="20" t="s">
        <v>1094</v>
      </c>
      <c r="E323" s="20" t="s">
        <v>160</v>
      </c>
      <c r="F323" s="6">
        <f>'Пр.3 Рд,пр, ЦС,ВР 20'!F332</f>
        <v>0</v>
      </c>
      <c r="G323" s="6">
        <f t="shared" si="20"/>
        <v>0</v>
      </c>
    </row>
    <row r="324" spans="1:7" ht="63" hidden="1" x14ac:dyDescent="0.25">
      <c r="A324" s="25" t="s">
        <v>199</v>
      </c>
      <c r="B324" s="20" t="s">
        <v>249</v>
      </c>
      <c r="C324" s="20" t="s">
        <v>133</v>
      </c>
      <c r="D324" s="20" t="s">
        <v>1094</v>
      </c>
      <c r="E324" s="20" t="s">
        <v>175</v>
      </c>
      <c r="F324" s="6">
        <f>'Пр.3 Рд,пр, ЦС,ВР 20'!F333</f>
        <v>0</v>
      </c>
      <c r="G324" s="6">
        <f t="shared" si="20"/>
        <v>0</v>
      </c>
    </row>
    <row r="325" spans="1:7" ht="31.5" x14ac:dyDescent="0.25">
      <c r="A325" s="29" t="s">
        <v>413</v>
      </c>
      <c r="B325" s="20" t="s">
        <v>249</v>
      </c>
      <c r="C325" s="20" t="s">
        <v>133</v>
      </c>
      <c r="D325" s="20" t="s">
        <v>1095</v>
      </c>
      <c r="E325" s="24"/>
      <c r="F325" s="6">
        <f>F326</f>
        <v>4290.3999999999996</v>
      </c>
      <c r="G325" s="6">
        <f>G326</f>
        <v>4290.3999999999996</v>
      </c>
    </row>
    <row r="326" spans="1:7" ht="31.5" x14ac:dyDescent="0.25">
      <c r="A326" s="25" t="s">
        <v>146</v>
      </c>
      <c r="B326" s="20" t="s">
        <v>249</v>
      </c>
      <c r="C326" s="20" t="s">
        <v>133</v>
      </c>
      <c r="D326" s="20" t="s">
        <v>1095</v>
      </c>
      <c r="E326" s="20" t="s">
        <v>147</v>
      </c>
      <c r="F326" s="6">
        <f>F327</f>
        <v>4290.3999999999996</v>
      </c>
      <c r="G326" s="6">
        <f>G327</f>
        <v>4290.3999999999996</v>
      </c>
    </row>
    <row r="327" spans="1:7" ht="47.25" x14ac:dyDescent="0.25">
      <c r="A327" s="25" t="s">
        <v>148</v>
      </c>
      <c r="B327" s="20" t="s">
        <v>249</v>
      </c>
      <c r="C327" s="20" t="s">
        <v>133</v>
      </c>
      <c r="D327" s="20" t="s">
        <v>1095</v>
      </c>
      <c r="E327" s="20" t="s">
        <v>149</v>
      </c>
      <c r="F327" s="6">
        <f>'пр.4.1.ведом.21-22'!G899+'пр.4.1.ведом.21-22'!G531</f>
        <v>4290.3999999999996</v>
      </c>
      <c r="G327" s="6">
        <f>'пр.4.1.ведом.21-22'!H899+'пр.4.1.ведом.21-22'!H531</f>
        <v>4290.3999999999996</v>
      </c>
    </row>
    <row r="328" spans="1:7" ht="47.25" x14ac:dyDescent="0.25">
      <c r="A328" s="29" t="s">
        <v>1003</v>
      </c>
      <c r="B328" s="20" t="s">
        <v>249</v>
      </c>
      <c r="C328" s="20" t="s">
        <v>133</v>
      </c>
      <c r="D328" s="20" t="s">
        <v>1096</v>
      </c>
      <c r="E328" s="24"/>
      <c r="F328" s="6">
        <f>F329</f>
        <v>2050.6</v>
      </c>
      <c r="G328" s="6">
        <f>G329</f>
        <v>2050.6</v>
      </c>
    </row>
    <row r="329" spans="1:7" ht="31.5" x14ac:dyDescent="0.25">
      <c r="A329" s="25" t="s">
        <v>146</v>
      </c>
      <c r="B329" s="20" t="s">
        <v>249</v>
      </c>
      <c r="C329" s="20" t="s">
        <v>133</v>
      </c>
      <c r="D329" s="20" t="s">
        <v>1096</v>
      </c>
      <c r="E329" s="20" t="s">
        <v>147</v>
      </c>
      <c r="F329" s="6">
        <f>F330</f>
        <v>2050.6</v>
      </c>
      <c r="G329" s="6">
        <f>G330</f>
        <v>2050.6</v>
      </c>
    </row>
    <row r="330" spans="1:7" ht="47.25" x14ac:dyDescent="0.25">
      <c r="A330" s="25" t="s">
        <v>148</v>
      </c>
      <c r="B330" s="20" t="s">
        <v>249</v>
      </c>
      <c r="C330" s="20" t="s">
        <v>133</v>
      </c>
      <c r="D330" s="20" t="s">
        <v>1096</v>
      </c>
      <c r="E330" s="20" t="s">
        <v>149</v>
      </c>
      <c r="F330" s="6">
        <f>'пр.4.1.ведом.21-22'!G534+'пр.4.1.ведом.21-22'!G902</f>
        <v>2050.6</v>
      </c>
      <c r="G330" s="6">
        <f>'пр.4.1.ведом.21-22'!H534+'пр.4.1.ведом.21-22'!H902</f>
        <v>2050.6</v>
      </c>
    </row>
    <row r="331" spans="1:7" ht="15.75" x14ac:dyDescent="0.25">
      <c r="A331" s="23" t="s">
        <v>532</v>
      </c>
      <c r="B331" s="24" t="s">
        <v>249</v>
      </c>
      <c r="C331" s="24" t="s">
        <v>228</v>
      </c>
      <c r="D331" s="24"/>
      <c r="E331" s="24"/>
      <c r="F331" s="4">
        <f>F361+F332+F390</f>
        <v>5935</v>
      </c>
      <c r="G331" s="4">
        <f>G361+G332+G390</f>
        <v>4693.3999999999996</v>
      </c>
    </row>
    <row r="332" spans="1:7" ht="15.75" x14ac:dyDescent="0.25">
      <c r="A332" s="23" t="s">
        <v>156</v>
      </c>
      <c r="B332" s="24" t="s">
        <v>249</v>
      </c>
      <c r="C332" s="24" t="s">
        <v>228</v>
      </c>
      <c r="D332" s="24" t="s">
        <v>910</v>
      </c>
      <c r="E332" s="24"/>
      <c r="F332" s="4">
        <f>F333+F344</f>
        <v>5000</v>
      </c>
      <c r="G332" s="4">
        <f>G333+G344</f>
        <v>3789.4</v>
      </c>
    </row>
    <row r="333" spans="1:7" ht="31.5" x14ac:dyDescent="0.25">
      <c r="A333" s="23" t="s">
        <v>914</v>
      </c>
      <c r="B333" s="24" t="s">
        <v>249</v>
      </c>
      <c r="C333" s="24" t="s">
        <v>228</v>
      </c>
      <c r="D333" s="24" t="s">
        <v>909</v>
      </c>
      <c r="E333" s="24"/>
      <c r="F333" s="4">
        <f>F334+F339</f>
        <v>5000</v>
      </c>
      <c r="G333" s="4">
        <f>G334+G339</f>
        <v>3789.4</v>
      </c>
    </row>
    <row r="334" spans="1:7" ht="31.5" hidden="1" x14ac:dyDescent="0.25">
      <c r="A334" s="35" t="s">
        <v>552</v>
      </c>
      <c r="B334" s="20" t="s">
        <v>249</v>
      </c>
      <c r="C334" s="20" t="s">
        <v>228</v>
      </c>
      <c r="D334" s="20" t="s">
        <v>1113</v>
      </c>
      <c r="E334" s="20"/>
      <c r="F334" s="6">
        <f>F335+F337</f>
        <v>0</v>
      </c>
      <c r="G334" s="6">
        <f t="shared" si="20"/>
        <v>0</v>
      </c>
    </row>
    <row r="335" spans="1:7" ht="31.5" hidden="1" x14ac:dyDescent="0.25">
      <c r="A335" s="25" t="s">
        <v>146</v>
      </c>
      <c r="B335" s="20" t="s">
        <v>249</v>
      </c>
      <c r="C335" s="20" t="s">
        <v>228</v>
      </c>
      <c r="D335" s="20" t="s">
        <v>1113</v>
      </c>
      <c r="E335" s="20" t="s">
        <v>147</v>
      </c>
      <c r="F335" s="6">
        <f>F336</f>
        <v>0</v>
      </c>
      <c r="G335" s="6">
        <f t="shared" si="20"/>
        <v>0</v>
      </c>
    </row>
    <row r="336" spans="1:7" ht="47.25" hidden="1" x14ac:dyDescent="0.25">
      <c r="A336" s="25" t="s">
        <v>148</v>
      </c>
      <c r="B336" s="20" t="s">
        <v>249</v>
      </c>
      <c r="C336" s="20" t="s">
        <v>228</v>
      </c>
      <c r="D336" s="20" t="s">
        <v>1113</v>
      </c>
      <c r="E336" s="20" t="s">
        <v>149</v>
      </c>
      <c r="F336" s="6">
        <f>'пр.4.1.ведом.21-22'!G908</f>
        <v>0</v>
      </c>
      <c r="G336" s="6">
        <f t="shared" si="20"/>
        <v>0</v>
      </c>
    </row>
    <row r="337" spans="1:7" ht="15.75" hidden="1" x14ac:dyDescent="0.25">
      <c r="A337" s="25" t="s">
        <v>150</v>
      </c>
      <c r="B337" s="20" t="s">
        <v>249</v>
      </c>
      <c r="C337" s="20" t="s">
        <v>228</v>
      </c>
      <c r="D337" s="20" t="s">
        <v>1113</v>
      </c>
      <c r="E337" s="20" t="s">
        <v>160</v>
      </c>
      <c r="F337" s="6">
        <f>F338</f>
        <v>0</v>
      </c>
      <c r="G337" s="6">
        <f t="shared" si="20"/>
        <v>0</v>
      </c>
    </row>
    <row r="338" spans="1:7" ht="63" hidden="1" x14ac:dyDescent="0.25">
      <c r="A338" s="25" t="s">
        <v>199</v>
      </c>
      <c r="B338" s="20" t="s">
        <v>249</v>
      </c>
      <c r="C338" s="20" t="s">
        <v>228</v>
      </c>
      <c r="D338" s="20" t="s">
        <v>1113</v>
      </c>
      <c r="E338" s="20" t="s">
        <v>175</v>
      </c>
      <c r="F338" s="6">
        <f>'пр.4.1.ведом.21-22'!G910</f>
        <v>0</v>
      </c>
      <c r="G338" s="6">
        <f t="shared" si="20"/>
        <v>0</v>
      </c>
    </row>
    <row r="339" spans="1:7" ht="47.25" x14ac:dyDescent="0.25">
      <c r="A339" s="29" t="s">
        <v>1003</v>
      </c>
      <c r="B339" s="20" t="s">
        <v>249</v>
      </c>
      <c r="C339" s="20" t="s">
        <v>228</v>
      </c>
      <c r="D339" s="20" t="s">
        <v>1096</v>
      </c>
      <c r="E339" s="20"/>
      <c r="F339" s="6">
        <f>F340</f>
        <v>5000</v>
      </c>
      <c r="G339" s="6">
        <f>G340</f>
        <v>3789.4</v>
      </c>
    </row>
    <row r="340" spans="1:7" ht="31.5" x14ac:dyDescent="0.25">
      <c r="A340" s="25" t="s">
        <v>146</v>
      </c>
      <c r="B340" s="20" t="s">
        <v>249</v>
      </c>
      <c r="C340" s="20" t="s">
        <v>228</v>
      </c>
      <c r="D340" s="20" t="s">
        <v>1096</v>
      </c>
      <c r="E340" s="20" t="s">
        <v>147</v>
      </c>
      <c r="F340" s="6">
        <f>F341</f>
        <v>5000</v>
      </c>
      <c r="G340" s="6">
        <f>G341</f>
        <v>3789.4</v>
      </c>
    </row>
    <row r="341" spans="1:7" ht="47.25" x14ac:dyDescent="0.25">
      <c r="A341" s="25" t="s">
        <v>148</v>
      </c>
      <c r="B341" s="20" t="s">
        <v>249</v>
      </c>
      <c r="C341" s="20" t="s">
        <v>228</v>
      </c>
      <c r="D341" s="20" t="s">
        <v>1096</v>
      </c>
      <c r="E341" s="20" t="s">
        <v>149</v>
      </c>
      <c r="F341" s="6">
        <f>'пр.4.1.ведом.21-22'!G913</f>
        <v>5000</v>
      </c>
      <c r="G341" s="6">
        <f>'пр.4.1.ведом.21-22'!H913</f>
        <v>3789.4</v>
      </c>
    </row>
    <row r="342" spans="1:7" ht="15.75" hidden="1" x14ac:dyDescent="0.25">
      <c r="A342" s="25" t="s">
        <v>150</v>
      </c>
      <c r="B342" s="20" t="s">
        <v>249</v>
      </c>
      <c r="C342" s="20" t="s">
        <v>228</v>
      </c>
      <c r="D342" s="20" t="s">
        <v>1096</v>
      </c>
      <c r="E342" s="20" t="s">
        <v>160</v>
      </c>
      <c r="F342" s="6">
        <f>'Пр.3 Рд,пр, ЦС,ВР 20'!F354</f>
        <v>0</v>
      </c>
      <c r="G342" s="6">
        <f t="shared" si="20"/>
        <v>0</v>
      </c>
    </row>
    <row r="343" spans="1:7" ht="15.75" hidden="1" x14ac:dyDescent="0.25">
      <c r="A343" s="25" t="s">
        <v>161</v>
      </c>
      <c r="B343" s="20" t="s">
        <v>249</v>
      </c>
      <c r="C343" s="20" t="s">
        <v>228</v>
      </c>
      <c r="D343" s="20" t="s">
        <v>1096</v>
      </c>
      <c r="E343" s="20" t="s">
        <v>162</v>
      </c>
      <c r="F343" s="6">
        <f>'Пр.3 Рд,пр, ЦС,ВР 20'!F355</f>
        <v>0</v>
      </c>
      <c r="G343" s="6">
        <f t="shared" si="20"/>
        <v>0</v>
      </c>
    </row>
    <row r="344" spans="1:7" ht="63" hidden="1" x14ac:dyDescent="0.25">
      <c r="A344" s="23" t="s">
        <v>1169</v>
      </c>
      <c r="B344" s="24" t="s">
        <v>249</v>
      </c>
      <c r="C344" s="24" t="s">
        <v>228</v>
      </c>
      <c r="D344" s="24" t="s">
        <v>1114</v>
      </c>
      <c r="E344" s="24"/>
      <c r="F344" s="4">
        <f>F345+F350+F353+F358</f>
        <v>0</v>
      </c>
      <c r="G344" s="4">
        <f>G345+G350+G353+G358</f>
        <v>0</v>
      </c>
    </row>
    <row r="345" spans="1:7" ht="47.25" hidden="1" x14ac:dyDescent="0.25">
      <c r="A345" s="25" t="s">
        <v>871</v>
      </c>
      <c r="B345" s="20" t="s">
        <v>249</v>
      </c>
      <c r="C345" s="20" t="s">
        <v>228</v>
      </c>
      <c r="D345" s="20" t="s">
        <v>1115</v>
      </c>
      <c r="E345" s="20"/>
      <c r="F345" s="6">
        <f>F346</f>
        <v>0</v>
      </c>
      <c r="G345" s="6">
        <f t="shared" ref="G345:G389" si="23">F345</f>
        <v>0</v>
      </c>
    </row>
    <row r="346" spans="1:7" ht="31.5" hidden="1" x14ac:dyDescent="0.25">
      <c r="A346" s="25" t="s">
        <v>146</v>
      </c>
      <c r="B346" s="20" t="s">
        <v>249</v>
      </c>
      <c r="C346" s="20" t="s">
        <v>228</v>
      </c>
      <c r="D346" s="20" t="s">
        <v>1115</v>
      </c>
      <c r="E346" s="20" t="s">
        <v>147</v>
      </c>
      <c r="F346" s="6">
        <f>F347</f>
        <v>0</v>
      </c>
      <c r="G346" s="6">
        <f t="shared" si="23"/>
        <v>0</v>
      </c>
    </row>
    <row r="347" spans="1:7" ht="47.25" hidden="1" x14ac:dyDescent="0.25">
      <c r="A347" s="25" t="s">
        <v>148</v>
      </c>
      <c r="B347" s="20" t="s">
        <v>249</v>
      </c>
      <c r="C347" s="20" t="s">
        <v>228</v>
      </c>
      <c r="D347" s="20" t="s">
        <v>1115</v>
      </c>
      <c r="E347" s="20" t="s">
        <v>149</v>
      </c>
      <c r="F347" s="6">
        <f>'пр.4.1.ведом.21-22'!G919</f>
        <v>0</v>
      </c>
      <c r="G347" s="6">
        <f t="shared" si="23"/>
        <v>0</v>
      </c>
    </row>
    <row r="348" spans="1:7" ht="15.75" hidden="1" x14ac:dyDescent="0.25">
      <c r="A348" s="25" t="s">
        <v>150</v>
      </c>
      <c r="B348" s="20" t="s">
        <v>249</v>
      </c>
      <c r="C348" s="20" t="s">
        <v>228</v>
      </c>
      <c r="D348" s="20" t="s">
        <v>1115</v>
      </c>
      <c r="E348" s="20" t="s">
        <v>881</v>
      </c>
      <c r="F348" s="6">
        <f>F349</f>
        <v>0</v>
      </c>
      <c r="G348" s="6">
        <f t="shared" si="23"/>
        <v>0</v>
      </c>
    </row>
    <row r="349" spans="1:7" ht="31.5" hidden="1" x14ac:dyDescent="0.25">
      <c r="A349" s="25" t="s">
        <v>583</v>
      </c>
      <c r="B349" s="20" t="s">
        <v>249</v>
      </c>
      <c r="C349" s="20" t="s">
        <v>228</v>
      </c>
      <c r="D349" s="20" t="s">
        <v>1115</v>
      </c>
      <c r="E349" s="20" t="s">
        <v>1246</v>
      </c>
      <c r="F349" s="6">
        <f>'пр.4.1.ведом.21-22'!G921</f>
        <v>0</v>
      </c>
      <c r="G349" s="6">
        <f t="shared" si="23"/>
        <v>0</v>
      </c>
    </row>
    <row r="350" spans="1:7" ht="78.75" hidden="1" x14ac:dyDescent="0.25">
      <c r="A350" s="25" t="s">
        <v>822</v>
      </c>
      <c r="B350" s="20" t="s">
        <v>249</v>
      </c>
      <c r="C350" s="20" t="s">
        <v>228</v>
      </c>
      <c r="D350" s="20" t="s">
        <v>1116</v>
      </c>
      <c r="E350" s="20"/>
      <c r="F350" s="6">
        <f>'Пр.3 Рд,пр, ЦС,ВР 20'!F362</f>
        <v>0</v>
      </c>
      <c r="G350" s="6">
        <f t="shared" si="23"/>
        <v>0</v>
      </c>
    </row>
    <row r="351" spans="1:7" ht="31.5" hidden="1" x14ac:dyDescent="0.25">
      <c r="A351" s="25" t="s">
        <v>146</v>
      </c>
      <c r="B351" s="20" t="s">
        <v>249</v>
      </c>
      <c r="C351" s="20" t="s">
        <v>228</v>
      </c>
      <c r="D351" s="20" t="s">
        <v>1116</v>
      </c>
      <c r="E351" s="20" t="s">
        <v>147</v>
      </c>
      <c r="F351" s="6">
        <f>'Пр.3 Рд,пр, ЦС,ВР 20'!F363</f>
        <v>0</v>
      </c>
      <c r="G351" s="6">
        <f t="shared" si="23"/>
        <v>0</v>
      </c>
    </row>
    <row r="352" spans="1:7" ht="47.25" hidden="1" x14ac:dyDescent="0.25">
      <c r="A352" s="25" t="s">
        <v>148</v>
      </c>
      <c r="B352" s="20" t="s">
        <v>249</v>
      </c>
      <c r="C352" s="20" t="s">
        <v>228</v>
      </c>
      <c r="D352" s="20" t="s">
        <v>1116</v>
      </c>
      <c r="E352" s="20" t="s">
        <v>149</v>
      </c>
      <c r="F352" s="6">
        <f>'Пр.3 Рд,пр, ЦС,ВР 20'!F364</f>
        <v>0</v>
      </c>
      <c r="G352" s="6">
        <f t="shared" si="23"/>
        <v>0</v>
      </c>
    </row>
    <row r="353" spans="1:7" ht="63" hidden="1" x14ac:dyDescent="0.25">
      <c r="A353" s="98" t="s">
        <v>877</v>
      </c>
      <c r="B353" s="20" t="s">
        <v>249</v>
      </c>
      <c r="C353" s="20" t="s">
        <v>228</v>
      </c>
      <c r="D353" s="20" t="s">
        <v>1117</v>
      </c>
      <c r="E353" s="20"/>
      <c r="F353" s="6">
        <f>'Пр.3 Рд,пр, ЦС,ВР 20'!F365</f>
        <v>0</v>
      </c>
      <c r="G353" s="6">
        <f t="shared" si="23"/>
        <v>0</v>
      </c>
    </row>
    <row r="354" spans="1:7" ht="47.25" hidden="1" x14ac:dyDescent="0.25">
      <c r="A354" s="25" t="s">
        <v>882</v>
      </c>
      <c r="B354" s="20" t="s">
        <v>249</v>
      </c>
      <c r="C354" s="20" t="s">
        <v>228</v>
      </c>
      <c r="D354" s="20" t="s">
        <v>1117</v>
      </c>
      <c r="E354" s="20" t="s">
        <v>881</v>
      </c>
      <c r="F354" s="6">
        <f>'Пр.3 Рд,пр, ЦС,ВР 20'!F366</f>
        <v>0</v>
      </c>
      <c r="G354" s="6">
        <f t="shared" si="23"/>
        <v>0</v>
      </c>
    </row>
    <row r="355" spans="1:7" ht="78.75" hidden="1" x14ac:dyDescent="0.25">
      <c r="A355" s="25" t="s">
        <v>1224</v>
      </c>
      <c r="B355" s="20" t="s">
        <v>249</v>
      </c>
      <c r="C355" s="20" t="s">
        <v>228</v>
      </c>
      <c r="D355" s="20" t="s">
        <v>1117</v>
      </c>
      <c r="E355" s="20" t="s">
        <v>1246</v>
      </c>
      <c r="F355" s="6">
        <f>'Пр.3 Рд,пр, ЦС,ВР 20'!F367</f>
        <v>0</v>
      </c>
      <c r="G355" s="6">
        <f t="shared" si="23"/>
        <v>0</v>
      </c>
    </row>
    <row r="356" spans="1:7" ht="15.75" hidden="1" x14ac:dyDescent="0.25">
      <c r="A356" s="25" t="s">
        <v>150</v>
      </c>
      <c r="B356" s="20" t="s">
        <v>249</v>
      </c>
      <c r="C356" s="20" t="s">
        <v>228</v>
      </c>
      <c r="D356" s="20" t="s">
        <v>1117</v>
      </c>
      <c r="E356" s="20" t="s">
        <v>160</v>
      </c>
      <c r="F356" s="6">
        <f>'Пр.3 Рд,пр, ЦС,ВР 20'!F368</f>
        <v>0</v>
      </c>
      <c r="G356" s="6">
        <f t="shared" si="23"/>
        <v>0</v>
      </c>
    </row>
    <row r="357" spans="1:7" ht="15.75" hidden="1" x14ac:dyDescent="0.25">
      <c r="A357" s="25" t="s">
        <v>725</v>
      </c>
      <c r="B357" s="20" t="s">
        <v>249</v>
      </c>
      <c r="C357" s="20" t="s">
        <v>228</v>
      </c>
      <c r="D357" s="20" t="s">
        <v>1117</v>
      </c>
      <c r="E357" s="20" t="s">
        <v>153</v>
      </c>
      <c r="F357" s="6">
        <f>'Пр.3 Рд,пр, ЦС,ВР 20'!F369</f>
        <v>0</v>
      </c>
      <c r="G357" s="6">
        <f t="shared" si="23"/>
        <v>0</v>
      </c>
    </row>
    <row r="358" spans="1:7" ht="47.25" hidden="1" x14ac:dyDescent="0.25">
      <c r="A358" s="25" t="s">
        <v>1247</v>
      </c>
      <c r="B358" s="20" t="s">
        <v>249</v>
      </c>
      <c r="C358" s="20" t="s">
        <v>228</v>
      </c>
      <c r="D358" s="20" t="s">
        <v>1248</v>
      </c>
      <c r="E358" s="20"/>
      <c r="F358" s="6">
        <f>'Пр.3 Рд,пр, ЦС,ВР 20'!F370</f>
        <v>0</v>
      </c>
      <c r="G358" s="6">
        <f t="shared" si="23"/>
        <v>0</v>
      </c>
    </row>
    <row r="359" spans="1:7" ht="31.5" hidden="1" x14ac:dyDescent="0.25">
      <c r="A359" s="25" t="s">
        <v>146</v>
      </c>
      <c r="B359" s="20" t="s">
        <v>249</v>
      </c>
      <c r="C359" s="20" t="s">
        <v>228</v>
      </c>
      <c r="D359" s="20" t="s">
        <v>1248</v>
      </c>
      <c r="E359" s="20" t="s">
        <v>147</v>
      </c>
      <c r="F359" s="6">
        <f>'Пр.3 Рд,пр, ЦС,ВР 20'!F371</f>
        <v>0</v>
      </c>
      <c r="G359" s="6">
        <f t="shared" si="23"/>
        <v>0</v>
      </c>
    </row>
    <row r="360" spans="1:7" ht="47.25" hidden="1" x14ac:dyDescent="0.25">
      <c r="A360" s="25" t="s">
        <v>148</v>
      </c>
      <c r="B360" s="20" t="s">
        <v>249</v>
      </c>
      <c r="C360" s="20" t="s">
        <v>228</v>
      </c>
      <c r="D360" s="20" t="s">
        <v>1248</v>
      </c>
      <c r="E360" s="20" t="s">
        <v>149</v>
      </c>
      <c r="F360" s="6">
        <f>'Пр.3 Рд,пр, ЦС,ВР 20'!F372</f>
        <v>0</v>
      </c>
      <c r="G360" s="6">
        <f t="shared" si="23"/>
        <v>0</v>
      </c>
    </row>
    <row r="361" spans="1:7" ht="78.75" x14ac:dyDescent="0.25">
      <c r="A361" s="23" t="s">
        <v>1360</v>
      </c>
      <c r="B361" s="24" t="s">
        <v>249</v>
      </c>
      <c r="C361" s="24" t="s">
        <v>228</v>
      </c>
      <c r="D361" s="24" t="s">
        <v>533</v>
      </c>
      <c r="E361" s="24"/>
      <c r="F361" s="4">
        <f>F362+F366+F370+F374+F378+F382+F386</f>
        <v>700</v>
      </c>
      <c r="G361" s="4">
        <f>G362+G366+G370+G374+G378+G382+G386</f>
        <v>700</v>
      </c>
    </row>
    <row r="362" spans="1:7" ht="31.5" x14ac:dyDescent="0.25">
      <c r="A362" s="23" t="s">
        <v>1097</v>
      </c>
      <c r="B362" s="24" t="s">
        <v>249</v>
      </c>
      <c r="C362" s="24" t="s">
        <v>228</v>
      </c>
      <c r="D362" s="24" t="s">
        <v>1099</v>
      </c>
      <c r="E362" s="24"/>
      <c r="F362" s="4">
        <f t="shared" ref="F362:G364" si="24">F363</f>
        <v>700</v>
      </c>
      <c r="G362" s="4">
        <f t="shared" si="24"/>
        <v>700</v>
      </c>
    </row>
    <row r="363" spans="1:7" ht="15.75" x14ac:dyDescent="0.25">
      <c r="A363" s="45" t="s">
        <v>1098</v>
      </c>
      <c r="B363" s="40" t="s">
        <v>249</v>
      </c>
      <c r="C363" s="40" t="s">
        <v>228</v>
      </c>
      <c r="D363" s="20" t="s">
        <v>1100</v>
      </c>
      <c r="E363" s="40"/>
      <c r="F363" s="6">
        <f t="shared" si="24"/>
        <v>700</v>
      </c>
      <c r="G363" s="6">
        <f t="shared" si="24"/>
        <v>700</v>
      </c>
    </row>
    <row r="364" spans="1:7" ht="31.5" x14ac:dyDescent="0.25">
      <c r="A364" s="31" t="s">
        <v>146</v>
      </c>
      <c r="B364" s="40" t="s">
        <v>249</v>
      </c>
      <c r="C364" s="40" t="s">
        <v>228</v>
      </c>
      <c r="D364" s="20" t="s">
        <v>1100</v>
      </c>
      <c r="E364" s="40" t="s">
        <v>147</v>
      </c>
      <c r="F364" s="6">
        <f t="shared" si="24"/>
        <v>700</v>
      </c>
      <c r="G364" s="6">
        <f t="shared" si="24"/>
        <v>700</v>
      </c>
    </row>
    <row r="365" spans="1:7" ht="47.25" x14ac:dyDescent="0.25">
      <c r="A365" s="31" t="s">
        <v>148</v>
      </c>
      <c r="B365" s="40" t="s">
        <v>249</v>
      </c>
      <c r="C365" s="40" t="s">
        <v>228</v>
      </c>
      <c r="D365" s="20" t="s">
        <v>1100</v>
      </c>
      <c r="E365" s="40" t="s">
        <v>149</v>
      </c>
      <c r="F365" s="6">
        <f>'пр.4.1.ведом.21-22'!G937</f>
        <v>700</v>
      </c>
      <c r="G365" s="6">
        <f>'пр.4.1.ведом.21-22'!H937</f>
        <v>700</v>
      </c>
    </row>
    <row r="366" spans="1:7" ht="31.5" hidden="1" x14ac:dyDescent="0.25">
      <c r="A366" s="34" t="s">
        <v>1101</v>
      </c>
      <c r="B366" s="7" t="s">
        <v>249</v>
      </c>
      <c r="C366" s="7" t="s">
        <v>228</v>
      </c>
      <c r="D366" s="24" t="s">
        <v>1102</v>
      </c>
      <c r="E366" s="7"/>
      <c r="F366" s="4">
        <f t="shared" ref="F366:G368" si="25">F367</f>
        <v>0</v>
      </c>
      <c r="G366" s="4">
        <f t="shared" si="25"/>
        <v>0</v>
      </c>
    </row>
    <row r="367" spans="1:7" ht="15.75" hidden="1" x14ac:dyDescent="0.25">
      <c r="A367" s="45" t="s">
        <v>538</v>
      </c>
      <c r="B367" s="40" t="s">
        <v>249</v>
      </c>
      <c r="C367" s="40" t="s">
        <v>228</v>
      </c>
      <c r="D367" s="20" t="s">
        <v>1105</v>
      </c>
      <c r="E367" s="40"/>
      <c r="F367" s="6">
        <f t="shared" si="25"/>
        <v>0</v>
      </c>
      <c r="G367" s="6">
        <f t="shared" si="25"/>
        <v>0</v>
      </c>
    </row>
    <row r="368" spans="1:7" ht="31.5" hidden="1" x14ac:dyDescent="0.25">
      <c r="A368" s="31" t="s">
        <v>146</v>
      </c>
      <c r="B368" s="40" t="s">
        <v>249</v>
      </c>
      <c r="C368" s="40" t="s">
        <v>228</v>
      </c>
      <c r="D368" s="20" t="s">
        <v>1105</v>
      </c>
      <c r="E368" s="40" t="s">
        <v>147</v>
      </c>
      <c r="F368" s="6">
        <f t="shared" si="25"/>
        <v>0</v>
      </c>
      <c r="G368" s="6">
        <f t="shared" si="25"/>
        <v>0</v>
      </c>
    </row>
    <row r="369" spans="1:7" ht="47.25" hidden="1" x14ac:dyDescent="0.25">
      <c r="A369" s="31" t="s">
        <v>148</v>
      </c>
      <c r="B369" s="40" t="s">
        <v>249</v>
      </c>
      <c r="C369" s="40" t="s">
        <v>228</v>
      </c>
      <c r="D369" s="20" t="s">
        <v>1105</v>
      </c>
      <c r="E369" s="40" t="s">
        <v>149</v>
      </c>
      <c r="F369" s="6">
        <f>'пр.4.1.ведом.21-22'!G941</f>
        <v>0</v>
      </c>
      <c r="G369" s="6">
        <f>'пр.4.1.ведом.21-22'!H941</f>
        <v>0</v>
      </c>
    </row>
    <row r="370" spans="1:7" ht="31.5" hidden="1" x14ac:dyDescent="0.25">
      <c r="A370" s="58" t="s">
        <v>1103</v>
      </c>
      <c r="B370" s="7" t="s">
        <v>249</v>
      </c>
      <c r="C370" s="7" t="s">
        <v>228</v>
      </c>
      <c r="D370" s="24" t="s">
        <v>1104</v>
      </c>
      <c r="E370" s="7"/>
      <c r="F370" s="4">
        <f>F371</f>
        <v>0</v>
      </c>
      <c r="G370" s="4">
        <f>G371</f>
        <v>0</v>
      </c>
    </row>
    <row r="371" spans="1:7" ht="15.75" hidden="1" x14ac:dyDescent="0.25">
      <c r="A371" s="45" t="s">
        <v>540</v>
      </c>
      <c r="B371" s="40" t="s">
        <v>249</v>
      </c>
      <c r="C371" s="40" t="s">
        <v>228</v>
      </c>
      <c r="D371" s="20" t="s">
        <v>1106</v>
      </c>
      <c r="E371" s="40"/>
      <c r="F371" s="6">
        <f>'Пр.3 Рд,пр, ЦС,ВР 20'!F383</f>
        <v>0</v>
      </c>
      <c r="G371" s="6">
        <f t="shared" si="23"/>
        <v>0</v>
      </c>
    </row>
    <row r="372" spans="1:7" ht="31.5" hidden="1" x14ac:dyDescent="0.25">
      <c r="A372" s="31" t="s">
        <v>146</v>
      </c>
      <c r="B372" s="40" t="s">
        <v>249</v>
      </c>
      <c r="C372" s="40" t="s">
        <v>228</v>
      </c>
      <c r="D372" s="20" t="s">
        <v>1106</v>
      </c>
      <c r="E372" s="40" t="s">
        <v>147</v>
      </c>
      <c r="F372" s="6">
        <f>'Пр.3 Рд,пр, ЦС,ВР 20'!F384</f>
        <v>0</v>
      </c>
      <c r="G372" s="6">
        <f t="shared" si="23"/>
        <v>0</v>
      </c>
    </row>
    <row r="373" spans="1:7" ht="47.25" hidden="1" x14ac:dyDescent="0.25">
      <c r="A373" s="31" t="s">
        <v>148</v>
      </c>
      <c r="B373" s="40" t="s">
        <v>249</v>
      </c>
      <c r="C373" s="40" t="s">
        <v>228</v>
      </c>
      <c r="D373" s="20" t="s">
        <v>1106</v>
      </c>
      <c r="E373" s="40" t="s">
        <v>149</v>
      </c>
      <c r="F373" s="6">
        <f>'Пр.3 Рд,пр, ЦС,ВР 20'!F385</f>
        <v>0</v>
      </c>
      <c r="G373" s="6">
        <f t="shared" si="23"/>
        <v>0</v>
      </c>
    </row>
    <row r="374" spans="1:7" ht="31.5" hidden="1" x14ac:dyDescent="0.25">
      <c r="A374" s="58" t="s">
        <v>1107</v>
      </c>
      <c r="B374" s="7" t="s">
        <v>249</v>
      </c>
      <c r="C374" s="7" t="s">
        <v>228</v>
      </c>
      <c r="D374" s="24" t="s">
        <v>1108</v>
      </c>
      <c r="E374" s="7"/>
      <c r="F374" s="4">
        <f t="shared" ref="F374:G376" si="26">F375</f>
        <v>0</v>
      </c>
      <c r="G374" s="4">
        <f t="shared" si="26"/>
        <v>0</v>
      </c>
    </row>
    <row r="375" spans="1:7" ht="31.5" hidden="1" x14ac:dyDescent="0.25">
      <c r="A375" s="45" t="s">
        <v>542</v>
      </c>
      <c r="B375" s="40" t="s">
        <v>249</v>
      </c>
      <c r="C375" s="40" t="s">
        <v>228</v>
      </c>
      <c r="D375" s="20" t="s">
        <v>1109</v>
      </c>
      <c r="E375" s="40"/>
      <c r="F375" s="6">
        <f t="shared" si="26"/>
        <v>0</v>
      </c>
      <c r="G375" s="6">
        <f t="shared" si="26"/>
        <v>0</v>
      </c>
    </row>
    <row r="376" spans="1:7" ht="31.5" hidden="1" x14ac:dyDescent="0.25">
      <c r="A376" s="31" t="s">
        <v>146</v>
      </c>
      <c r="B376" s="40" t="s">
        <v>249</v>
      </c>
      <c r="C376" s="40" t="s">
        <v>228</v>
      </c>
      <c r="D376" s="20" t="s">
        <v>1109</v>
      </c>
      <c r="E376" s="40" t="s">
        <v>147</v>
      </c>
      <c r="F376" s="6">
        <f t="shared" si="26"/>
        <v>0</v>
      </c>
      <c r="G376" s="6">
        <f t="shared" si="26"/>
        <v>0</v>
      </c>
    </row>
    <row r="377" spans="1:7" ht="47.25" hidden="1" x14ac:dyDescent="0.25">
      <c r="A377" s="31" t="s">
        <v>148</v>
      </c>
      <c r="B377" s="40" t="s">
        <v>249</v>
      </c>
      <c r="C377" s="40" t="s">
        <v>228</v>
      </c>
      <c r="D377" s="20" t="s">
        <v>1109</v>
      </c>
      <c r="E377" s="40" t="s">
        <v>149</v>
      </c>
      <c r="F377" s="6">
        <f>'пр.4.1.ведом.21-22'!G945</f>
        <v>0</v>
      </c>
      <c r="G377" s="6">
        <f t="shared" si="23"/>
        <v>0</v>
      </c>
    </row>
    <row r="378" spans="1:7" ht="31.5" hidden="1" x14ac:dyDescent="0.25">
      <c r="A378" s="34" t="s">
        <v>1170</v>
      </c>
      <c r="B378" s="7" t="s">
        <v>249</v>
      </c>
      <c r="C378" s="7" t="s">
        <v>228</v>
      </c>
      <c r="D378" s="24" t="s">
        <v>1171</v>
      </c>
      <c r="E378" s="7"/>
      <c r="F378" s="4">
        <f>F379</f>
        <v>0</v>
      </c>
      <c r="G378" s="4">
        <f>G379</f>
        <v>0</v>
      </c>
    </row>
    <row r="379" spans="1:7" ht="15.75" hidden="1" x14ac:dyDescent="0.25">
      <c r="A379" s="45" t="s">
        <v>544</v>
      </c>
      <c r="B379" s="40" t="s">
        <v>249</v>
      </c>
      <c r="C379" s="40" t="s">
        <v>228</v>
      </c>
      <c r="D379" s="20" t="s">
        <v>1174</v>
      </c>
      <c r="E379" s="40"/>
      <c r="F379" s="6">
        <f>'Пр.3 Рд,пр, ЦС,ВР 20'!F391</f>
        <v>0</v>
      </c>
      <c r="G379" s="6">
        <f t="shared" si="23"/>
        <v>0</v>
      </c>
    </row>
    <row r="380" spans="1:7" ht="31.5" hidden="1" x14ac:dyDescent="0.25">
      <c r="A380" s="31" t="s">
        <v>146</v>
      </c>
      <c r="B380" s="40" t="s">
        <v>249</v>
      </c>
      <c r="C380" s="40" t="s">
        <v>228</v>
      </c>
      <c r="D380" s="20" t="s">
        <v>1174</v>
      </c>
      <c r="E380" s="40" t="s">
        <v>147</v>
      </c>
      <c r="F380" s="6">
        <f>'Пр.3 Рд,пр, ЦС,ВР 20'!F392</f>
        <v>0</v>
      </c>
      <c r="G380" s="6">
        <f t="shared" si="23"/>
        <v>0</v>
      </c>
    </row>
    <row r="381" spans="1:7" ht="47.25" hidden="1" x14ac:dyDescent="0.25">
      <c r="A381" s="31" t="s">
        <v>148</v>
      </c>
      <c r="B381" s="40" t="s">
        <v>249</v>
      </c>
      <c r="C381" s="40" t="s">
        <v>228</v>
      </c>
      <c r="D381" s="20" t="s">
        <v>1174</v>
      </c>
      <c r="E381" s="40" t="s">
        <v>149</v>
      </c>
      <c r="F381" s="6">
        <f>'Пр.3 Рд,пр, ЦС,ВР 20'!F393</f>
        <v>0</v>
      </c>
      <c r="G381" s="6">
        <f t="shared" si="23"/>
        <v>0</v>
      </c>
    </row>
    <row r="382" spans="1:7" ht="47.25" hidden="1" x14ac:dyDescent="0.25">
      <c r="A382" s="247" t="s">
        <v>1172</v>
      </c>
      <c r="B382" s="7" t="s">
        <v>249</v>
      </c>
      <c r="C382" s="7" t="s">
        <v>228</v>
      </c>
      <c r="D382" s="24" t="s">
        <v>1173</v>
      </c>
      <c r="E382" s="7"/>
      <c r="F382" s="4">
        <f>F383</f>
        <v>0</v>
      </c>
      <c r="G382" s="4">
        <f>G383</f>
        <v>0</v>
      </c>
    </row>
    <row r="383" spans="1:7" ht="31.5" hidden="1" x14ac:dyDescent="0.25">
      <c r="A383" s="178" t="s">
        <v>546</v>
      </c>
      <c r="B383" s="40" t="s">
        <v>249</v>
      </c>
      <c r="C383" s="40" t="s">
        <v>228</v>
      </c>
      <c r="D383" s="20" t="s">
        <v>1175</v>
      </c>
      <c r="E383" s="40"/>
      <c r="F383" s="6">
        <f>'Пр.3 Рд,пр, ЦС,ВР 20'!F395</f>
        <v>0</v>
      </c>
      <c r="G383" s="6">
        <f t="shared" si="23"/>
        <v>0</v>
      </c>
    </row>
    <row r="384" spans="1:7" ht="31.5" hidden="1" x14ac:dyDescent="0.25">
      <c r="A384" s="31" t="s">
        <v>146</v>
      </c>
      <c r="B384" s="40" t="s">
        <v>249</v>
      </c>
      <c r="C384" s="40" t="s">
        <v>228</v>
      </c>
      <c r="D384" s="20" t="s">
        <v>1175</v>
      </c>
      <c r="E384" s="40" t="s">
        <v>147</v>
      </c>
      <c r="F384" s="6">
        <f>'Пр.3 Рд,пр, ЦС,ВР 20'!F396</f>
        <v>0</v>
      </c>
      <c r="G384" s="6">
        <f t="shared" si="23"/>
        <v>0</v>
      </c>
    </row>
    <row r="385" spans="1:7" ht="47.25" hidden="1" x14ac:dyDescent="0.25">
      <c r="A385" s="31" t="s">
        <v>148</v>
      </c>
      <c r="B385" s="40" t="s">
        <v>249</v>
      </c>
      <c r="C385" s="40" t="s">
        <v>228</v>
      </c>
      <c r="D385" s="20" t="s">
        <v>1175</v>
      </c>
      <c r="E385" s="40" t="s">
        <v>149</v>
      </c>
      <c r="F385" s="6">
        <f>'Пр.3 Рд,пр, ЦС,ВР 20'!F397</f>
        <v>0</v>
      </c>
      <c r="G385" s="6">
        <f t="shared" si="23"/>
        <v>0</v>
      </c>
    </row>
    <row r="386" spans="1:7" ht="31.5" hidden="1" x14ac:dyDescent="0.25">
      <c r="A386" s="247" t="s">
        <v>1111</v>
      </c>
      <c r="B386" s="7" t="s">
        <v>249</v>
      </c>
      <c r="C386" s="7" t="s">
        <v>228</v>
      </c>
      <c r="D386" s="24" t="s">
        <v>1112</v>
      </c>
      <c r="E386" s="7"/>
      <c r="F386" s="4">
        <f>F387</f>
        <v>0</v>
      </c>
      <c r="G386" s="4">
        <f>G387</f>
        <v>0</v>
      </c>
    </row>
    <row r="387" spans="1:7" ht="31.5" hidden="1" x14ac:dyDescent="0.25">
      <c r="A387" s="178" t="s">
        <v>548</v>
      </c>
      <c r="B387" s="40" t="s">
        <v>249</v>
      </c>
      <c r="C387" s="40" t="s">
        <v>228</v>
      </c>
      <c r="D387" s="20" t="s">
        <v>1110</v>
      </c>
      <c r="E387" s="40"/>
      <c r="F387" s="6">
        <f>'Пр.3 Рд,пр, ЦС,ВР 20'!F399</f>
        <v>0</v>
      </c>
      <c r="G387" s="6">
        <f t="shared" si="23"/>
        <v>0</v>
      </c>
    </row>
    <row r="388" spans="1:7" ht="31.5" hidden="1" x14ac:dyDescent="0.25">
      <c r="A388" s="25" t="s">
        <v>146</v>
      </c>
      <c r="B388" s="40" t="s">
        <v>249</v>
      </c>
      <c r="C388" s="40" t="s">
        <v>228</v>
      </c>
      <c r="D388" s="20" t="s">
        <v>1110</v>
      </c>
      <c r="E388" s="40" t="s">
        <v>147</v>
      </c>
      <c r="F388" s="6">
        <f>'Пр.3 Рд,пр, ЦС,ВР 20'!F400</f>
        <v>0</v>
      </c>
      <c r="G388" s="6">
        <f t="shared" si="23"/>
        <v>0</v>
      </c>
    </row>
    <row r="389" spans="1:7" ht="47.25" hidden="1" x14ac:dyDescent="0.25">
      <c r="A389" s="25" t="s">
        <v>148</v>
      </c>
      <c r="B389" s="40" t="s">
        <v>249</v>
      </c>
      <c r="C389" s="40" t="s">
        <v>228</v>
      </c>
      <c r="D389" s="20" t="s">
        <v>1110</v>
      </c>
      <c r="E389" s="40" t="s">
        <v>149</v>
      </c>
      <c r="F389" s="6">
        <f>'Пр.3 Рд,пр, ЦС,ВР 20'!F401</f>
        <v>0</v>
      </c>
      <c r="G389" s="6">
        <f t="shared" si="23"/>
        <v>0</v>
      </c>
    </row>
    <row r="390" spans="1:7" s="221" customFormat="1" ht="47.25" x14ac:dyDescent="0.25">
      <c r="A390" s="23" t="s">
        <v>1367</v>
      </c>
      <c r="B390" s="7" t="s">
        <v>249</v>
      </c>
      <c r="C390" s="7" t="s">
        <v>228</v>
      </c>
      <c r="D390" s="24" t="s">
        <v>1366</v>
      </c>
      <c r="E390" s="7"/>
      <c r="F390" s="4">
        <f t="shared" ref="F390:G393" si="27">F391</f>
        <v>235</v>
      </c>
      <c r="G390" s="4">
        <f t="shared" si="27"/>
        <v>204</v>
      </c>
    </row>
    <row r="391" spans="1:7" s="221" customFormat="1" ht="31.5" x14ac:dyDescent="0.25">
      <c r="A391" s="23" t="s">
        <v>1368</v>
      </c>
      <c r="B391" s="7" t="s">
        <v>249</v>
      </c>
      <c r="C391" s="7" t="s">
        <v>228</v>
      </c>
      <c r="D391" s="24" t="s">
        <v>1369</v>
      </c>
      <c r="E391" s="7"/>
      <c r="F391" s="4">
        <f t="shared" si="27"/>
        <v>235</v>
      </c>
      <c r="G391" s="4">
        <f t="shared" si="27"/>
        <v>204</v>
      </c>
    </row>
    <row r="392" spans="1:7" s="221" customFormat="1" ht="31.5" x14ac:dyDescent="0.25">
      <c r="A392" s="25" t="s">
        <v>552</v>
      </c>
      <c r="B392" s="40" t="s">
        <v>249</v>
      </c>
      <c r="C392" s="40" t="s">
        <v>228</v>
      </c>
      <c r="D392" s="20" t="s">
        <v>1370</v>
      </c>
      <c r="E392" s="40"/>
      <c r="F392" s="6">
        <f t="shared" si="27"/>
        <v>235</v>
      </c>
      <c r="G392" s="6">
        <f t="shared" si="27"/>
        <v>204</v>
      </c>
    </row>
    <row r="393" spans="1:7" s="221" customFormat="1" ht="31.5" x14ac:dyDescent="0.25">
      <c r="A393" s="25" t="s">
        <v>146</v>
      </c>
      <c r="B393" s="40" t="s">
        <v>249</v>
      </c>
      <c r="C393" s="40" t="s">
        <v>228</v>
      </c>
      <c r="D393" s="20" t="s">
        <v>1370</v>
      </c>
      <c r="E393" s="40" t="s">
        <v>147</v>
      </c>
      <c r="F393" s="6">
        <f t="shared" si="27"/>
        <v>235</v>
      </c>
      <c r="G393" s="6">
        <f t="shared" si="27"/>
        <v>204</v>
      </c>
    </row>
    <row r="394" spans="1:7" s="221" customFormat="1" ht="47.25" x14ac:dyDescent="0.25">
      <c r="A394" s="25" t="s">
        <v>148</v>
      </c>
      <c r="B394" s="40" t="s">
        <v>249</v>
      </c>
      <c r="C394" s="40" t="s">
        <v>228</v>
      </c>
      <c r="D394" s="20" t="s">
        <v>1370</v>
      </c>
      <c r="E394" s="40" t="s">
        <v>149</v>
      </c>
      <c r="F394" s="6">
        <f>'пр.4.1.ведом.21-22'!G966</f>
        <v>235</v>
      </c>
      <c r="G394" s="6">
        <f>'пр.4.1.ведом.21-22'!H966</f>
        <v>204</v>
      </c>
    </row>
    <row r="395" spans="1:7" ht="15.75" x14ac:dyDescent="0.25">
      <c r="A395" s="41" t="s">
        <v>556</v>
      </c>
      <c r="B395" s="7" t="s">
        <v>249</v>
      </c>
      <c r="C395" s="7" t="s">
        <v>230</v>
      </c>
      <c r="D395" s="7"/>
      <c r="E395" s="7"/>
      <c r="F395" s="4">
        <f>F396+F401+F439</f>
        <v>4134.5</v>
      </c>
      <c r="G395" s="4">
        <f>G396+G401+G439</f>
        <v>11526.5</v>
      </c>
    </row>
    <row r="396" spans="1:7" ht="15.75" x14ac:dyDescent="0.25">
      <c r="A396" s="23" t="s">
        <v>156</v>
      </c>
      <c r="B396" s="24" t="s">
        <v>249</v>
      </c>
      <c r="C396" s="24" t="s">
        <v>230</v>
      </c>
      <c r="D396" s="24" t="s">
        <v>910</v>
      </c>
      <c r="E396" s="24"/>
      <c r="F396" s="4">
        <f t="shared" ref="F396:G399" si="28">F397</f>
        <v>390</v>
      </c>
      <c r="G396" s="4">
        <f t="shared" si="28"/>
        <v>390</v>
      </c>
    </row>
    <row r="397" spans="1:7" ht="31.5" x14ac:dyDescent="0.25">
      <c r="A397" s="23" t="s">
        <v>914</v>
      </c>
      <c r="B397" s="24" t="s">
        <v>249</v>
      </c>
      <c r="C397" s="24" t="s">
        <v>230</v>
      </c>
      <c r="D397" s="24" t="s">
        <v>909</v>
      </c>
      <c r="E397" s="24"/>
      <c r="F397" s="4">
        <f t="shared" si="28"/>
        <v>390</v>
      </c>
      <c r="G397" s="4">
        <f t="shared" si="28"/>
        <v>390</v>
      </c>
    </row>
    <row r="398" spans="1:7" ht="15.75" x14ac:dyDescent="0.25">
      <c r="A398" s="25" t="s">
        <v>579</v>
      </c>
      <c r="B398" s="20" t="s">
        <v>249</v>
      </c>
      <c r="C398" s="20" t="s">
        <v>230</v>
      </c>
      <c r="D398" s="20" t="s">
        <v>1261</v>
      </c>
      <c r="E398" s="20"/>
      <c r="F398" s="6">
        <f t="shared" si="28"/>
        <v>390</v>
      </c>
      <c r="G398" s="6">
        <f t="shared" si="28"/>
        <v>390</v>
      </c>
    </row>
    <row r="399" spans="1:7" ht="31.5" x14ac:dyDescent="0.25">
      <c r="A399" s="25" t="s">
        <v>146</v>
      </c>
      <c r="B399" s="20" t="s">
        <v>249</v>
      </c>
      <c r="C399" s="20" t="s">
        <v>230</v>
      </c>
      <c r="D399" s="20" t="s">
        <v>1261</v>
      </c>
      <c r="E399" s="20" t="s">
        <v>147</v>
      </c>
      <c r="F399" s="6">
        <f t="shared" si="28"/>
        <v>390</v>
      </c>
      <c r="G399" s="6">
        <f t="shared" si="28"/>
        <v>390</v>
      </c>
    </row>
    <row r="400" spans="1:7" ht="47.25" x14ac:dyDescent="0.25">
      <c r="A400" s="25" t="s">
        <v>148</v>
      </c>
      <c r="B400" s="20" t="s">
        <v>249</v>
      </c>
      <c r="C400" s="20" t="s">
        <v>230</v>
      </c>
      <c r="D400" s="20" t="s">
        <v>1261</v>
      </c>
      <c r="E400" s="20" t="s">
        <v>149</v>
      </c>
      <c r="F400" s="6">
        <f>'пр.4.1.ведом.21-22'!G972</f>
        <v>390</v>
      </c>
      <c r="G400" s="6">
        <f>'пр.4.1.ведом.21-22'!H972</f>
        <v>390</v>
      </c>
    </row>
    <row r="401" spans="1:7" ht="63" x14ac:dyDescent="0.25">
      <c r="A401" s="23" t="s">
        <v>1440</v>
      </c>
      <c r="B401" s="7" t="s">
        <v>249</v>
      </c>
      <c r="C401" s="7" t="s">
        <v>230</v>
      </c>
      <c r="D401" s="7" t="s">
        <v>558</v>
      </c>
      <c r="E401" s="7"/>
      <c r="F401" s="4">
        <f t="shared" ref="F401:G401" si="29">F402+F416</f>
        <v>3244.5</v>
      </c>
      <c r="G401" s="4">
        <f t="shared" si="29"/>
        <v>10636.5</v>
      </c>
    </row>
    <row r="402" spans="1:7" ht="63" x14ac:dyDescent="0.25">
      <c r="A402" s="23" t="s">
        <v>559</v>
      </c>
      <c r="B402" s="24" t="s">
        <v>249</v>
      </c>
      <c r="C402" s="24" t="s">
        <v>230</v>
      </c>
      <c r="D402" s="24" t="s">
        <v>560</v>
      </c>
      <c r="E402" s="24"/>
      <c r="F402" s="4">
        <f>F403</f>
        <v>940</v>
      </c>
      <c r="G402" s="4">
        <f>G403</f>
        <v>940</v>
      </c>
    </row>
    <row r="403" spans="1:7" ht="47.25" x14ac:dyDescent="0.25">
      <c r="A403" s="23" t="s">
        <v>1120</v>
      </c>
      <c r="B403" s="24" t="s">
        <v>249</v>
      </c>
      <c r="C403" s="24" t="s">
        <v>230</v>
      </c>
      <c r="D403" s="24" t="s">
        <v>1118</v>
      </c>
      <c r="E403" s="24"/>
      <c r="F403" s="4">
        <f>F404+F407+F413</f>
        <v>940</v>
      </c>
      <c r="G403" s="4">
        <f>G404+G407+G413</f>
        <v>940</v>
      </c>
    </row>
    <row r="404" spans="1:7" ht="31.5" x14ac:dyDescent="0.25">
      <c r="A404" s="25" t="s">
        <v>561</v>
      </c>
      <c r="B404" s="20" t="s">
        <v>249</v>
      </c>
      <c r="C404" s="20" t="s">
        <v>230</v>
      </c>
      <c r="D404" s="20" t="s">
        <v>1119</v>
      </c>
      <c r="E404" s="20"/>
      <c r="F404" s="6">
        <f>F405</f>
        <v>90</v>
      </c>
      <c r="G404" s="6">
        <f>G405</f>
        <v>90</v>
      </c>
    </row>
    <row r="405" spans="1:7" ht="31.5" x14ac:dyDescent="0.25">
      <c r="A405" s="25" t="s">
        <v>146</v>
      </c>
      <c r="B405" s="20" t="s">
        <v>249</v>
      </c>
      <c r="C405" s="20" t="s">
        <v>230</v>
      </c>
      <c r="D405" s="20" t="s">
        <v>1119</v>
      </c>
      <c r="E405" s="20" t="s">
        <v>147</v>
      </c>
      <c r="F405" s="6">
        <f>F406</f>
        <v>90</v>
      </c>
      <c r="G405" s="6">
        <f>G406</f>
        <v>90</v>
      </c>
    </row>
    <row r="406" spans="1:7" ht="47.25" x14ac:dyDescent="0.25">
      <c r="A406" s="25" t="s">
        <v>148</v>
      </c>
      <c r="B406" s="20" t="s">
        <v>249</v>
      </c>
      <c r="C406" s="20" t="s">
        <v>230</v>
      </c>
      <c r="D406" s="20" t="s">
        <v>1119</v>
      </c>
      <c r="E406" s="20" t="s">
        <v>149</v>
      </c>
      <c r="F406" s="6">
        <f>'пр.4.1.ведом.21-22'!G978</f>
        <v>90</v>
      </c>
      <c r="G406" s="6">
        <f>'пр.4.1.ведом.21-22'!H978</f>
        <v>90</v>
      </c>
    </row>
    <row r="407" spans="1:7" ht="15.75" x14ac:dyDescent="0.25">
      <c r="A407" s="25" t="s">
        <v>563</v>
      </c>
      <c r="B407" s="20" t="s">
        <v>249</v>
      </c>
      <c r="C407" s="20" t="s">
        <v>230</v>
      </c>
      <c r="D407" s="20" t="s">
        <v>1121</v>
      </c>
      <c r="E407" s="20"/>
      <c r="F407" s="6">
        <f>F408</f>
        <v>650</v>
      </c>
      <c r="G407" s="6">
        <f>G408</f>
        <v>650</v>
      </c>
    </row>
    <row r="408" spans="1:7" ht="31.5" x14ac:dyDescent="0.25">
      <c r="A408" s="25" t="s">
        <v>146</v>
      </c>
      <c r="B408" s="20" t="s">
        <v>249</v>
      </c>
      <c r="C408" s="20" t="s">
        <v>230</v>
      </c>
      <c r="D408" s="20" t="s">
        <v>1121</v>
      </c>
      <c r="E408" s="20" t="s">
        <v>147</v>
      </c>
      <c r="F408" s="6">
        <f>F409</f>
        <v>650</v>
      </c>
      <c r="G408" s="6">
        <f>G409</f>
        <v>650</v>
      </c>
    </row>
    <row r="409" spans="1:7" ht="47.25" x14ac:dyDescent="0.25">
      <c r="A409" s="25" t="s">
        <v>148</v>
      </c>
      <c r="B409" s="20" t="s">
        <v>249</v>
      </c>
      <c r="C409" s="20" t="s">
        <v>230</v>
      </c>
      <c r="D409" s="20" t="s">
        <v>1121</v>
      </c>
      <c r="E409" s="20" t="s">
        <v>149</v>
      </c>
      <c r="F409" s="6">
        <f>'пр.4.1.ведом.21-22'!G981</f>
        <v>650</v>
      </c>
      <c r="G409" s="6">
        <f>'пр.4.1.ведом.21-22'!H981</f>
        <v>650</v>
      </c>
    </row>
    <row r="410" spans="1:7" ht="15.75" hidden="1" x14ac:dyDescent="0.25">
      <c r="A410" s="29" t="s">
        <v>150</v>
      </c>
      <c r="B410" s="20" t="s">
        <v>249</v>
      </c>
      <c r="C410" s="20" t="s">
        <v>230</v>
      </c>
      <c r="D410" s="20" t="s">
        <v>1121</v>
      </c>
      <c r="E410" s="20" t="s">
        <v>160</v>
      </c>
      <c r="F410" s="6">
        <f>'Пр.3 Рд,пр, ЦС,ВР 20'!F422</f>
        <v>0</v>
      </c>
      <c r="G410" s="6">
        <f>'Пр.3 Рд,пр, ЦС,ВР 20'!G422</f>
        <v>0</v>
      </c>
    </row>
    <row r="411" spans="1:7" ht="47.25" hidden="1" x14ac:dyDescent="0.25">
      <c r="A411" s="25" t="s">
        <v>880</v>
      </c>
      <c r="B411" s="20" t="s">
        <v>249</v>
      </c>
      <c r="C411" s="20" t="s">
        <v>230</v>
      </c>
      <c r="D411" s="20" t="s">
        <v>1121</v>
      </c>
      <c r="E411" s="20" t="s">
        <v>162</v>
      </c>
      <c r="F411" s="6">
        <f>'Пр.3 Рд,пр, ЦС,ВР 20'!F423</f>
        <v>0</v>
      </c>
      <c r="G411" s="6">
        <f>'Пр.3 Рд,пр, ЦС,ВР 20'!G423</f>
        <v>0</v>
      </c>
    </row>
    <row r="412" spans="1:7" ht="31.5" hidden="1" x14ac:dyDescent="0.25">
      <c r="A412" s="29" t="s">
        <v>583</v>
      </c>
      <c r="B412" s="20" t="s">
        <v>249</v>
      </c>
      <c r="C412" s="20" t="s">
        <v>230</v>
      </c>
      <c r="D412" s="20" t="s">
        <v>1121</v>
      </c>
      <c r="E412" s="20" t="s">
        <v>153</v>
      </c>
      <c r="F412" s="6">
        <f>'Пр.3 Рд,пр, ЦС,ВР 20'!F424</f>
        <v>0</v>
      </c>
      <c r="G412" s="6">
        <f>'Пр.3 Рд,пр, ЦС,ВР 20'!G424</f>
        <v>0</v>
      </c>
    </row>
    <row r="413" spans="1:7" ht="15.75" x14ac:dyDescent="0.25">
      <c r="A413" s="25" t="s">
        <v>565</v>
      </c>
      <c r="B413" s="20" t="s">
        <v>249</v>
      </c>
      <c r="C413" s="20" t="s">
        <v>230</v>
      </c>
      <c r="D413" s="20" t="s">
        <v>1122</v>
      </c>
      <c r="E413" s="20"/>
      <c r="F413" s="6">
        <f>F414</f>
        <v>200</v>
      </c>
      <c r="G413" s="6">
        <f>G414</f>
        <v>200</v>
      </c>
    </row>
    <row r="414" spans="1:7" ht="31.5" x14ac:dyDescent="0.25">
      <c r="A414" s="25" t="s">
        <v>146</v>
      </c>
      <c r="B414" s="20" t="s">
        <v>249</v>
      </c>
      <c r="C414" s="20" t="s">
        <v>230</v>
      </c>
      <c r="D414" s="20" t="s">
        <v>1122</v>
      </c>
      <c r="E414" s="20" t="s">
        <v>147</v>
      </c>
      <c r="F414" s="6">
        <f>F415</f>
        <v>200</v>
      </c>
      <c r="G414" s="6">
        <f>G415</f>
        <v>200</v>
      </c>
    </row>
    <row r="415" spans="1:7" ht="47.25" x14ac:dyDescent="0.25">
      <c r="A415" s="25" t="s">
        <v>148</v>
      </c>
      <c r="B415" s="20" t="s">
        <v>249</v>
      </c>
      <c r="C415" s="20" t="s">
        <v>230</v>
      </c>
      <c r="D415" s="20" t="s">
        <v>1122</v>
      </c>
      <c r="E415" s="20" t="s">
        <v>149</v>
      </c>
      <c r="F415" s="6">
        <f>'пр.4.1.ведом.21-22'!G987</f>
        <v>200</v>
      </c>
      <c r="G415" s="6">
        <f>'пр.4.1.ведом.21-22'!H987</f>
        <v>200</v>
      </c>
    </row>
    <row r="416" spans="1:7" ht="47.25" x14ac:dyDescent="0.25">
      <c r="A416" s="23" t="s">
        <v>1455</v>
      </c>
      <c r="B416" s="24" t="s">
        <v>249</v>
      </c>
      <c r="C416" s="24" t="s">
        <v>230</v>
      </c>
      <c r="D416" s="24" t="s">
        <v>568</v>
      </c>
      <c r="E416" s="24"/>
      <c r="F416" s="4">
        <f>F417+F432</f>
        <v>2304.5</v>
      </c>
      <c r="G416" s="4">
        <f>G417+G432</f>
        <v>9696.5</v>
      </c>
    </row>
    <row r="417" spans="1:7" ht="31.5" x14ac:dyDescent="0.25">
      <c r="A417" s="23" t="s">
        <v>1138</v>
      </c>
      <c r="B417" s="24" t="s">
        <v>249</v>
      </c>
      <c r="C417" s="24" t="s">
        <v>230</v>
      </c>
      <c r="D417" s="24" t="s">
        <v>1123</v>
      </c>
      <c r="E417" s="24"/>
      <c r="F417" s="4">
        <f>F418+F421+F429</f>
        <v>390</v>
      </c>
      <c r="G417" s="4">
        <f>G418+G421+G429</f>
        <v>390</v>
      </c>
    </row>
    <row r="418" spans="1:7" ht="15.75" x14ac:dyDescent="0.25">
      <c r="A418" s="25" t="s">
        <v>570</v>
      </c>
      <c r="B418" s="20" t="s">
        <v>249</v>
      </c>
      <c r="C418" s="20" t="s">
        <v>230</v>
      </c>
      <c r="D418" s="20" t="s">
        <v>1125</v>
      </c>
      <c r="E418" s="20"/>
      <c r="F418" s="6">
        <f>F419</f>
        <v>4</v>
      </c>
      <c r="G418" s="6">
        <f>G419</f>
        <v>4</v>
      </c>
    </row>
    <row r="419" spans="1:7" ht="31.5" x14ac:dyDescent="0.25">
      <c r="A419" s="25" t="s">
        <v>146</v>
      </c>
      <c r="B419" s="20" t="s">
        <v>249</v>
      </c>
      <c r="C419" s="20" t="s">
        <v>230</v>
      </c>
      <c r="D419" s="20" t="s">
        <v>1125</v>
      </c>
      <c r="E419" s="20" t="s">
        <v>147</v>
      </c>
      <c r="F419" s="6">
        <f>F420</f>
        <v>4</v>
      </c>
      <c r="G419" s="6">
        <f>G420</f>
        <v>4</v>
      </c>
    </row>
    <row r="420" spans="1:7" ht="47.25" x14ac:dyDescent="0.25">
      <c r="A420" s="25" t="s">
        <v>148</v>
      </c>
      <c r="B420" s="20" t="s">
        <v>249</v>
      </c>
      <c r="C420" s="20" t="s">
        <v>230</v>
      </c>
      <c r="D420" s="20" t="s">
        <v>1125</v>
      </c>
      <c r="E420" s="20" t="s">
        <v>149</v>
      </c>
      <c r="F420" s="6">
        <f>'пр.4.1.ведом.21-22'!G992</f>
        <v>4</v>
      </c>
      <c r="G420" s="6">
        <f>'пр.4.1.ведом.21-22'!H992</f>
        <v>4</v>
      </c>
    </row>
    <row r="421" spans="1:7" ht="47.25" x14ac:dyDescent="0.25">
      <c r="A421" s="99" t="s">
        <v>572</v>
      </c>
      <c r="B421" s="20" t="s">
        <v>249</v>
      </c>
      <c r="C421" s="20" t="s">
        <v>230</v>
      </c>
      <c r="D421" s="20" t="s">
        <v>1126</v>
      </c>
      <c r="E421" s="20"/>
      <c r="F421" s="6">
        <f>F422+F424</f>
        <v>375</v>
      </c>
      <c r="G421" s="6">
        <f>G422+G424</f>
        <v>375</v>
      </c>
    </row>
    <row r="422" spans="1:7" ht="31.5" x14ac:dyDescent="0.25">
      <c r="A422" s="25" t="s">
        <v>146</v>
      </c>
      <c r="B422" s="20" t="s">
        <v>249</v>
      </c>
      <c r="C422" s="20" t="s">
        <v>230</v>
      </c>
      <c r="D422" s="20" t="s">
        <v>1126</v>
      </c>
      <c r="E422" s="20" t="s">
        <v>147</v>
      </c>
      <c r="F422" s="6">
        <f>F423</f>
        <v>300</v>
      </c>
      <c r="G422" s="6">
        <f>G423</f>
        <v>300</v>
      </c>
    </row>
    <row r="423" spans="1:7" ht="47.25" x14ac:dyDescent="0.25">
      <c r="A423" s="25" t="s">
        <v>148</v>
      </c>
      <c r="B423" s="20" t="s">
        <v>249</v>
      </c>
      <c r="C423" s="20" t="s">
        <v>230</v>
      </c>
      <c r="D423" s="20" t="s">
        <v>1126</v>
      </c>
      <c r="E423" s="20" t="s">
        <v>149</v>
      </c>
      <c r="F423" s="6">
        <f>'пр.4.1.ведом.21-22'!G995</f>
        <v>300</v>
      </c>
      <c r="G423" s="6">
        <f>'пр.4.1.ведом.21-22'!H995</f>
        <v>300</v>
      </c>
    </row>
    <row r="424" spans="1:7" ht="15.75" x14ac:dyDescent="0.25">
      <c r="A424" s="29" t="s">
        <v>150</v>
      </c>
      <c r="B424" s="20" t="s">
        <v>249</v>
      </c>
      <c r="C424" s="20" t="s">
        <v>230</v>
      </c>
      <c r="D424" s="20" t="s">
        <v>1126</v>
      </c>
      <c r="E424" s="20" t="s">
        <v>160</v>
      </c>
      <c r="F424" s="6">
        <f>F425</f>
        <v>75</v>
      </c>
      <c r="G424" s="6">
        <f>G425</f>
        <v>75</v>
      </c>
    </row>
    <row r="425" spans="1:7" ht="20.25" customHeight="1" x14ac:dyDescent="0.25">
      <c r="A425" s="29" t="s">
        <v>583</v>
      </c>
      <c r="B425" s="20" t="s">
        <v>249</v>
      </c>
      <c r="C425" s="20" t="s">
        <v>230</v>
      </c>
      <c r="D425" s="20" t="s">
        <v>1126</v>
      </c>
      <c r="E425" s="20" t="s">
        <v>153</v>
      </c>
      <c r="F425" s="6">
        <f>'пр.4.1.ведом.21-22'!G997</f>
        <v>75</v>
      </c>
      <c r="G425" s="6">
        <f>'пр.4.1.ведом.21-22'!H997</f>
        <v>75</v>
      </c>
    </row>
    <row r="426" spans="1:7" ht="31.5" hidden="1" x14ac:dyDescent="0.25">
      <c r="A426" s="99" t="s">
        <v>574</v>
      </c>
      <c r="B426" s="20" t="s">
        <v>249</v>
      </c>
      <c r="C426" s="20" t="s">
        <v>230</v>
      </c>
      <c r="D426" s="20" t="s">
        <v>1127</v>
      </c>
      <c r="E426" s="20"/>
      <c r="F426" s="6">
        <f>'Пр.3 Рд,пр, ЦС,ВР 20'!F441</f>
        <v>0</v>
      </c>
      <c r="G426" s="6">
        <f t="shared" ref="G426:G464" si="30">F426</f>
        <v>0</v>
      </c>
    </row>
    <row r="427" spans="1:7" ht="31.5" hidden="1" x14ac:dyDescent="0.25">
      <c r="A427" s="25" t="s">
        <v>146</v>
      </c>
      <c r="B427" s="20" t="s">
        <v>249</v>
      </c>
      <c r="C427" s="20" t="s">
        <v>230</v>
      </c>
      <c r="D427" s="20" t="s">
        <v>1127</v>
      </c>
      <c r="E427" s="20" t="s">
        <v>147</v>
      </c>
      <c r="F427" s="6">
        <f>'Пр.3 Рд,пр, ЦС,ВР 20'!F442</f>
        <v>0</v>
      </c>
      <c r="G427" s="6">
        <f t="shared" si="30"/>
        <v>0</v>
      </c>
    </row>
    <row r="428" spans="1:7" ht="47.25" hidden="1" x14ac:dyDescent="0.25">
      <c r="A428" s="25" t="s">
        <v>148</v>
      </c>
      <c r="B428" s="20" t="s">
        <v>249</v>
      </c>
      <c r="C428" s="20" t="s">
        <v>230</v>
      </c>
      <c r="D428" s="20" t="s">
        <v>1127</v>
      </c>
      <c r="E428" s="20" t="s">
        <v>149</v>
      </c>
      <c r="F428" s="6">
        <f>'Пр.3 Рд,пр, ЦС,ВР 20'!F443</f>
        <v>0</v>
      </c>
      <c r="G428" s="6">
        <f t="shared" si="30"/>
        <v>0</v>
      </c>
    </row>
    <row r="429" spans="1:7" s="221" customFormat="1" ht="31.5" x14ac:dyDescent="0.25">
      <c r="A429" s="259" t="s">
        <v>1290</v>
      </c>
      <c r="B429" s="20" t="s">
        <v>249</v>
      </c>
      <c r="C429" s="20" t="s">
        <v>230</v>
      </c>
      <c r="D429" s="20" t="s">
        <v>1291</v>
      </c>
      <c r="E429" s="20"/>
      <c r="F429" s="26">
        <f>F430</f>
        <v>11</v>
      </c>
      <c r="G429" s="26">
        <f>G430</f>
        <v>11</v>
      </c>
    </row>
    <row r="430" spans="1:7" s="221" customFormat="1" ht="31.5" x14ac:dyDescent="0.25">
      <c r="A430" s="25" t="s">
        <v>146</v>
      </c>
      <c r="B430" s="20" t="s">
        <v>249</v>
      </c>
      <c r="C430" s="20" t="s">
        <v>230</v>
      </c>
      <c r="D430" s="20" t="s">
        <v>1291</v>
      </c>
      <c r="E430" s="20" t="s">
        <v>147</v>
      </c>
      <c r="F430" s="26">
        <f>F431</f>
        <v>11</v>
      </c>
      <c r="G430" s="26">
        <f>G431</f>
        <v>11</v>
      </c>
    </row>
    <row r="431" spans="1:7" s="221" customFormat="1" ht="47.25" x14ac:dyDescent="0.25">
      <c r="A431" s="25" t="s">
        <v>148</v>
      </c>
      <c r="B431" s="20" t="s">
        <v>249</v>
      </c>
      <c r="C431" s="20" t="s">
        <v>230</v>
      </c>
      <c r="D431" s="20" t="s">
        <v>1291</v>
      </c>
      <c r="E431" s="20" t="s">
        <v>149</v>
      </c>
      <c r="F431" s="26">
        <f>'пр.4.1.ведом.21-22'!G1003</f>
        <v>11</v>
      </c>
      <c r="G431" s="26">
        <f>'пр.4.1.ведом.21-22'!H1003</f>
        <v>11</v>
      </c>
    </row>
    <row r="432" spans="1:7" ht="41.25" customHeight="1" x14ac:dyDescent="0.25">
      <c r="A432" s="23" t="s">
        <v>948</v>
      </c>
      <c r="B432" s="7" t="s">
        <v>249</v>
      </c>
      <c r="C432" s="7" t="s">
        <v>230</v>
      </c>
      <c r="D432" s="24" t="s">
        <v>1128</v>
      </c>
      <c r="E432" s="24"/>
      <c r="F432" s="4">
        <f>F433+F436</f>
        <v>1914.5</v>
      </c>
      <c r="G432" s="4">
        <f>G433+G436</f>
        <v>9306.5</v>
      </c>
    </row>
    <row r="433" spans="1:7" ht="47.25" hidden="1" x14ac:dyDescent="0.25">
      <c r="A433" s="25" t="s">
        <v>705</v>
      </c>
      <c r="B433" s="20" t="s">
        <v>249</v>
      </c>
      <c r="C433" s="20" t="s">
        <v>230</v>
      </c>
      <c r="D433" s="20" t="s">
        <v>1129</v>
      </c>
      <c r="E433" s="20"/>
      <c r="F433" s="6">
        <f>F434</f>
        <v>0</v>
      </c>
      <c r="G433" s="6">
        <f t="shared" si="30"/>
        <v>0</v>
      </c>
    </row>
    <row r="434" spans="1:7" ht="31.5" hidden="1" x14ac:dyDescent="0.25">
      <c r="A434" s="25" t="s">
        <v>146</v>
      </c>
      <c r="B434" s="20" t="s">
        <v>249</v>
      </c>
      <c r="C434" s="20" t="s">
        <v>230</v>
      </c>
      <c r="D434" s="20" t="s">
        <v>1129</v>
      </c>
      <c r="E434" s="20" t="s">
        <v>147</v>
      </c>
      <c r="F434" s="6">
        <f>F435</f>
        <v>0</v>
      </c>
      <c r="G434" s="6">
        <f t="shared" si="30"/>
        <v>0</v>
      </c>
    </row>
    <row r="435" spans="1:7" ht="47.25" hidden="1" x14ac:dyDescent="0.25">
      <c r="A435" s="25" t="s">
        <v>148</v>
      </c>
      <c r="B435" s="20" t="s">
        <v>249</v>
      </c>
      <c r="C435" s="20" t="s">
        <v>230</v>
      </c>
      <c r="D435" s="20" t="s">
        <v>1129</v>
      </c>
      <c r="E435" s="20" t="s">
        <v>149</v>
      </c>
      <c r="F435" s="6">
        <f>'Пр.3 Рд,пр, ЦС,ВР 20'!F447</f>
        <v>0</v>
      </c>
      <c r="G435" s="6">
        <f t="shared" si="30"/>
        <v>0</v>
      </c>
    </row>
    <row r="436" spans="1:7" ht="78.75" x14ac:dyDescent="0.25">
      <c r="A436" s="25" t="s">
        <v>1249</v>
      </c>
      <c r="B436" s="20" t="s">
        <v>249</v>
      </c>
      <c r="C436" s="20" t="s">
        <v>230</v>
      </c>
      <c r="D436" s="20" t="s">
        <v>1250</v>
      </c>
      <c r="E436" s="20"/>
      <c r="F436" s="6">
        <f>F437</f>
        <v>1914.5</v>
      </c>
      <c r="G436" s="6">
        <f>G437</f>
        <v>9306.5</v>
      </c>
    </row>
    <row r="437" spans="1:7" ht="31.5" x14ac:dyDescent="0.25">
      <c r="A437" s="25" t="s">
        <v>146</v>
      </c>
      <c r="B437" s="20" t="s">
        <v>249</v>
      </c>
      <c r="C437" s="20" t="s">
        <v>230</v>
      </c>
      <c r="D437" s="20" t="s">
        <v>1250</v>
      </c>
      <c r="E437" s="20" t="s">
        <v>147</v>
      </c>
      <c r="F437" s="6">
        <f>F438</f>
        <v>1914.5</v>
      </c>
      <c r="G437" s="6">
        <f>G438</f>
        <v>9306.5</v>
      </c>
    </row>
    <row r="438" spans="1:7" ht="47.25" x14ac:dyDescent="0.25">
      <c r="A438" s="25" t="s">
        <v>148</v>
      </c>
      <c r="B438" s="20" t="s">
        <v>249</v>
      </c>
      <c r="C438" s="20" t="s">
        <v>230</v>
      </c>
      <c r="D438" s="20" t="s">
        <v>1250</v>
      </c>
      <c r="E438" s="20" t="s">
        <v>149</v>
      </c>
      <c r="F438" s="6">
        <f>'пр.4.1.ведом.21-22'!G1010</f>
        <v>1914.5</v>
      </c>
      <c r="G438" s="6">
        <f>'пр.4.1.ведом.21-22'!H1010</f>
        <v>9306.5</v>
      </c>
    </row>
    <row r="439" spans="1:7" ht="78.75" x14ac:dyDescent="0.25">
      <c r="A439" s="23" t="s">
        <v>820</v>
      </c>
      <c r="B439" s="24" t="s">
        <v>249</v>
      </c>
      <c r="C439" s="24" t="s">
        <v>230</v>
      </c>
      <c r="D439" s="24" t="s">
        <v>732</v>
      </c>
      <c r="E439" s="24"/>
      <c r="F439" s="4">
        <f t="shared" ref="F439:G439" si="31">F441</f>
        <v>500</v>
      </c>
      <c r="G439" s="4">
        <f t="shared" si="31"/>
        <v>500</v>
      </c>
    </row>
    <row r="440" spans="1:7" ht="31.5" x14ac:dyDescent="0.25">
      <c r="A440" s="23" t="s">
        <v>1245</v>
      </c>
      <c r="B440" s="24" t="s">
        <v>249</v>
      </c>
      <c r="C440" s="24" t="s">
        <v>230</v>
      </c>
      <c r="D440" s="24" t="s">
        <v>879</v>
      </c>
      <c r="E440" s="20"/>
      <c r="F440" s="4">
        <f t="shared" ref="F440:G442" si="32">F441</f>
        <v>500</v>
      </c>
      <c r="G440" s="4">
        <f t="shared" si="32"/>
        <v>500</v>
      </c>
    </row>
    <row r="441" spans="1:7" ht="31.5" x14ac:dyDescent="0.25">
      <c r="A441" s="287" t="s">
        <v>731</v>
      </c>
      <c r="B441" s="20" t="s">
        <v>249</v>
      </c>
      <c r="C441" s="20" t="s">
        <v>230</v>
      </c>
      <c r="D441" s="20" t="s">
        <v>879</v>
      </c>
      <c r="E441" s="20"/>
      <c r="F441" s="6">
        <f t="shared" si="32"/>
        <v>500</v>
      </c>
      <c r="G441" s="6">
        <f t="shared" si="32"/>
        <v>500</v>
      </c>
    </row>
    <row r="442" spans="1:7" ht="31.5" x14ac:dyDescent="0.25">
      <c r="A442" s="25" t="s">
        <v>146</v>
      </c>
      <c r="B442" s="20" t="s">
        <v>249</v>
      </c>
      <c r="C442" s="20" t="s">
        <v>230</v>
      </c>
      <c r="D442" s="20" t="s">
        <v>879</v>
      </c>
      <c r="E442" s="20" t="s">
        <v>147</v>
      </c>
      <c r="F442" s="6">
        <f t="shared" si="32"/>
        <v>500</v>
      </c>
      <c r="G442" s="6">
        <f t="shared" si="32"/>
        <v>500</v>
      </c>
    </row>
    <row r="443" spans="1:7" ht="47.25" x14ac:dyDescent="0.25">
      <c r="A443" s="25" t="s">
        <v>148</v>
      </c>
      <c r="B443" s="20" t="s">
        <v>249</v>
      </c>
      <c r="C443" s="20" t="s">
        <v>230</v>
      </c>
      <c r="D443" s="20" t="s">
        <v>879</v>
      </c>
      <c r="E443" s="20" t="s">
        <v>149</v>
      </c>
      <c r="F443" s="6">
        <f>'пр.4.1.ведом.21-22'!G1015</f>
        <v>500</v>
      </c>
      <c r="G443" s="6">
        <f>'пр.4.1.ведом.21-22'!H1015</f>
        <v>500</v>
      </c>
    </row>
    <row r="444" spans="1:7" ht="31.5" x14ac:dyDescent="0.25">
      <c r="A444" s="41" t="s">
        <v>584</v>
      </c>
      <c r="B444" s="7" t="s">
        <v>249</v>
      </c>
      <c r="C444" s="7" t="s">
        <v>249</v>
      </c>
      <c r="D444" s="7"/>
      <c r="E444" s="7"/>
      <c r="F444" s="4">
        <f>F445+F457+F474</f>
        <v>22307</v>
      </c>
      <c r="G444" s="4">
        <f>G445+G457+G474</f>
        <v>22307</v>
      </c>
    </row>
    <row r="445" spans="1:7" ht="31.5" x14ac:dyDescent="0.25">
      <c r="A445" s="23" t="s">
        <v>988</v>
      </c>
      <c r="B445" s="24" t="s">
        <v>249</v>
      </c>
      <c r="C445" s="24" t="s">
        <v>249</v>
      </c>
      <c r="D445" s="24" t="s">
        <v>902</v>
      </c>
      <c r="E445" s="24"/>
      <c r="F445" s="4">
        <f>F446</f>
        <v>11546</v>
      </c>
      <c r="G445" s="4">
        <f>G446</f>
        <v>11546</v>
      </c>
    </row>
    <row r="446" spans="1:7" ht="15.75" x14ac:dyDescent="0.25">
      <c r="A446" s="23" t="s">
        <v>989</v>
      </c>
      <c r="B446" s="24" t="s">
        <v>249</v>
      </c>
      <c r="C446" s="24" t="s">
        <v>249</v>
      </c>
      <c r="D446" s="24" t="s">
        <v>903</v>
      </c>
      <c r="E446" s="24"/>
      <c r="F446" s="4">
        <f>F447+F454</f>
        <v>11546</v>
      </c>
      <c r="G446" s="4">
        <f>G447+G454</f>
        <v>11546</v>
      </c>
    </row>
    <row r="447" spans="1:7" ht="31.5" x14ac:dyDescent="0.25">
      <c r="A447" s="25" t="s">
        <v>965</v>
      </c>
      <c r="B447" s="20" t="s">
        <v>249</v>
      </c>
      <c r="C447" s="20" t="s">
        <v>249</v>
      </c>
      <c r="D447" s="20" t="s">
        <v>904</v>
      </c>
      <c r="E447" s="20"/>
      <c r="F447" s="6">
        <f>F448+F450+F452</f>
        <v>11210</v>
      </c>
      <c r="G447" s="6">
        <f>G448+G450+G452</f>
        <v>11210</v>
      </c>
    </row>
    <row r="448" spans="1:7" ht="94.5" x14ac:dyDescent="0.25">
      <c r="A448" s="25" t="s">
        <v>142</v>
      </c>
      <c r="B448" s="20" t="s">
        <v>249</v>
      </c>
      <c r="C448" s="20" t="s">
        <v>249</v>
      </c>
      <c r="D448" s="20" t="s">
        <v>904</v>
      </c>
      <c r="E448" s="20" t="s">
        <v>143</v>
      </c>
      <c r="F448" s="6">
        <f>F449</f>
        <v>11138</v>
      </c>
      <c r="G448" s="6">
        <f>G449</f>
        <v>11138</v>
      </c>
    </row>
    <row r="449" spans="1:7" ht="36.75" customHeight="1" x14ac:dyDescent="0.25">
      <c r="A449" s="25" t="s">
        <v>144</v>
      </c>
      <c r="B449" s="20" t="s">
        <v>249</v>
      </c>
      <c r="C449" s="20" t="s">
        <v>249</v>
      </c>
      <c r="D449" s="20" t="s">
        <v>904</v>
      </c>
      <c r="E449" s="20" t="s">
        <v>145</v>
      </c>
      <c r="F449" s="6">
        <f>'пр.4.1.ведом.21-22'!G1021</f>
        <v>11138</v>
      </c>
      <c r="G449" s="6">
        <f>'пр.4.1.ведом.21-22'!H1021</f>
        <v>11138</v>
      </c>
    </row>
    <row r="450" spans="1:7" ht="31.5" x14ac:dyDescent="0.25">
      <c r="A450" s="25" t="s">
        <v>146</v>
      </c>
      <c r="B450" s="20" t="s">
        <v>249</v>
      </c>
      <c r="C450" s="20" t="s">
        <v>249</v>
      </c>
      <c r="D450" s="20" t="s">
        <v>904</v>
      </c>
      <c r="E450" s="20" t="s">
        <v>147</v>
      </c>
      <c r="F450" s="6">
        <f>F451</f>
        <v>25</v>
      </c>
      <c r="G450" s="6">
        <f>G451</f>
        <v>25</v>
      </c>
    </row>
    <row r="451" spans="1:7" ht="47.25" x14ac:dyDescent="0.25">
      <c r="A451" s="25" t="s">
        <v>148</v>
      </c>
      <c r="B451" s="20" t="s">
        <v>249</v>
      </c>
      <c r="C451" s="20" t="s">
        <v>249</v>
      </c>
      <c r="D451" s="20" t="s">
        <v>904</v>
      </c>
      <c r="E451" s="20" t="s">
        <v>149</v>
      </c>
      <c r="F451" s="6">
        <f>'пр.4.1.ведом.21-22'!G1023</f>
        <v>25</v>
      </c>
      <c r="G451" s="6">
        <f>'пр.4.1.ведом.21-22'!H1023</f>
        <v>25</v>
      </c>
    </row>
    <row r="452" spans="1:7" ht="15.75" x14ac:dyDescent="0.25">
      <c r="A452" s="25" t="s">
        <v>150</v>
      </c>
      <c r="B452" s="20" t="s">
        <v>249</v>
      </c>
      <c r="C452" s="20" t="s">
        <v>249</v>
      </c>
      <c r="D452" s="20" t="s">
        <v>904</v>
      </c>
      <c r="E452" s="20" t="s">
        <v>160</v>
      </c>
      <c r="F452" s="6">
        <f>F453</f>
        <v>47</v>
      </c>
      <c r="G452" s="6">
        <f>G453</f>
        <v>47</v>
      </c>
    </row>
    <row r="453" spans="1:7" ht="21.75" customHeight="1" x14ac:dyDescent="0.25">
      <c r="A453" s="25" t="s">
        <v>583</v>
      </c>
      <c r="B453" s="20" t="s">
        <v>249</v>
      </c>
      <c r="C453" s="20" t="s">
        <v>249</v>
      </c>
      <c r="D453" s="20" t="s">
        <v>904</v>
      </c>
      <c r="E453" s="20" t="s">
        <v>153</v>
      </c>
      <c r="F453" s="6">
        <f>'пр.4.1.ведом.21-22'!G1025</f>
        <v>47</v>
      </c>
      <c r="G453" s="6">
        <f>'пр.4.1.ведом.21-22'!H1025</f>
        <v>47</v>
      </c>
    </row>
    <row r="454" spans="1:7" ht="47.25" x14ac:dyDescent="0.25">
      <c r="A454" s="25" t="s">
        <v>883</v>
      </c>
      <c r="B454" s="20" t="s">
        <v>249</v>
      </c>
      <c r="C454" s="20" t="s">
        <v>249</v>
      </c>
      <c r="D454" s="20" t="s">
        <v>906</v>
      </c>
      <c r="E454" s="20"/>
      <c r="F454" s="6">
        <f>F455</f>
        <v>336</v>
      </c>
      <c r="G454" s="6">
        <f>G455</f>
        <v>336</v>
      </c>
    </row>
    <row r="455" spans="1:7" ht="94.5" x14ac:dyDescent="0.25">
      <c r="A455" s="25" t="s">
        <v>142</v>
      </c>
      <c r="B455" s="20" t="s">
        <v>249</v>
      </c>
      <c r="C455" s="20" t="s">
        <v>249</v>
      </c>
      <c r="D455" s="20" t="s">
        <v>906</v>
      </c>
      <c r="E455" s="20" t="s">
        <v>143</v>
      </c>
      <c r="F455" s="6">
        <f>F456</f>
        <v>336</v>
      </c>
      <c r="G455" s="6">
        <f>G456</f>
        <v>336</v>
      </c>
    </row>
    <row r="456" spans="1:7" ht="33" customHeight="1" x14ac:dyDescent="0.25">
      <c r="A456" s="25" t="s">
        <v>144</v>
      </c>
      <c r="B456" s="20" t="s">
        <v>249</v>
      </c>
      <c r="C456" s="20" t="s">
        <v>249</v>
      </c>
      <c r="D456" s="20" t="s">
        <v>906</v>
      </c>
      <c r="E456" s="20" t="s">
        <v>145</v>
      </c>
      <c r="F456" s="6">
        <f>'пр.4.1.ведом.21-22'!G1028</f>
        <v>336</v>
      </c>
      <c r="G456" s="6">
        <f>'пр.4.1.ведом.21-22'!H1028</f>
        <v>336</v>
      </c>
    </row>
    <row r="457" spans="1:7" ht="15.75" x14ac:dyDescent="0.25">
      <c r="A457" s="23" t="s">
        <v>156</v>
      </c>
      <c r="B457" s="24" t="s">
        <v>249</v>
      </c>
      <c r="C457" s="24" t="s">
        <v>249</v>
      </c>
      <c r="D457" s="24" t="s">
        <v>910</v>
      </c>
      <c r="E457" s="24"/>
      <c r="F457" s="4">
        <f>F458+F465</f>
        <v>10761</v>
      </c>
      <c r="G457" s="4">
        <f>G458+G465</f>
        <v>10761</v>
      </c>
    </row>
    <row r="458" spans="1:7" ht="31.5" x14ac:dyDescent="0.25">
      <c r="A458" s="23" t="s">
        <v>914</v>
      </c>
      <c r="B458" s="24" t="s">
        <v>249</v>
      </c>
      <c r="C458" s="24" t="s">
        <v>249</v>
      </c>
      <c r="D458" s="24" t="s">
        <v>909</v>
      </c>
      <c r="E458" s="24"/>
      <c r="F458" s="340">
        <f>F459+F462</f>
        <v>982</v>
      </c>
      <c r="G458" s="340">
        <f>G459+G462</f>
        <v>982</v>
      </c>
    </row>
    <row r="459" spans="1:7" ht="31.5" x14ac:dyDescent="0.25">
      <c r="A459" s="25" t="s">
        <v>585</v>
      </c>
      <c r="B459" s="20" t="s">
        <v>249</v>
      </c>
      <c r="C459" s="20" t="s">
        <v>249</v>
      </c>
      <c r="D459" s="20" t="s">
        <v>1130</v>
      </c>
      <c r="E459" s="20"/>
      <c r="F459" s="6">
        <f>F460</f>
        <v>982</v>
      </c>
      <c r="G459" s="6">
        <f>G460</f>
        <v>982</v>
      </c>
    </row>
    <row r="460" spans="1:7" ht="15.75" x14ac:dyDescent="0.25">
      <c r="A460" s="25" t="s">
        <v>150</v>
      </c>
      <c r="B460" s="20" t="s">
        <v>249</v>
      </c>
      <c r="C460" s="20" t="s">
        <v>249</v>
      </c>
      <c r="D460" s="20" t="s">
        <v>1130</v>
      </c>
      <c r="E460" s="20" t="s">
        <v>160</v>
      </c>
      <c r="F460" s="6">
        <f>F461</f>
        <v>982</v>
      </c>
      <c r="G460" s="6">
        <f>G461</f>
        <v>982</v>
      </c>
    </row>
    <row r="461" spans="1:7" ht="63" x14ac:dyDescent="0.25">
      <c r="A461" s="25" t="s">
        <v>199</v>
      </c>
      <c r="B461" s="20" t="s">
        <v>249</v>
      </c>
      <c r="C461" s="20" t="s">
        <v>249</v>
      </c>
      <c r="D461" s="20" t="s">
        <v>1130</v>
      </c>
      <c r="E461" s="20" t="s">
        <v>175</v>
      </c>
      <c r="F461" s="6">
        <f>'пр.4.1.ведом.21-22'!G1033</f>
        <v>982</v>
      </c>
      <c r="G461" s="6">
        <f>'пр.4.1.ведом.21-22'!H1033</f>
        <v>982</v>
      </c>
    </row>
    <row r="462" spans="1:7" ht="47.25" hidden="1" x14ac:dyDescent="0.25">
      <c r="A462" s="25" t="s">
        <v>866</v>
      </c>
      <c r="B462" s="20" t="s">
        <v>249</v>
      </c>
      <c r="C462" s="20" t="s">
        <v>249</v>
      </c>
      <c r="D462" s="20" t="s">
        <v>1251</v>
      </c>
      <c r="E462" s="20"/>
      <c r="F462" s="6">
        <f>'Пр.3 Рд,пр, ЦС,ВР 20'!F476</f>
        <v>0</v>
      </c>
      <c r="G462" s="6">
        <f t="shared" si="30"/>
        <v>0</v>
      </c>
    </row>
    <row r="463" spans="1:7" ht="15.75" hidden="1" x14ac:dyDescent="0.25">
      <c r="A463" s="25" t="s">
        <v>150</v>
      </c>
      <c r="B463" s="20" t="s">
        <v>249</v>
      </c>
      <c r="C463" s="20" t="s">
        <v>249</v>
      </c>
      <c r="D463" s="20" t="s">
        <v>1251</v>
      </c>
      <c r="E463" s="20" t="s">
        <v>160</v>
      </c>
      <c r="F463" s="6">
        <f>'Пр.3 Рд,пр, ЦС,ВР 20'!F477</f>
        <v>0</v>
      </c>
      <c r="G463" s="6">
        <f t="shared" si="30"/>
        <v>0</v>
      </c>
    </row>
    <row r="464" spans="1:7" ht="63" hidden="1" x14ac:dyDescent="0.25">
      <c r="A464" s="25" t="s">
        <v>199</v>
      </c>
      <c r="B464" s="20" t="s">
        <v>249</v>
      </c>
      <c r="C464" s="20" t="s">
        <v>249</v>
      </c>
      <c r="D464" s="20" t="s">
        <v>1251</v>
      </c>
      <c r="E464" s="20" t="s">
        <v>175</v>
      </c>
      <c r="F464" s="6">
        <f>'Пр.3 Рд,пр, ЦС,ВР 20'!F478</f>
        <v>0</v>
      </c>
      <c r="G464" s="6">
        <f t="shared" si="30"/>
        <v>0</v>
      </c>
    </row>
    <row r="465" spans="1:11" ht="47.25" x14ac:dyDescent="0.25">
      <c r="A465" s="23" t="s">
        <v>1000</v>
      </c>
      <c r="B465" s="24" t="s">
        <v>249</v>
      </c>
      <c r="C465" s="24" t="s">
        <v>249</v>
      </c>
      <c r="D465" s="24" t="s">
        <v>985</v>
      </c>
      <c r="E465" s="24"/>
      <c r="F465" s="340">
        <f>F466+F471</f>
        <v>9779</v>
      </c>
      <c r="G465" s="340">
        <f>G466+G471</f>
        <v>9779</v>
      </c>
    </row>
    <row r="466" spans="1:11" ht="31.5" x14ac:dyDescent="0.25">
      <c r="A466" s="25" t="s">
        <v>972</v>
      </c>
      <c r="B466" s="20" t="s">
        <v>249</v>
      </c>
      <c r="C466" s="20" t="s">
        <v>249</v>
      </c>
      <c r="D466" s="20" t="s">
        <v>986</v>
      </c>
      <c r="E466" s="20"/>
      <c r="F466" s="6">
        <f>F467+F470</f>
        <v>9359</v>
      </c>
      <c r="G466" s="6">
        <f>G467+G470</f>
        <v>9359</v>
      </c>
    </row>
    <row r="467" spans="1:11" ht="94.5" x14ac:dyDescent="0.25">
      <c r="A467" s="25" t="s">
        <v>142</v>
      </c>
      <c r="B467" s="20" t="s">
        <v>249</v>
      </c>
      <c r="C467" s="20" t="s">
        <v>249</v>
      </c>
      <c r="D467" s="20" t="s">
        <v>986</v>
      </c>
      <c r="E467" s="20" t="s">
        <v>143</v>
      </c>
      <c r="F467" s="6">
        <f>F468</f>
        <v>8047</v>
      </c>
      <c r="G467" s="6">
        <f>G468</f>
        <v>8047</v>
      </c>
    </row>
    <row r="468" spans="1:11" ht="31.5" x14ac:dyDescent="0.25">
      <c r="A468" s="25" t="s">
        <v>357</v>
      </c>
      <c r="B468" s="20" t="s">
        <v>249</v>
      </c>
      <c r="C468" s="20" t="s">
        <v>249</v>
      </c>
      <c r="D468" s="20" t="s">
        <v>986</v>
      </c>
      <c r="E468" s="20" t="s">
        <v>224</v>
      </c>
      <c r="F468" s="6">
        <f>'пр.4.1.ведом.21-22'!G1040</f>
        <v>8047</v>
      </c>
      <c r="G468" s="6">
        <f>'пр.4.1.ведом.21-22'!H1040</f>
        <v>8047</v>
      </c>
    </row>
    <row r="469" spans="1:11" ht="31.5" x14ac:dyDescent="0.25">
      <c r="A469" s="25" t="s">
        <v>146</v>
      </c>
      <c r="B469" s="20" t="s">
        <v>249</v>
      </c>
      <c r="C469" s="20" t="s">
        <v>249</v>
      </c>
      <c r="D469" s="20" t="s">
        <v>986</v>
      </c>
      <c r="E469" s="20" t="s">
        <v>147</v>
      </c>
      <c r="F469" s="6">
        <f>F470</f>
        <v>1312</v>
      </c>
      <c r="G469" s="6">
        <f>G470</f>
        <v>1312</v>
      </c>
    </row>
    <row r="470" spans="1:11" ht="47.25" x14ac:dyDescent="0.25">
      <c r="A470" s="25" t="s">
        <v>148</v>
      </c>
      <c r="B470" s="20" t="s">
        <v>249</v>
      </c>
      <c r="C470" s="20" t="s">
        <v>249</v>
      </c>
      <c r="D470" s="20" t="s">
        <v>986</v>
      </c>
      <c r="E470" s="20" t="s">
        <v>149</v>
      </c>
      <c r="F470" s="6">
        <f>'пр.4.1.ведом.21-22'!G1042</f>
        <v>1312</v>
      </c>
      <c r="G470" s="6">
        <f>'пр.4.1.ведом.21-22'!H1042</f>
        <v>1312</v>
      </c>
    </row>
    <row r="471" spans="1:11" ht="47.25" x14ac:dyDescent="0.25">
      <c r="A471" s="25" t="s">
        <v>883</v>
      </c>
      <c r="B471" s="20" t="s">
        <v>249</v>
      </c>
      <c r="C471" s="20" t="s">
        <v>249</v>
      </c>
      <c r="D471" s="20" t="s">
        <v>987</v>
      </c>
      <c r="E471" s="20"/>
      <c r="F471" s="6">
        <f>F472</f>
        <v>420</v>
      </c>
      <c r="G471" s="6">
        <f>G472</f>
        <v>420</v>
      </c>
    </row>
    <row r="472" spans="1:11" ht="94.5" x14ac:dyDescent="0.25">
      <c r="A472" s="25" t="s">
        <v>142</v>
      </c>
      <c r="B472" s="20" t="s">
        <v>249</v>
      </c>
      <c r="C472" s="20" t="s">
        <v>249</v>
      </c>
      <c r="D472" s="20" t="s">
        <v>987</v>
      </c>
      <c r="E472" s="20" t="s">
        <v>143</v>
      </c>
      <c r="F472" s="6">
        <f>F473</f>
        <v>420</v>
      </c>
      <c r="G472" s="6">
        <f>G473</f>
        <v>420</v>
      </c>
    </row>
    <row r="473" spans="1:11" ht="39.75" customHeight="1" x14ac:dyDescent="0.25">
      <c r="A473" s="25" t="s">
        <v>144</v>
      </c>
      <c r="B473" s="20" t="s">
        <v>249</v>
      </c>
      <c r="C473" s="20" t="s">
        <v>249</v>
      </c>
      <c r="D473" s="20" t="s">
        <v>987</v>
      </c>
      <c r="E473" s="20" t="s">
        <v>145</v>
      </c>
      <c r="F473" s="6">
        <f>'пр.4.1.ведом.21-22'!G1045</f>
        <v>420</v>
      </c>
      <c r="G473" s="6">
        <f>'пр.4.1.ведом.21-22'!H1045</f>
        <v>420</v>
      </c>
    </row>
    <row r="474" spans="1:11" s="221" customFormat="1" ht="78.75" hidden="1" x14ac:dyDescent="0.25">
      <c r="A474" s="34" t="s">
        <v>803</v>
      </c>
      <c r="B474" s="24" t="s">
        <v>249</v>
      </c>
      <c r="C474" s="24" t="s">
        <v>249</v>
      </c>
      <c r="D474" s="24" t="s">
        <v>339</v>
      </c>
      <c r="E474" s="24"/>
      <c r="F474" s="21">
        <f t="shared" ref="F474:G477" si="33">F475</f>
        <v>0</v>
      </c>
      <c r="G474" s="21">
        <f t="shared" si="33"/>
        <v>0</v>
      </c>
    </row>
    <row r="475" spans="1:11" s="221" customFormat="1" ht="63" hidden="1" x14ac:dyDescent="0.25">
      <c r="A475" s="34" t="s">
        <v>1160</v>
      </c>
      <c r="B475" s="24" t="s">
        <v>249</v>
      </c>
      <c r="C475" s="24" t="s">
        <v>249</v>
      </c>
      <c r="D475" s="24" t="s">
        <v>1023</v>
      </c>
      <c r="E475" s="24"/>
      <c r="F475" s="21">
        <f t="shared" si="33"/>
        <v>0</v>
      </c>
      <c r="G475" s="21">
        <f t="shared" si="33"/>
        <v>0</v>
      </c>
    </row>
    <row r="476" spans="1:11" s="221" customFormat="1" ht="63" hidden="1" x14ac:dyDescent="0.25">
      <c r="A476" s="31" t="s">
        <v>1273</v>
      </c>
      <c r="B476" s="20" t="s">
        <v>249</v>
      </c>
      <c r="C476" s="20" t="s">
        <v>249</v>
      </c>
      <c r="D476" s="20" t="s">
        <v>1190</v>
      </c>
      <c r="E476" s="20"/>
      <c r="F476" s="26">
        <f t="shared" si="33"/>
        <v>0</v>
      </c>
      <c r="G476" s="26">
        <f t="shared" si="33"/>
        <v>0</v>
      </c>
    </row>
    <row r="477" spans="1:11" s="221" customFormat="1" ht="31.5" hidden="1" x14ac:dyDescent="0.25">
      <c r="A477" s="25" t="s">
        <v>146</v>
      </c>
      <c r="B477" s="20" t="s">
        <v>249</v>
      </c>
      <c r="C477" s="20" t="s">
        <v>249</v>
      </c>
      <c r="D477" s="20" t="s">
        <v>1190</v>
      </c>
      <c r="E477" s="20" t="s">
        <v>147</v>
      </c>
      <c r="F477" s="26">
        <f t="shared" si="33"/>
        <v>0</v>
      </c>
      <c r="G477" s="26">
        <f t="shared" si="33"/>
        <v>0</v>
      </c>
    </row>
    <row r="478" spans="1:11" s="221" customFormat="1" ht="47.25" hidden="1" x14ac:dyDescent="0.25">
      <c r="A478" s="25" t="s">
        <v>148</v>
      </c>
      <c r="B478" s="20" t="s">
        <v>249</v>
      </c>
      <c r="C478" s="20" t="s">
        <v>249</v>
      </c>
      <c r="D478" s="20" t="s">
        <v>1190</v>
      </c>
      <c r="E478" s="20" t="s">
        <v>149</v>
      </c>
      <c r="F478" s="26">
        <f>'пр.4.1.ведом.21-22'!G1050</f>
        <v>0</v>
      </c>
      <c r="G478" s="6">
        <f>'пр.4.1.ведом.21-22'!H1050</f>
        <v>0</v>
      </c>
    </row>
    <row r="479" spans="1:11" ht="15.75" x14ac:dyDescent="0.25">
      <c r="A479" s="41" t="s">
        <v>278</v>
      </c>
      <c r="B479" s="7" t="s">
        <v>279</v>
      </c>
      <c r="C479" s="40"/>
      <c r="D479" s="40"/>
      <c r="E479" s="40"/>
      <c r="F479" s="4">
        <f>F480+F551+F735+F632+F706</f>
        <v>378623.1</v>
      </c>
      <c r="G479" s="4">
        <f>G480+G551+G735+G632+G706</f>
        <v>378631.6</v>
      </c>
      <c r="H479" s="253">
        <v>378154.5</v>
      </c>
      <c r="I479" s="253">
        <v>378163</v>
      </c>
      <c r="J479" s="253">
        <f>H479-F479</f>
        <v>-468.59999999997672</v>
      </c>
      <c r="K479" s="253">
        <f>I479-G479</f>
        <v>-468.59999999997672</v>
      </c>
    </row>
    <row r="480" spans="1:11" ht="15.75" x14ac:dyDescent="0.25">
      <c r="A480" s="41" t="s">
        <v>419</v>
      </c>
      <c r="B480" s="7" t="s">
        <v>279</v>
      </c>
      <c r="C480" s="7" t="s">
        <v>133</v>
      </c>
      <c r="D480" s="7"/>
      <c r="E480" s="7"/>
      <c r="F480" s="4">
        <f>F481+F541+F546</f>
        <v>109329.5</v>
      </c>
      <c r="G480" s="4">
        <f>G481+G541+G546</f>
        <v>109329.5</v>
      </c>
    </row>
    <row r="481" spans="1:11" ht="47.25" x14ac:dyDescent="0.25">
      <c r="A481" s="23" t="s">
        <v>1434</v>
      </c>
      <c r="B481" s="24" t="s">
        <v>279</v>
      </c>
      <c r="C481" s="24" t="s">
        <v>133</v>
      </c>
      <c r="D481" s="24" t="s">
        <v>421</v>
      </c>
      <c r="E481" s="24"/>
      <c r="F481" s="4">
        <f>F482+F506</f>
        <v>108865.2</v>
      </c>
      <c r="G481" s="4">
        <f>G482+G506</f>
        <v>108865.2</v>
      </c>
    </row>
    <row r="482" spans="1:11" ht="47.25" x14ac:dyDescent="0.25">
      <c r="A482" s="23" t="s">
        <v>422</v>
      </c>
      <c r="B482" s="24" t="s">
        <v>279</v>
      </c>
      <c r="C482" s="24" t="s">
        <v>133</v>
      </c>
      <c r="D482" s="24" t="s">
        <v>423</v>
      </c>
      <c r="E482" s="24"/>
      <c r="F482" s="4">
        <f>F483+F490</f>
        <v>97867.5</v>
      </c>
      <c r="G482" s="4">
        <f>G483+G490</f>
        <v>97867.5</v>
      </c>
    </row>
    <row r="483" spans="1:11" ht="47.25" x14ac:dyDescent="0.25">
      <c r="A483" s="23" t="s">
        <v>1026</v>
      </c>
      <c r="B483" s="24" t="s">
        <v>279</v>
      </c>
      <c r="C483" s="24" t="s">
        <v>133</v>
      </c>
      <c r="D483" s="24" t="s">
        <v>1004</v>
      </c>
      <c r="E483" s="24"/>
      <c r="F483" s="4">
        <f>F484+F487</f>
        <v>12027</v>
      </c>
      <c r="G483" s="4">
        <f>G484+G487</f>
        <v>12027</v>
      </c>
    </row>
    <row r="484" spans="1:11" ht="63" x14ac:dyDescent="0.25">
      <c r="A484" s="25" t="s">
        <v>1061</v>
      </c>
      <c r="B484" s="20" t="s">
        <v>279</v>
      </c>
      <c r="C484" s="20" t="s">
        <v>133</v>
      </c>
      <c r="D484" s="20" t="s">
        <v>1060</v>
      </c>
      <c r="E484" s="20"/>
      <c r="F484" s="6">
        <f>F485</f>
        <v>7224.3</v>
      </c>
      <c r="G484" s="6">
        <f>G485</f>
        <v>7224.3</v>
      </c>
    </row>
    <row r="485" spans="1:11" ht="47.25" x14ac:dyDescent="0.25">
      <c r="A485" s="25" t="s">
        <v>287</v>
      </c>
      <c r="B485" s="20" t="s">
        <v>279</v>
      </c>
      <c r="C485" s="20" t="s">
        <v>133</v>
      </c>
      <c r="D485" s="20" t="s">
        <v>1060</v>
      </c>
      <c r="E485" s="20" t="s">
        <v>288</v>
      </c>
      <c r="F485" s="6">
        <f>F486</f>
        <v>7224.3</v>
      </c>
      <c r="G485" s="6">
        <f>G486</f>
        <v>7224.3</v>
      </c>
    </row>
    <row r="486" spans="1:11" ht="15.75" x14ac:dyDescent="0.25">
      <c r="A486" s="25" t="s">
        <v>289</v>
      </c>
      <c r="B486" s="20" t="s">
        <v>279</v>
      </c>
      <c r="C486" s="20" t="s">
        <v>133</v>
      </c>
      <c r="D486" s="20" t="s">
        <v>1060</v>
      </c>
      <c r="E486" s="20" t="s">
        <v>290</v>
      </c>
      <c r="F486" s="6">
        <f>'пр.4.1.ведом.21-22'!G553</f>
        <v>7224.3</v>
      </c>
      <c r="G486" s="6">
        <f>'пр.4.1.ведом.21-22'!H553</f>
        <v>7224.3</v>
      </c>
    </row>
    <row r="487" spans="1:11" ht="63" x14ac:dyDescent="0.25">
      <c r="A487" s="25" t="s">
        <v>1238</v>
      </c>
      <c r="B487" s="20" t="s">
        <v>279</v>
      </c>
      <c r="C487" s="20" t="s">
        <v>133</v>
      </c>
      <c r="D487" s="20" t="s">
        <v>1062</v>
      </c>
      <c r="E487" s="20"/>
      <c r="F487" s="6">
        <f>F488</f>
        <v>4802.7</v>
      </c>
      <c r="G487" s="6">
        <f>G488</f>
        <v>4802.7</v>
      </c>
    </row>
    <row r="488" spans="1:11" ht="47.25" x14ac:dyDescent="0.25">
      <c r="A488" s="25" t="s">
        <v>287</v>
      </c>
      <c r="B488" s="20" t="s">
        <v>279</v>
      </c>
      <c r="C488" s="20" t="s">
        <v>133</v>
      </c>
      <c r="D488" s="20" t="s">
        <v>1062</v>
      </c>
      <c r="E488" s="20" t="s">
        <v>288</v>
      </c>
      <c r="F488" s="6">
        <f>F489</f>
        <v>4802.7</v>
      </c>
      <c r="G488" s="6">
        <f>G489</f>
        <v>4802.7</v>
      </c>
    </row>
    <row r="489" spans="1:11" ht="15.75" x14ac:dyDescent="0.25">
      <c r="A489" s="25" t="s">
        <v>289</v>
      </c>
      <c r="B489" s="20" t="s">
        <v>279</v>
      </c>
      <c r="C489" s="20" t="s">
        <v>133</v>
      </c>
      <c r="D489" s="20" t="s">
        <v>1062</v>
      </c>
      <c r="E489" s="20" t="s">
        <v>290</v>
      </c>
      <c r="F489" s="6">
        <f>'пр.4.1.ведом.21-22'!G556</f>
        <v>4802.7</v>
      </c>
      <c r="G489" s="6">
        <f>'пр.4.1.ведом.21-22'!H556</f>
        <v>4802.7</v>
      </c>
    </row>
    <row r="490" spans="1:11" ht="50.25" customHeight="1" x14ac:dyDescent="0.25">
      <c r="A490" s="23" t="s">
        <v>969</v>
      </c>
      <c r="B490" s="24" t="s">
        <v>279</v>
      </c>
      <c r="C490" s="24" t="s">
        <v>133</v>
      </c>
      <c r="D490" s="24" t="s">
        <v>1019</v>
      </c>
      <c r="E490" s="24"/>
      <c r="F490" s="4">
        <f>F494+F497+F500+F503+F491</f>
        <v>85840.5</v>
      </c>
      <c r="G490" s="4">
        <f>G494+G497+G500+G503+G491</f>
        <v>85840.5</v>
      </c>
    </row>
    <row r="491" spans="1:11" s="361" customFormat="1" ht="110.25" customHeight="1" x14ac:dyDescent="0.25">
      <c r="A491" s="31" t="s">
        <v>308</v>
      </c>
      <c r="B491" s="368" t="s">
        <v>279</v>
      </c>
      <c r="C491" s="368" t="s">
        <v>133</v>
      </c>
      <c r="D491" s="368" t="s">
        <v>1523</v>
      </c>
      <c r="E491" s="368"/>
      <c r="F491" s="6">
        <f>F492</f>
        <v>2916.1</v>
      </c>
      <c r="G491" s="6">
        <f t="shared" ref="G491:K492" si="34">G492</f>
        <v>2916.1</v>
      </c>
      <c r="H491" s="6">
        <f t="shared" si="34"/>
        <v>0</v>
      </c>
      <c r="I491" s="6">
        <f t="shared" si="34"/>
        <v>0</v>
      </c>
      <c r="J491" s="6">
        <f t="shared" si="34"/>
        <v>0</v>
      </c>
      <c r="K491" s="6">
        <f t="shared" si="34"/>
        <v>0</v>
      </c>
    </row>
    <row r="492" spans="1:11" s="361" customFormat="1" ht="50.25" customHeight="1" x14ac:dyDescent="0.25">
      <c r="A492" s="372" t="s">
        <v>287</v>
      </c>
      <c r="B492" s="368" t="s">
        <v>279</v>
      </c>
      <c r="C492" s="368" t="s">
        <v>133</v>
      </c>
      <c r="D492" s="368" t="s">
        <v>1523</v>
      </c>
      <c r="E492" s="368" t="s">
        <v>143</v>
      </c>
      <c r="F492" s="6">
        <f>F493</f>
        <v>2916.1</v>
      </c>
      <c r="G492" s="6">
        <f t="shared" si="34"/>
        <v>2916.1</v>
      </c>
      <c r="H492" s="6">
        <f t="shared" si="34"/>
        <v>0</v>
      </c>
      <c r="I492" s="6">
        <f t="shared" si="34"/>
        <v>0</v>
      </c>
      <c r="J492" s="6">
        <f t="shared" si="34"/>
        <v>0</v>
      </c>
      <c r="K492" s="6">
        <f t="shared" si="34"/>
        <v>0</v>
      </c>
    </row>
    <row r="493" spans="1:11" s="361" customFormat="1" ht="22.5" customHeight="1" x14ac:dyDescent="0.25">
      <c r="A493" s="372" t="s">
        <v>289</v>
      </c>
      <c r="B493" s="368" t="s">
        <v>279</v>
      </c>
      <c r="C493" s="368" t="s">
        <v>133</v>
      </c>
      <c r="D493" s="368" t="s">
        <v>1523</v>
      </c>
      <c r="E493" s="368" t="s">
        <v>224</v>
      </c>
      <c r="F493" s="6">
        <f>'пр.4.1.ведом.21-22'!G560</f>
        <v>2916.1</v>
      </c>
      <c r="G493" s="6">
        <f>'пр.4.1.ведом.21-22'!H560</f>
        <v>2916.1</v>
      </c>
    </row>
    <row r="494" spans="1:11" ht="78.75" x14ac:dyDescent="0.25">
      <c r="A494" s="31" t="s">
        <v>304</v>
      </c>
      <c r="B494" s="20" t="s">
        <v>279</v>
      </c>
      <c r="C494" s="20" t="s">
        <v>133</v>
      </c>
      <c r="D494" s="20" t="s">
        <v>1018</v>
      </c>
      <c r="E494" s="20"/>
      <c r="F494" s="6">
        <f>F495</f>
        <v>559.70000000000005</v>
      </c>
      <c r="G494" s="6">
        <f>G495</f>
        <v>559.70000000000005</v>
      </c>
    </row>
    <row r="495" spans="1:11" ht="47.25" x14ac:dyDescent="0.25">
      <c r="A495" s="25" t="s">
        <v>287</v>
      </c>
      <c r="B495" s="20" t="s">
        <v>279</v>
      </c>
      <c r="C495" s="20" t="s">
        <v>133</v>
      </c>
      <c r="D495" s="20" t="s">
        <v>1018</v>
      </c>
      <c r="E495" s="20" t="s">
        <v>288</v>
      </c>
      <c r="F495" s="6">
        <f>F496</f>
        <v>559.70000000000005</v>
      </c>
      <c r="G495" s="6">
        <f>G496</f>
        <v>559.70000000000005</v>
      </c>
    </row>
    <row r="496" spans="1:11" ht="15.75" x14ac:dyDescent="0.25">
      <c r="A496" s="25" t="s">
        <v>289</v>
      </c>
      <c r="B496" s="20" t="s">
        <v>279</v>
      </c>
      <c r="C496" s="20" t="s">
        <v>133</v>
      </c>
      <c r="D496" s="20" t="s">
        <v>1018</v>
      </c>
      <c r="E496" s="20" t="s">
        <v>290</v>
      </c>
      <c r="F496" s="6">
        <f>'пр.4.1.ведом.21-22'!G563</f>
        <v>559.70000000000005</v>
      </c>
      <c r="G496" s="6">
        <f>'пр.4.1.ведом.21-22'!H563</f>
        <v>559.70000000000005</v>
      </c>
    </row>
    <row r="497" spans="1:7" ht="94.5" x14ac:dyDescent="0.25">
      <c r="A497" s="31" t="s">
        <v>306</v>
      </c>
      <c r="B497" s="20" t="s">
        <v>279</v>
      </c>
      <c r="C497" s="20" t="s">
        <v>133</v>
      </c>
      <c r="D497" s="20" t="s">
        <v>1021</v>
      </c>
      <c r="E497" s="20"/>
      <c r="F497" s="6">
        <f>F498</f>
        <v>1629.3</v>
      </c>
      <c r="G497" s="6">
        <f>G498</f>
        <v>1629.3</v>
      </c>
    </row>
    <row r="498" spans="1:7" ht="47.25" x14ac:dyDescent="0.25">
      <c r="A498" s="25" t="s">
        <v>287</v>
      </c>
      <c r="B498" s="20" t="s">
        <v>279</v>
      </c>
      <c r="C498" s="20" t="s">
        <v>133</v>
      </c>
      <c r="D498" s="20" t="s">
        <v>1021</v>
      </c>
      <c r="E498" s="20" t="s">
        <v>288</v>
      </c>
      <c r="F498" s="6">
        <f>F499</f>
        <v>1629.3</v>
      </c>
      <c r="G498" s="6">
        <f>G499</f>
        <v>1629.3</v>
      </c>
    </row>
    <row r="499" spans="1:7" ht="15.75" x14ac:dyDescent="0.25">
      <c r="A499" s="25" t="s">
        <v>289</v>
      </c>
      <c r="B499" s="20" t="s">
        <v>279</v>
      </c>
      <c r="C499" s="20" t="s">
        <v>133</v>
      </c>
      <c r="D499" s="20" t="s">
        <v>1021</v>
      </c>
      <c r="E499" s="20" t="s">
        <v>290</v>
      </c>
      <c r="F499" s="6">
        <f>'пр.4.1.ведом.21-22'!G566</f>
        <v>1629.3</v>
      </c>
      <c r="G499" s="6">
        <f>'пр.4.1.ведом.21-22'!H566</f>
        <v>1629.3</v>
      </c>
    </row>
    <row r="500" spans="1:7" ht="110.25" x14ac:dyDescent="0.25">
      <c r="A500" s="31" t="s">
        <v>1460</v>
      </c>
      <c r="B500" s="20" t="s">
        <v>279</v>
      </c>
      <c r="C500" s="20" t="s">
        <v>133</v>
      </c>
      <c r="D500" s="20" t="s">
        <v>1020</v>
      </c>
      <c r="E500" s="20"/>
      <c r="F500" s="6">
        <f>F501</f>
        <v>80735.399999999994</v>
      </c>
      <c r="G500" s="6">
        <f>G501</f>
        <v>80735.399999999994</v>
      </c>
    </row>
    <row r="501" spans="1:7" ht="47.25" x14ac:dyDescent="0.25">
      <c r="A501" s="25" t="s">
        <v>287</v>
      </c>
      <c r="B501" s="20" t="s">
        <v>279</v>
      </c>
      <c r="C501" s="20" t="s">
        <v>133</v>
      </c>
      <c r="D501" s="20" t="s">
        <v>1020</v>
      </c>
      <c r="E501" s="20" t="s">
        <v>288</v>
      </c>
      <c r="F501" s="6">
        <f>F502</f>
        <v>80735.399999999994</v>
      </c>
      <c r="G501" s="6">
        <f>G502</f>
        <v>80735.399999999994</v>
      </c>
    </row>
    <row r="502" spans="1:7" ht="15.75" x14ac:dyDescent="0.25">
      <c r="A502" s="25" t="s">
        <v>289</v>
      </c>
      <c r="B502" s="20" t="s">
        <v>279</v>
      </c>
      <c r="C502" s="20" t="s">
        <v>133</v>
      </c>
      <c r="D502" s="20" t="s">
        <v>1020</v>
      </c>
      <c r="E502" s="20" t="s">
        <v>290</v>
      </c>
      <c r="F502" s="6">
        <f>'пр.4.1.ведом.21-22'!G569</f>
        <v>80735.399999999994</v>
      </c>
      <c r="G502" s="6">
        <f>'пр.4.1.ведом.21-22'!H569</f>
        <v>80735.399999999994</v>
      </c>
    </row>
    <row r="503" spans="1:7" ht="126" x14ac:dyDescent="0.25">
      <c r="A503" s="31" t="s">
        <v>308</v>
      </c>
      <c r="B503" s="20" t="s">
        <v>279</v>
      </c>
      <c r="C503" s="20" t="s">
        <v>133</v>
      </c>
      <c r="D503" s="20" t="s">
        <v>1022</v>
      </c>
      <c r="E503" s="20"/>
      <c r="F503" s="6">
        <f>F504</f>
        <v>0</v>
      </c>
      <c r="G503" s="6">
        <f>G504</f>
        <v>0</v>
      </c>
    </row>
    <row r="504" spans="1:7" ht="47.25" x14ac:dyDescent="0.25">
      <c r="A504" s="25" t="s">
        <v>287</v>
      </c>
      <c r="B504" s="20" t="s">
        <v>279</v>
      </c>
      <c r="C504" s="20" t="s">
        <v>133</v>
      </c>
      <c r="D504" s="20" t="s">
        <v>1022</v>
      </c>
      <c r="E504" s="20" t="s">
        <v>288</v>
      </c>
      <c r="F504" s="6">
        <f>F505</f>
        <v>0</v>
      </c>
      <c r="G504" s="6">
        <f>G505</f>
        <v>0</v>
      </c>
    </row>
    <row r="505" spans="1:7" ht="15.75" x14ac:dyDescent="0.25">
      <c r="A505" s="25" t="s">
        <v>289</v>
      </c>
      <c r="B505" s="20" t="s">
        <v>279</v>
      </c>
      <c r="C505" s="20" t="s">
        <v>133</v>
      </c>
      <c r="D505" s="20" t="s">
        <v>1022</v>
      </c>
      <c r="E505" s="20" t="s">
        <v>290</v>
      </c>
      <c r="F505" s="6">
        <f>'пр.4.1.ведом.21-22'!G572</f>
        <v>0</v>
      </c>
      <c r="G505" s="6">
        <f>'пр.4.1.ведом.21-22'!H572</f>
        <v>0</v>
      </c>
    </row>
    <row r="506" spans="1:7" ht="47.25" x14ac:dyDescent="0.25">
      <c r="A506" s="23" t="s">
        <v>426</v>
      </c>
      <c r="B506" s="24" t="s">
        <v>279</v>
      </c>
      <c r="C506" s="24" t="s">
        <v>133</v>
      </c>
      <c r="D506" s="24" t="s">
        <v>427</v>
      </c>
      <c r="E506" s="24"/>
      <c r="F506" s="4">
        <f>F507+F517+F527+F534</f>
        <v>10997.7</v>
      </c>
      <c r="G506" s="4">
        <f>G507+G517+G527+G534</f>
        <v>10997.7</v>
      </c>
    </row>
    <row r="507" spans="1:7" ht="31.5" x14ac:dyDescent="0.25">
      <c r="A507" s="23" t="s">
        <v>1005</v>
      </c>
      <c r="B507" s="24" t="s">
        <v>279</v>
      </c>
      <c r="C507" s="24" t="s">
        <v>133</v>
      </c>
      <c r="D507" s="24" t="s">
        <v>1006</v>
      </c>
      <c r="E507" s="24"/>
      <c r="F507" s="4">
        <f>F508+F511+F514</f>
        <v>4430</v>
      </c>
      <c r="G507" s="4">
        <f>G508+G511+G514</f>
        <v>4430</v>
      </c>
    </row>
    <row r="508" spans="1:7" ht="47.25" hidden="1" x14ac:dyDescent="0.25">
      <c r="A508" s="25" t="s">
        <v>293</v>
      </c>
      <c r="B508" s="20" t="s">
        <v>279</v>
      </c>
      <c r="C508" s="20" t="s">
        <v>133</v>
      </c>
      <c r="D508" s="20" t="s">
        <v>1007</v>
      </c>
      <c r="E508" s="20"/>
      <c r="F508" s="6">
        <f>'Пр.3 Рд,пр, ЦС,ВР 20'!F522</f>
        <v>0</v>
      </c>
      <c r="G508" s="6">
        <f t="shared" ref="G508:G545" si="35">F508</f>
        <v>0</v>
      </c>
    </row>
    <row r="509" spans="1:7" ht="47.25" hidden="1" x14ac:dyDescent="0.25">
      <c r="A509" s="25" t="s">
        <v>287</v>
      </c>
      <c r="B509" s="20" t="s">
        <v>279</v>
      </c>
      <c r="C509" s="20" t="s">
        <v>133</v>
      </c>
      <c r="D509" s="20" t="s">
        <v>1007</v>
      </c>
      <c r="E509" s="20" t="s">
        <v>288</v>
      </c>
      <c r="F509" s="6">
        <f>'Пр.3 Рд,пр, ЦС,ВР 20'!F523</f>
        <v>0</v>
      </c>
      <c r="G509" s="6">
        <f t="shared" si="35"/>
        <v>0</v>
      </c>
    </row>
    <row r="510" spans="1:7" ht="15.75" hidden="1" x14ac:dyDescent="0.25">
      <c r="A510" s="25" t="s">
        <v>289</v>
      </c>
      <c r="B510" s="20" t="s">
        <v>279</v>
      </c>
      <c r="C510" s="20" t="s">
        <v>133</v>
      </c>
      <c r="D510" s="20" t="s">
        <v>1007</v>
      </c>
      <c r="E510" s="20" t="s">
        <v>290</v>
      </c>
      <c r="F510" s="6">
        <f>'Пр.3 Рд,пр, ЦС,ВР 20'!F524</f>
        <v>0</v>
      </c>
      <c r="G510" s="6">
        <f t="shared" si="35"/>
        <v>0</v>
      </c>
    </row>
    <row r="511" spans="1:7" ht="31.5" hidden="1" x14ac:dyDescent="0.25">
      <c r="A511" s="25" t="s">
        <v>295</v>
      </c>
      <c r="B511" s="20" t="s">
        <v>279</v>
      </c>
      <c r="C511" s="20" t="s">
        <v>133</v>
      </c>
      <c r="D511" s="20" t="s">
        <v>1008</v>
      </c>
      <c r="E511" s="20"/>
      <c r="F511" s="6">
        <f>'Пр.3 Рд,пр, ЦС,ВР 20'!F525</f>
        <v>0</v>
      </c>
      <c r="G511" s="6">
        <f t="shared" si="35"/>
        <v>0</v>
      </c>
    </row>
    <row r="512" spans="1:7" ht="47.25" hidden="1" x14ac:dyDescent="0.25">
      <c r="A512" s="25" t="s">
        <v>287</v>
      </c>
      <c r="B512" s="20" t="s">
        <v>279</v>
      </c>
      <c r="C512" s="20" t="s">
        <v>133</v>
      </c>
      <c r="D512" s="20" t="s">
        <v>1008</v>
      </c>
      <c r="E512" s="20" t="s">
        <v>288</v>
      </c>
      <c r="F512" s="6">
        <f>'Пр.3 Рд,пр, ЦС,ВР 20'!F526</f>
        <v>0</v>
      </c>
      <c r="G512" s="6">
        <f t="shared" si="35"/>
        <v>0</v>
      </c>
    </row>
    <row r="513" spans="1:7" ht="15.75" hidden="1" x14ac:dyDescent="0.25">
      <c r="A513" s="25" t="s">
        <v>289</v>
      </c>
      <c r="B513" s="20" t="s">
        <v>279</v>
      </c>
      <c r="C513" s="20" t="s">
        <v>133</v>
      </c>
      <c r="D513" s="20" t="s">
        <v>1008</v>
      </c>
      <c r="E513" s="20" t="s">
        <v>290</v>
      </c>
      <c r="F513" s="6">
        <f>'Пр.3 Рд,пр, ЦС,ВР 20'!F527</f>
        <v>0</v>
      </c>
      <c r="G513" s="6">
        <f t="shared" si="35"/>
        <v>0</v>
      </c>
    </row>
    <row r="514" spans="1:7" ht="47.25" x14ac:dyDescent="0.25">
      <c r="A514" s="29" t="s">
        <v>430</v>
      </c>
      <c r="B514" s="20" t="s">
        <v>279</v>
      </c>
      <c r="C514" s="20" t="s">
        <v>133</v>
      </c>
      <c r="D514" s="20" t="s">
        <v>1009</v>
      </c>
      <c r="E514" s="20"/>
      <c r="F514" s="6">
        <f>F515</f>
        <v>4430</v>
      </c>
      <c r="G514" s="6">
        <f>G515</f>
        <v>4430</v>
      </c>
    </row>
    <row r="515" spans="1:7" ht="47.25" x14ac:dyDescent="0.25">
      <c r="A515" s="25" t="s">
        <v>287</v>
      </c>
      <c r="B515" s="20" t="s">
        <v>279</v>
      </c>
      <c r="C515" s="20" t="s">
        <v>133</v>
      </c>
      <c r="D515" s="20" t="s">
        <v>1009</v>
      </c>
      <c r="E515" s="20" t="s">
        <v>288</v>
      </c>
      <c r="F515" s="6">
        <f>F516</f>
        <v>4430</v>
      </c>
      <c r="G515" s="6">
        <f>G516</f>
        <v>4430</v>
      </c>
    </row>
    <row r="516" spans="1:7" ht="15.75" x14ac:dyDescent="0.25">
      <c r="A516" s="25" t="s">
        <v>289</v>
      </c>
      <c r="B516" s="20" t="s">
        <v>279</v>
      </c>
      <c r="C516" s="20" t="s">
        <v>133</v>
      </c>
      <c r="D516" s="20" t="s">
        <v>1009</v>
      </c>
      <c r="E516" s="20" t="s">
        <v>290</v>
      </c>
      <c r="F516" s="6">
        <f>'пр.4.1.ведом.21-22'!G583</f>
        <v>4430</v>
      </c>
      <c r="G516" s="6">
        <f>'пр.4.1.ведом.21-22'!H583</f>
        <v>4430</v>
      </c>
    </row>
    <row r="517" spans="1:7" ht="47.25" x14ac:dyDescent="0.25">
      <c r="A517" s="246" t="s">
        <v>1075</v>
      </c>
      <c r="B517" s="24" t="s">
        <v>279</v>
      </c>
      <c r="C517" s="24" t="s">
        <v>133</v>
      </c>
      <c r="D517" s="24" t="s">
        <v>1010</v>
      </c>
      <c r="E517" s="24"/>
      <c r="F517" s="4">
        <f>F518+F521+F524</f>
        <v>4610</v>
      </c>
      <c r="G517" s="4">
        <f>G518+G521+G524</f>
        <v>4610</v>
      </c>
    </row>
    <row r="518" spans="1:7" ht="31.5" hidden="1" x14ac:dyDescent="0.25">
      <c r="A518" s="25" t="s">
        <v>299</v>
      </c>
      <c r="B518" s="20" t="s">
        <v>279</v>
      </c>
      <c r="C518" s="20" t="s">
        <v>133</v>
      </c>
      <c r="D518" s="20" t="s">
        <v>1011</v>
      </c>
      <c r="E518" s="20"/>
      <c r="F518" s="6">
        <f>'Пр.3 Рд,пр, ЦС,ВР 20'!F532</f>
        <v>0</v>
      </c>
      <c r="G518" s="6">
        <f t="shared" si="35"/>
        <v>0</v>
      </c>
    </row>
    <row r="519" spans="1:7" ht="47.25" hidden="1" x14ac:dyDescent="0.25">
      <c r="A519" s="25" t="s">
        <v>287</v>
      </c>
      <c r="B519" s="20" t="s">
        <v>279</v>
      </c>
      <c r="C519" s="20" t="s">
        <v>133</v>
      </c>
      <c r="D519" s="20" t="s">
        <v>1011</v>
      </c>
      <c r="E519" s="20" t="s">
        <v>288</v>
      </c>
      <c r="F519" s="6">
        <f>'Пр.3 Рд,пр, ЦС,ВР 20'!F533</f>
        <v>0</v>
      </c>
      <c r="G519" s="6">
        <f t="shared" si="35"/>
        <v>0</v>
      </c>
    </row>
    <row r="520" spans="1:7" ht="15.75" hidden="1" x14ac:dyDescent="0.25">
      <c r="A520" s="25" t="s">
        <v>289</v>
      </c>
      <c r="B520" s="20" t="s">
        <v>279</v>
      </c>
      <c r="C520" s="20" t="s">
        <v>133</v>
      </c>
      <c r="D520" s="20" t="s">
        <v>1011</v>
      </c>
      <c r="E520" s="20" t="s">
        <v>290</v>
      </c>
      <c r="F520" s="6">
        <f>'Пр.3 Рд,пр, ЦС,ВР 20'!F534</f>
        <v>0</v>
      </c>
      <c r="G520" s="6">
        <f t="shared" si="35"/>
        <v>0</v>
      </c>
    </row>
    <row r="521" spans="1:7" ht="47.25" x14ac:dyDescent="0.25">
      <c r="A521" s="60" t="s">
        <v>785</v>
      </c>
      <c r="B521" s="20" t="s">
        <v>279</v>
      </c>
      <c r="C521" s="20" t="s">
        <v>133</v>
      </c>
      <c r="D521" s="20" t="s">
        <v>1012</v>
      </c>
      <c r="E521" s="20"/>
      <c r="F521" s="6">
        <f>F522</f>
        <v>2850</v>
      </c>
      <c r="G521" s="6">
        <f>G522</f>
        <v>2850</v>
      </c>
    </row>
    <row r="522" spans="1:7" ht="47.25" x14ac:dyDescent="0.25">
      <c r="A522" s="29" t="s">
        <v>287</v>
      </c>
      <c r="B522" s="20" t="s">
        <v>279</v>
      </c>
      <c r="C522" s="20" t="s">
        <v>133</v>
      </c>
      <c r="D522" s="20" t="s">
        <v>1012</v>
      </c>
      <c r="E522" s="20" t="s">
        <v>288</v>
      </c>
      <c r="F522" s="6">
        <f>F523</f>
        <v>2850</v>
      </c>
      <c r="G522" s="6">
        <f>G523</f>
        <v>2850</v>
      </c>
    </row>
    <row r="523" spans="1:7" ht="15.75" x14ac:dyDescent="0.25">
      <c r="A523" s="193" t="s">
        <v>289</v>
      </c>
      <c r="B523" s="20" t="s">
        <v>279</v>
      </c>
      <c r="C523" s="20" t="s">
        <v>133</v>
      </c>
      <c r="D523" s="20" t="s">
        <v>1012</v>
      </c>
      <c r="E523" s="20" t="s">
        <v>290</v>
      </c>
      <c r="F523" s="6">
        <f>'пр.4.1.ведом.21-22'!G590</f>
        <v>2850</v>
      </c>
      <c r="G523" s="6">
        <f>'пр.4.1.ведом.21-22'!H590</f>
        <v>2850</v>
      </c>
    </row>
    <row r="524" spans="1:7" ht="63" x14ac:dyDescent="0.25">
      <c r="A524" s="60" t="s">
        <v>786</v>
      </c>
      <c r="B524" s="20" t="s">
        <v>279</v>
      </c>
      <c r="C524" s="20" t="s">
        <v>133</v>
      </c>
      <c r="D524" s="20" t="s">
        <v>1013</v>
      </c>
      <c r="E524" s="20"/>
      <c r="F524" s="6">
        <f>F525</f>
        <v>1760</v>
      </c>
      <c r="G524" s="6">
        <f>G525</f>
        <v>1760</v>
      </c>
    </row>
    <row r="525" spans="1:7" ht="47.25" x14ac:dyDescent="0.25">
      <c r="A525" s="29" t="s">
        <v>287</v>
      </c>
      <c r="B525" s="20" t="s">
        <v>279</v>
      </c>
      <c r="C525" s="20" t="s">
        <v>133</v>
      </c>
      <c r="D525" s="20" t="s">
        <v>1013</v>
      </c>
      <c r="E525" s="20" t="s">
        <v>288</v>
      </c>
      <c r="F525" s="6">
        <f>F526</f>
        <v>1760</v>
      </c>
      <c r="G525" s="6">
        <f>G526</f>
        <v>1760</v>
      </c>
    </row>
    <row r="526" spans="1:7" ht="15.75" x14ac:dyDescent="0.25">
      <c r="A526" s="193" t="s">
        <v>289</v>
      </c>
      <c r="B526" s="20" t="s">
        <v>279</v>
      </c>
      <c r="C526" s="20" t="s">
        <v>133</v>
      </c>
      <c r="D526" s="20" t="s">
        <v>1013</v>
      </c>
      <c r="E526" s="20" t="s">
        <v>290</v>
      </c>
      <c r="F526" s="6">
        <f>'пр.4.1.ведом.21-22'!G593</f>
        <v>1760</v>
      </c>
      <c r="G526" s="6">
        <f>'пр.4.1.ведом.21-22'!H593</f>
        <v>1760</v>
      </c>
    </row>
    <row r="527" spans="1:7" ht="78" customHeight="1" x14ac:dyDescent="0.25">
      <c r="A527" s="23" t="s">
        <v>1014</v>
      </c>
      <c r="B527" s="24" t="s">
        <v>279</v>
      </c>
      <c r="C527" s="24" t="s">
        <v>133</v>
      </c>
      <c r="D527" s="24" t="s">
        <v>1015</v>
      </c>
      <c r="E527" s="24"/>
      <c r="F527" s="4">
        <f>F528+F531</f>
        <v>291.10000000000002</v>
      </c>
      <c r="G527" s="4">
        <f>G528+G531</f>
        <v>291.10000000000002</v>
      </c>
    </row>
    <row r="528" spans="1:7" ht="173.25" x14ac:dyDescent="0.25">
      <c r="A528" s="25" t="s">
        <v>1468</v>
      </c>
      <c r="B528" s="20" t="s">
        <v>279</v>
      </c>
      <c r="C528" s="20" t="s">
        <v>133</v>
      </c>
      <c r="D528" s="20" t="s">
        <v>1016</v>
      </c>
      <c r="E528" s="20"/>
      <c r="F528" s="6">
        <f>F529</f>
        <v>124.4</v>
      </c>
      <c r="G528" s="6">
        <f>G529</f>
        <v>124.4</v>
      </c>
    </row>
    <row r="529" spans="1:7" ht="47.25" x14ac:dyDescent="0.25">
      <c r="A529" s="29" t="s">
        <v>287</v>
      </c>
      <c r="B529" s="20" t="s">
        <v>279</v>
      </c>
      <c r="C529" s="20" t="s">
        <v>133</v>
      </c>
      <c r="D529" s="20" t="s">
        <v>1016</v>
      </c>
      <c r="E529" s="20" t="s">
        <v>288</v>
      </c>
      <c r="F529" s="6">
        <f>F530</f>
        <v>124.4</v>
      </c>
      <c r="G529" s="6">
        <f>G530</f>
        <v>124.4</v>
      </c>
    </row>
    <row r="530" spans="1:7" ht="15.75" x14ac:dyDescent="0.25">
      <c r="A530" s="193" t="s">
        <v>289</v>
      </c>
      <c r="B530" s="20" t="s">
        <v>279</v>
      </c>
      <c r="C530" s="20" t="s">
        <v>133</v>
      </c>
      <c r="D530" s="20" t="s">
        <v>1016</v>
      </c>
      <c r="E530" s="20" t="s">
        <v>290</v>
      </c>
      <c r="F530" s="6">
        <f>'пр.4.1.ведом.21-22'!G597</f>
        <v>124.4</v>
      </c>
      <c r="G530" s="6">
        <f>'пр.4.1.ведом.21-22'!H597</f>
        <v>124.4</v>
      </c>
    </row>
    <row r="531" spans="1:7" ht="173.25" x14ac:dyDescent="0.25">
      <c r="A531" s="25" t="s">
        <v>438</v>
      </c>
      <c r="B531" s="20" t="s">
        <v>279</v>
      </c>
      <c r="C531" s="20" t="s">
        <v>133</v>
      </c>
      <c r="D531" s="20" t="s">
        <v>1017</v>
      </c>
      <c r="E531" s="20"/>
      <c r="F531" s="6">
        <f>F532</f>
        <v>166.7</v>
      </c>
      <c r="G531" s="6">
        <f>G532</f>
        <v>166.7</v>
      </c>
    </row>
    <row r="532" spans="1:7" ht="47.25" x14ac:dyDescent="0.25">
      <c r="A532" s="25" t="s">
        <v>287</v>
      </c>
      <c r="B532" s="20" t="s">
        <v>279</v>
      </c>
      <c r="C532" s="20" t="s">
        <v>133</v>
      </c>
      <c r="D532" s="20" t="s">
        <v>1017</v>
      </c>
      <c r="E532" s="20" t="s">
        <v>288</v>
      </c>
      <c r="F532" s="6">
        <f>F533</f>
        <v>166.7</v>
      </c>
      <c r="G532" s="6">
        <f>G533</f>
        <v>166.7</v>
      </c>
    </row>
    <row r="533" spans="1:7" ht="15.75" x14ac:dyDescent="0.25">
      <c r="A533" s="25" t="s">
        <v>289</v>
      </c>
      <c r="B533" s="20" t="s">
        <v>279</v>
      </c>
      <c r="C533" s="20" t="s">
        <v>133</v>
      </c>
      <c r="D533" s="20" t="s">
        <v>1017</v>
      </c>
      <c r="E533" s="20" t="s">
        <v>290</v>
      </c>
      <c r="F533" s="6">
        <f>'пр.4.1.ведом.21-22'!G600</f>
        <v>166.7</v>
      </c>
      <c r="G533" s="6">
        <f>'пр.4.1.ведом.21-22'!H600</f>
        <v>166.7</v>
      </c>
    </row>
    <row r="534" spans="1:7" s="221" customFormat="1" ht="126" x14ac:dyDescent="0.25">
      <c r="A534" s="23" t="s">
        <v>1405</v>
      </c>
      <c r="B534" s="24" t="s">
        <v>279</v>
      </c>
      <c r="C534" s="24" t="s">
        <v>133</v>
      </c>
      <c r="D534" s="24" t="s">
        <v>1403</v>
      </c>
      <c r="E534" s="24"/>
      <c r="F534" s="21">
        <f>F535+F538</f>
        <v>1666.6</v>
      </c>
      <c r="G534" s="21">
        <f>G535+G538</f>
        <v>1666.6</v>
      </c>
    </row>
    <row r="535" spans="1:7" s="221" customFormat="1" ht="110.25" x14ac:dyDescent="0.25">
      <c r="A535" s="151" t="s">
        <v>1469</v>
      </c>
      <c r="B535" s="20" t="s">
        <v>279</v>
      </c>
      <c r="C535" s="20" t="s">
        <v>133</v>
      </c>
      <c r="D535" s="20" t="s">
        <v>1407</v>
      </c>
      <c r="E535" s="20"/>
      <c r="F535" s="26">
        <f>F536</f>
        <v>0</v>
      </c>
      <c r="G535" s="26">
        <f>G536</f>
        <v>0</v>
      </c>
    </row>
    <row r="536" spans="1:7" s="221" customFormat="1" ht="47.25" x14ac:dyDescent="0.25">
      <c r="A536" s="25" t="s">
        <v>287</v>
      </c>
      <c r="B536" s="20" t="s">
        <v>279</v>
      </c>
      <c r="C536" s="20" t="s">
        <v>133</v>
      </c>
      <c r="D536" s="20" t="s">
        <v>1407</v>
      </c>
      <c r="E536" s="20" t="s">
        <v>288</v>
      </c>
      <c r="F536" s="26">
        <f>F537</f>
        <v>0</v>
      </c>
      <c r="G536" s="26">
        <f>G537</f>
        <v>0</v>
      </c>
    </row>
    <row r="537" spans="1:7" s="221" customFormat="1" ht="15.75" x14ac:dyDescent="0.25">
      <c r="A537" s="25" t="s">
        <v>289</v>
      </c>
      <c r="B537" s="20" t="s">
        <v>279</v>
      </c>
      <c r="C537" s="20" t="s">
        <v>133</v>
      </c>
      <c r="D537" s="20" t="s">
        <v>1407</v>
      </c>
      <c r="E537" s="20" t="s">
        <v>290</v>
      </c>
      <c r="F537" s="26">
        <f>'пр.4.1.ведом.21-22'!G609</f>
        <v>0</v>
      </c>
      <c r="G537" s="6">
        <f>'пр.4.1.ведом.21-22'!H609</f>
        <v>0</v>
      </c>
    </row>
    <row r="538" spans="1:7" s="221" customFormat="1" ht="116.45" customHeight="1" x14ac:dyDescent="0.25">
      <c r="A538" s="151" t="s">
        <v>1404</v>
      </c>
      <c r="B538" s="20" t="s">
        <v>279</v>
      </c>
      <c r="C538" s="20" t="s">
        <v>133</v>
      </c>
      <c r="D538" s="20" t="s">
        <v>1406</v>
      </c>
      <c r="E538" s="20"/>
      <c r="F538" s="26">
        <f>F539</f>
        <v>1666.6</v>
      </c>
      <c r="G538" s="26">
        <f>G539</f>
        <v>1666.6</v>
      </c>
    </row>
    <row r="539" spans="1:7" s="221" customFormat="1" ht="47.25" x14ac:dyDescent="0.25">
      <c r="A539" s="25" t="s">
        <v>287</v>
      </c>
      <c r="B539" s="20" t="s">
        <v>279</v>
      </c>
      <c r="C539" s="20" t="s">
        <v>133</v>
      </c>
      <c r="D539" s="20" t="s">
        <v>1406</v>
      </c>
      <c r="E539" s="20" t="s">
        <v>288</v>
      </c>
      <c r="F539" s="26">
        <f>F540</f>
        <v>1666.6</v>
      </c>
      <c r="G539" s="26">
        <f>G540</f>
        <v>1666.6</v>
      </c>
    </row>
    <row r="540" spans="1:7" s="221" customFormat="1" ht="15.75" x14ac:dyDescent="0.25">
      <c r="A540" s="25" t="s">
        <v>289</v>
      </c>
      <c r="B540" s="20" t="s">
        <v>279</v>
      </c>
      <c r="C540" s="20" t="s">
        <v>133</v>
      </c>
      <c r="D540" s="20" t="s">
        <v>1406</v>
      </c>
      <c r="E540" s="20" t="s">
        <v>290</v>
      </c>
      <c r="F540" s="26">
        <f>'пр.4.1.ведом.21-22'!G612</f>
        <v>1666.6</v>
      </c>
      <c r="G540" s="6">
        <f>'пр.4.1.ведом.21-22'!H612</f>
        <v>1666.6</v>
      </c>
    </row>
    <row r="541" spans="1:7" ht="78.75" hidden="1" x14ac:dyDescent="0.25">
      <c r="A541" s="34" t="s">
        <v>803</v>
      </c>
      <c r="B541" s="24" t="s">
        <v>279</v>
      </c>
      <c r="C541" s="24" t="s">
        <v>133</v>
      </c>
      <c r="D541" s="24" t="s">
        <v>339</v>
      </c>
      <c r="E541" s="24"/>
      <c r="F541" s="4">
        <f>F542</f>
        <v>0</v>
      </c>
      <c r="G541" s="4">
        <f>G542</f>
        <v>0</v>
      </c>
    </row>
    <row r="542" spans="1:7" ht="63" hidden="1" x14ac:dyDescent="0.25">
      <c r="A542" s="34" t="s">
        <v>1160</v>
      </c>
      <c r="B542" s="24" t="s">
        <v>279</v>
      </c>
      <c r="C542" s="24" t="s">
        <v>133</v>
      </c>
      <c r="D542" s="24" t="s">
        <v>1023</v>
      </c>
      <c r="E542" s="24"/>
      <c r="F542" s="4">
        <f>F543</f>
        <v>0</v>
      </c>
      <c r="G542" s="4">
        <f>G543</f>
        <v>0</v>
      </c>
    </row>
    <row r="543" spans="1:7" ht="63" hidden="1" x14ac:dyDescent="0.25">
      <c r="A543" s="31" t="s">
        <v>1159</v>
      </c>
      <c r="B543" s="20" t="s">
        <v>279</v>
      </c>
      <c r="C543" s="20" t="s">
        <v>133</v>
      </c>
      <c r="D543" s="20" t="s">
        <v>1024</v>
      </c>
      <c r="E543" s="20"/>
      <c r="F543" s="6">
        <f>'Пр.3 Рд,пр, ЦС,ВР 20'!F550</f>
        <v>0</v>
      </c>
      <c r="G543" s="6">
        <f t="shared" si="35"/>
        <v>0</v>
      </c>
    </row>
    <row r="544" spans="1:7" ht="47.25" hidden="1" x14ac:dyDescent="0.25">
      <c r="A544" s="31" t="s">
        <v>287</v>
      </c>
      <c r="B544" s="20" t="s">
        <v>279</v>
      </c>
      <c r="C544" s="20" t="s">
        <v>133</v>
      </c>
      <c r="D544" s="20" t="s">
        <v>1024</v>
      </c>
      <c r="E544" s="20" t="s">
        <v>288</v>
      </c>
      <c r="F544" s="6">
        <f>'Пр.3 Рд,пр, ЦС,ВР 20'!F551</f>
        <v>0</v>
      </c>
      <c r="G544" s="6">
        <f t="shared" si="35"/>
        <v>0</v>
      </c>
    </row>
    <row r="545" spans="1:7" ht="15.75" hidden="1" x14ac:dyDescent="0.25">
      <c r="A545" s="31" t="s">
        <v>289</v>
      </c>
      <c r="B545" s="20" t="s">
        <v>279</v>
      </c>
      <c r="C545" s="20" t="s">
        <v>133</v>
      </c>
      <c r="D545" s="20" t="s">
        <v>1024</v>
      </c>
      <c r="E545" s="20" t="s">
        <v>290</v>
      </c>
      <c r="F545" s="6">
        <f>'Пр.3 Рд,пр, ЦС,ВР 20'!F552</f>
        <v>0</v>
      </c>
      <c r="G545" s="6">
        <f t="shared" si="35"/>
        <v>0</v>
      </c>
    </row>
    <row r="546" spans="1:7" ht="78.75" x14ac:dyDescent="0.25">
      <c r="A546" s="41" t="s">
        <v>1429</v>
      </c>
      <c r="B546" s="24" t="s">
        <v>279</v>
      </c>
      <c r="C546" s="24" t="s">
        <v>133</v>
      </c>
      <c r="D546" s="24" t="s">
        <v>726</v>
      </c>
      <c r="E546" s="250"/>
      <c r="F546" s="4">
        <f>F547</f>
        <v>464.3</v>
      </c>
      <c r="G546" s="4">
        <f>G547</f>
        <v>464.3</v>
      </c>
    </row>
    <row r="547" spans="1:7" ht="63" x14ac:dyDescent="0.25">
      <c r="A547" s="41" t="s">
        <v>947</v>
      </c>
      <c r="B547" s="24" t="s">
        <v>279</v>
      </c>
      <c r="C547" s="24" t="s">
        <v>133</v>
      </c>
      <c r="D547" s="24" t="s">
        <v>945</v>
      </c>
      <c r="E547" s="250"/>
      <c r="F547" s="4">
        <f t="shared" ref="F547:G547" si="36">F548</f>
        <v>464.3</v>
      </c>
      <c r="G547" s="4">
        <f t="shared" si="36"/>
        <v>464.3</v>
      </c>
    </row>
    <row r="548" spans="1:7" ht="47.25" x14ac:dyDescent="0.25">
      <c r="A548" s="99" t="s">
        <v>801</v>
      </c>
      <c r="B548" s="20" t="s">
        <v>279</v>
      </c>
      <c r="C548" s="20" t="s">
        <v>133</v>
      </c>
      <c r="D548" s="20" t="s">
        <v>1025</v>
      </c>
      <c r="E548" s="32"/>
      <c r="F548" s="6">
        <f>F549</f>
        <v>464.3</v>
      </c>
      <c r="G548" s="6">
        <f>G549</f>
        <v>464.3</v>
      </c>
    </row>
    <row r="549" spans="1:7" ht="47.25" x14ac:dyDescent="0.25">
      <c r="A549" s="29" t="s">
        <v>287</v>
      </c>
      <c r="B549" s="20" t="s">
        <v>279</v>
      </c>
      <c r="C549" s="20" t="s">
        <v>133</v>
      </c>
      <c r="D549" s="20" t="s">
        <v>1025</v>
      </c>
      <c r="E549" s="32" t="s">
        <v>288</v>
      </c>
      <c r="F549" s="6">
        <f>F550</f>
        <v>464.3</v>
      </c>
      <c r="G549" s="6">
        <f>G550</f>
        <v>464.3</v>
      </c>
    </row>
    <row r="550" spans="1:7" ht="15.75" x14ac:dyDescent="0.25">
      <c r="A550" s="193" t="s">
        <v>289</v>
      </c>
      <c r="B550" s="20" t="s">
        <v>279</v>
      </c>
      <c r="C550" s="20" t="s">
        <v>133</v>
      </c>
      <c r="D550" s="20" t="s">
        <v>1025</v>
      </c>
      <c r="E550" s="32" t="s">
        <v>290</v>
      </c>
      <c r="F550" s="6">
        <f>'пр.4.1.ведом.21-22'!G617</f>
        <v>464.3</v>
      </c>
      <c r="G550" s="6">
        <f>'пр.4.1.ведом.21-22'!H617</f>
        <v>464.3</v>
      </c>
    </row>
    <row r="551" spans="1:7" ht="15.75" x14ac:dyDescent="0.25">
      <c r="A551" s="41" t="s">
        <v>440</v>
      </c>
      <c r="B551" s="7" t="s">
        <v>279</v>
      </c>
      <c r="C551" s="7" t="s">
        <v>228</v>
      </c>
      <c r="D551" s="7"/>
      <c r="E551" s="7"/>
      <c r="F551" s="4">
        <f>F552+F622+F627</f>
        <v>190807.1</v>
      </c>
      <c r="G551" s="4">
        <f>G552+G622+G627</f>
        <v>190815.6</v>
      </c>
    </row>
    <row r="552" spans="1:7" ht="47.25" x14ac:dyDescent="0.25">
      <c r="A552" s="23" t="s">
        <v>1435</v>
      </c>
      <c r="B552" s="24" t="s">
        <v>279</v>
      </c>
      <c r="C552" s="24" t="s">
        <v>228</v>
      </c>
      <c r="D552" s="24" t="s">
        <v>421</v>
      </c>
      <c r="E552" s="24"/>
      <c r="F552" s="4">
        <f>F553+F583</f>
        <v>190083.80000000002</v>
      </c>
      <c r="G552" s="4">
        <f>G553+G583</f>
        <v>190092.30000000002</v>
      </c>
    </row>
    <row r="553" spans="1:7" ht="47.25" x14ac:dyDescent="0.25">
      <c r="A553" s="23" t="s">
        <v>422</v>
      </c>
      <c r="B553" s="24" t="s">
        <v>279</v>
      </c>
      <c r="C553" s="24" t="s">
        <v>228</v>
      </c>
      <c r="D553" s="24" t="s">
        <v>423</v>
      </c>
      <c r="E553" s="24"/>
      <c r="F553" s="4">
        <f>F554+F564</f>
        <v>181239.7</v>
      </c>
      <c r="G553" s="4">
        <f>G554+G564</f>
        <v>181239.7</v>
      </c>
    </row>
    <row r="554" spans="1:7" ht="47.25" x14ac:dyDescent="0.25">
      <c r="A554" s="23" t="s">
        <v>1026</v>
      </c>
      <c r="B554" s="24" t="s">
        <v>279</v>
      </c>
      <c r="C554" s="24" t="s">
        <v>228</v>
      </c>
      <c r="D554" s="24" t="s">
        <v>1004</v>
      </c>
      <c r="E554" s="24"/>
      <c r="F554" s="4">
        <f>F555+F558+F561</f>
        <v>28803</v>
      </c>
      <c r="G554" s="4">
        <f>G555+G558+G561</f>
        <v>28803</v>
      </c>
    </row>
    <row r="555" spans="1:7" ht="63" x14ac:dyDescent="0.25">
      <c r="A555" s="25" t="s">
        <v>1066</v>
      </c>
      <c r="B555" s="20" t="s">
        <v>279</v>
      </c>
      <c r="C555" s="20" t="s">
        <v>228</v>
      </c>
      <c r="D555" s="20" t="s">
        <v>1063</v>
      </c>
      <c r="E555" s="20"/>
      <c r="F555" s="6">
        <f>F556</f>
        <v>9775.4</v>
      </c>
      <c r="G555" s="6">
        <f>G556</f>
        <v>9775.4</v>
      </c>
    </row>
    <row r="556" spans="1:7" ht="47.25" x14ac:dyDescent="0.25">
      <c r="A556" s="25" t="s">
        <v>287</v>
      </c>
      <c r="B556" s="20" t="s">
        <v>279</v>
      </c>
      <c r="C556" s="20" t="s">
        <v>228</v>
      </c>
      <c r="D556" s="20" t="s">
        <v>1063</v>
      </c>
      <c r="E556" s="20" t="s">
        <v>288</v>
      </c>
      <c r="F556" s="6">
        <f>F557</f>
        <v>9775.4</v>
      </c>
      <c r="G556" s="6">
        <f>G557</f>
        <v>9775.4</v>
      </c>
    </row>
    <row r="557" spans="1:7" ht="15.75" x14ac:dyDescent="0.25">
      <c r="A557" s="25" t="s">
        <v>289</v>
      </c>
      <c r="B557" s="20" t="s">
        <v>279</v>
      </c>
      <c r="C557" s="20" t="s">
        <v>228</v>
      </c>
      <c r="D557" s="20" t="s">
        <v>1063</v>
      </c>
      <c r="E557" s="20" t="s">
        <v>290</v>
      </c>
      <c r="F557" s="6">
        <f>'пр.4.1.ведом.21-22'!G624</f>
        <v>9775.4</v>
      </c>
      <c r="G557" s="6">
        <f>'пр.4.1.ведом.21-22'!H624</f>
        <v>9775.4</v>
      </c>
    </row>
    <row r="558" spans="1:7" ht="63" x14ac:dyDescent="0.25">
      <c r="A558" s="25" t="s">
        <v>1067</v>
      </c>
      <c r="B558" s="20" t="s">
        <v>279</v>
      </c>
      <c r="C558" s="20" t="s">
        <v>228</v>
      </c>
      <c r="D558" s="20" t="s">
        <v>1064</v>
      </c>
      <c r="E558" s="20"/>
      <c r="F558" s="6">
        <f>F559</f>
        <v>12351.7</v>
      </c>
      <c r="G558" s="6">
        <f>G559</f>
        <v>12351.7</v>
      </c>
    </row>
    <row r="559" spans="1:7" ht="47.25" x14ac:dyDescent="0.25">
      <c r="A559" s="25" t="s">
        <v>287</v>
      </c>
      <c r="B559" s="20" t="s">
        <v>279</v>
      </c>
      <c r="C559" s="20" t="s">
        <v>228</v>
      </c>
      <c r="D559" s="20" t="s">
        <v>1064</v>
      </c>
      <c r="E559" s="20" t="s">
        <v>288</v>
      </c>
      <c r="F559" s="6">
        <f>F560</f>
        <v>12351.7</v>
      </c>
      <c r="G559" s="6">
        <f>G560</f>
        <v>12351.7</v>
      </c>
    </row>
    <row r="560" spans="1:7" ht="15.75" x14ac:dyDescent="0.25">
      <c r="A560" s="25" t="s">
        <v>289</v>
      </c>
      <c r="B560" s="20" t="s">
        <v>279</v>
      </c>
      <c r="C560" s="20" t="s">
        <v>228</v>
      </c>
      <c r="D560" s="20" t="s">
        <v>1064</v>
      </c>
      <c r="E560" s="20" t="s">
        <v>290</v>
      </c>
      <c r="F560" s="6">
        <f>'пр.4.1.ведом.21-22'!G627</f>
        <v>12351.7</v>
      </c>
      <c r="G560" s="6">
        <f>'пр.4.1.ведом.21-22'!H627</f>
        <v>12351.7</v>
      </c>
    </row>
    <row r="561" spans="1:7" ht="63" x14ac:dyDescent="0.25">
      <c r="A561" s="25" t="s">
        <v>1068</v>
      </c>
      <c r="B561" s="20" t="s">
        <v>279</v>
      </c>
      <c r="C561" s="20" t="s">
        <v>228</v>
      </c>
      <c r="D561" s="20" t="s">
        <v>1065</v>
      </c>
      <c r="E561" s="20"/>
      <c r="F561" s="6">
        <f>F562</f>
        <v>6675.9</v>
      </c>
      <c r="G561" s="6">
        <f>G562</f>
        <v>6675.9</v>
      </c>
    </row>
    <row r="562" spans="1:7" ht="47.25" x14ac:dyDescent="0.25">
      <c r="A562" s="25" t="s">
        <v>287</v>
      </c>
      <c r="B562" s="20" t="s">
        <v>279</v>
      </c>
      <c r="C562" s="20" t="s">
        <v>228</v>
      </c>
      <c r="D562" s="20" t="s">
        <v>1065</v>
      </c>
      <c r="E562" s="20" t="s">
        <v>288</v>
      </c>
      <c r="F562" s="6">
        <f>F563</f>
        <v>6675.9</v>
      </c>
      <c r="G562" s="6">
        <f>G563</f>
        <v>6675.9</v>
      </c>
    </row>
    <row r="563" spans="1:7" ht="15.75" x14ac:dyDescent="0.25">
      <c r="A563" s="25" t="s">
        <v>289</v>
      </c>
      <c r="B563" s="20" t="s">
        <v>279</v>
      </c>
      <c r="C563" s="20" t="s">
        <v>228</v>
      </c>
      <c r="D563" s="20" t="s">
        <v>1065</v>
      </c>
      <c r="E563" s="20" t="s">
        <v>290</v>
      </c>
      <c r="F563" s="6">
        <f>'пр.4.1.ведом.21-22'!G630</f>
        <v>6675.9</v>
      </c>
      <c r="G563" s="6">
        <f>'пр.4.1.ведом.21-22'!H630</f>
        <v>6675.9</v>
      </c>
    </row>
    <row r="564" spans="1:7" ht="54" customHeight="1" x14ac:dyDescent="0.25">
      <c r="A564" s="23" t="s">
        <v>969</v>
      </c>
      <c r="B564" s="24" t="s">
        <v>279</v>
      </c>
      <c r="C564" s="24" t="s">
        <v>228</v>
      </c>
      <c r="D564" s="24" t="s">
        <v>1019</v>
      </c>
      <c r="E564" s="24"/>
      <c r="F564" s="4">
        <f>F568+F571+F574+F577+F580+F565</f>
        <v>152436.70000000001</v>
      </c>
      <c r="G564" s="4">
        <f>G568+G571+G574+G577+G580+G565</f>
        <v>152436.70000000001</v>
      </c>
    </row>
    <row r="565" spans="1:7" s="361" customFormat="1" ht="112.5" customHeight="1" x14ac:dyDescent="0.25">
      <c r="A565" s="31" t="s">
        <v>479</v>
      </c>
      <c r="B565" s="368" t="s">
        <v>279</v>
      </c>
      <c r="C565" s="368" t="s">
        <v>228</v>
      </c>
      <c r="D565" s="368" t="s">
        <v>1022</v>
      </c>
      <c r="E565" s="368"/>
      <c r="F565" s="6">
        <f>F566</f>
        <v>4841</v>
      </c>
      <c r="G565" s="6">
        <f>G566</f>
        <v>4841</v>
      </c>
    </row>
    <row r="566" spans="1:7" s="361" customFormat="1" ht="54" customHeight="1" x14ac:dyDescent="0.25">
      <c r="A566" s="372" t="s">
        <v>287</v>
      </c>
      <c r="B566" s="368" t="s">
        <v>279</v>
      </c>
      <c r="C566" s="368" t="s">
        <v>228</v>
      </c>
      <c r="D566" s="368" t="s">
        <v>1022</v>
      </c>
      <c r="E566" s="368" t="s">
        <v>288</v>
      </c>
      <c r="F566" s="6">
        <f>F567</f>
        <v>4841</v>
      </c>
      <c r="G566" s="6">
        <f>G567</f>
        <v>4841</v>
      </c>
    </row>
    <row r="567" spans="1:7" s="361" customFormat="1" ht="15.75" x14ac:dyDescent="0.25">
      <c r="A567" s="372" t="s">
        <v>289</v>
      </c>
      <c r="B567" s="368" t="s">
        <v>279</v>
      </c>
      <c r="C567" s="368" t="s">
        <v>228</v>
      </c>
      <c r="D567" s="368" t="s">
        <v>1022</v>
      </c>
      <c r="E567" s="368" t="s">
        <v>290</v>
      </c>
      <c r="F567" s="6">
        <f>'пр.4.1.ведом.21-22'!G634</f>
        <v>4841</v>
      </c>
      <c r="G567" s="6">
        <f>'пр.4.1.ведом.21-22'!H634</f>
        <v>4841</v>
      </c>
    </row>
    <row r="568" spans="1:7" ht="96" customHeight="1" x14ac:dyDescent="0.25">
      <c r="A568" s="31" t="s">
        <v>1461</v>
      </c>
      <c r="B568" s="20" t="s">
        <v>279</v>
      </c>
      <c r="C568" s="20" t="s">
        <v>228</v>
      </c>
      <c r="D568" s="20" t="s">
        <v>1047</v>
      </c>
      <c r="E568" s="20"/>
      <c r="F568" s="6">
        <f>F569</f>
        <v>143160</v>
      </c>
      <c r="G568" s="6">
        <f>G569</f>
        <v>143160</v>
      </c>
    </row>
    <row r="569" spans="1:7" ht="47.25" x14ac:dyDescent="0.25">
      <c r="A569" s="25" t="s">
        <v>287</v>
      </c>
      <c r="B569" s="20" t="s">
        <v>279</v>
      </c>
      <c r="C569" s="20" t="s">
        <v>228</v>
      </c>
      <c r="D569" s="20" t="s">
        <v>1047</v>
      </c>
      <c r="E569" s="20" t="s">
        <v>288</v>
      </c>
      <c r="F569" s="6">
        <f>F570</f>
        <v>143160</v>
      </c>
      <c r="G569" s="6">
        <f>G570</f>
        <v>143160</v>
      </c>
    </row>
    <row r="570" spans="1:7" ht="15.75" x14ac:dyDescent="0.25">
      <c r="A570" s="25" t="s">
        <v>289</v>
      </c>
      <c r="B570" s="20" t="s">
        <v>279</v>
      </c>
      <c r="C570" s="20" t="s">
        <v>228</v>
      </c>
      <c r="D570" s="20" t="s">
        <v>1047</v>
      </c>
      <c r="E570" s="20" t="s">
        <v>290</v>
      </c>
      <c r="F570" s="6">
        <f>'пр.4.1.ведом.21-22'!G637</f>
        <v>143160</v>
      </c>
      <c r="G570" s="6">
        <f>'пр.4.1.ведом.21-22'!H637</f>
        <v>143160</v>
      </c>
    </row>
    <row r="571" spans="1:7" ht="78.75" x14ac:dyDescent="0.25">
      <c r="A571" s="31" t="s">
        <v>304</v>
      </c>
      <c r="B571" s="20" t="s">
        <v>279</v>
      </c>
      <c r="C571" s="20" t="s">
        <v>228</v>
      </c>
      <c r="D571" s="20" t="s">
        <v>1018</v>
      </c>
      <c r="E571" s="20"/>
      <c r="F571" s="6">
        <f>F572</f>
        <v>1245.5999999999999</v>
      </c>
      <c r="G571" s="6">
        <f>G572</f>
        <v>1245.5999999999999</v>
      </c>
    </row>
    <row r="572" spans="1:7" ht="47.25" x14ac:dyDescent="0.25">
      <c r="A572" s="25" t="s">
        <v>287</v>
      </c>
      <c r="B572" s="20" t="s">
        <v>279</v>
      </c>
      <c r="C572" s="20" t="s">
        <v>228</v>
      </c>
      <c r="D572" s="20" t="s">
        <v>1018</v>
      </c>
      <c r="E572" s="20" t="s">
        <v>288</v>
      </c>
      <c r="F572" s="6">
        <f>F573</f>
        <v>1245.5999999999999</v>
      </c>
      <c r="G572" s="6">
        <f>G573</f>
        <v>1245.5999999999999</v>
      </c>
    </row>
    <row r="573" spans="1:7" ht="15.75" x14ac:dyDescent="0.25">
      <c r="A573" s="25" t="s">
        <v>289</v>
      </c>
      <c r="B573" s="20" t="s">
        <v>279</v>
      </c>
      <c r="C573" s="20" t="s">
        <v>228</v>
      </c>
      <c r="D573" s="20" t="s">
        <v>1018</v>
      </c>
      <c r="E573" s="20" t="s">
        <v>290</v>
      </c>
      <c r="F573" s="6">
        <f>'пр.4.1.ведом.21-22'!G640</f>
        <v>1245.5999999999999</v>
      </c>
      <c r="G573" s="6">
        <f>'пр.4.1.ведом.21-22'!H640</f>
        <v>1245.5999999999999</v>
      </c>
    </row>
    <row r="574" spans="1:7" ht="94.5" x14ac:dyDescent="0.25">
      <c r="A574" s="31" t="s">
        <v>306</v>
      </c>
      <c r="B574" s="20" t="s">
        <v>279</v>
      </c>
      <c r="C574" s="20" t="s">
        <v>228</v>
      </c>
      <c r="D574" s="20" t="s">
        <v>1021</v>
      </c>
      <c r="E574" s="20"/>
      <c r="F574" s="6">
        <f>F575</f>
        <v>2266.6999999999998</v>
      </c>
      <c r="G574" s="6">
        <f>G575</f>
        <v>2266.6999999999998</v>
      </c>
    </row>
    <row r="575" spans="1:7" ht="47.25" x14ac:dyDescent="0.25">
      <c r="A575" s="25" t="s">
        <v>287</v>
      </c>
      <c r="B575" s="20" t="s">
        <v>279</v>
      </c>
      <c r="C575" s="20" t="s">
        <v>228</v>
      </c>
      <c r="D575" s="20" t="s">
        <v>1021</v>
      </c>
      <c r="E575" s="20" t="s">
        <v>288</v>
      </c>
      <c r="F575" s="6">
        <f>F576</f>
        <v>2266.6999999999998</v>
      </c>
      <c r="G575" s="6">
        <f>G576</f>
        <v>2266.6999999999998</v>
      </c>
    </row>
    <row r="576" spans="1:7" ht="15.75" x14ac:dyDescent="0.25">
      <c r="A576" s="25" t="s">
        <v>289</v>
      </c>
      <c r="B576" s="20" t="s">
        <v>279</v>
      </c>
      <c r="C576" s="20" t="s">
        <v>228</v>
      </c>
      <c r="D576" s="20" t="s">
        <v>1021</v>
      </c>
      <c r="E576" s="20" t="s">
        <v>290</v>
      </c>
      <c r="F576" s="6">
        <f>'пр.4.1.ведом.21-22'!G643</f>
        <v>2266.6999999999998</v>
      </c>
      <c r="G576" s="6">
        <f>'пр.4.1.ведом.21-22'!H643</f>
        <v>2266.6999999999998</v>
      </c>
    </row>
    <row r="577" spans="1:7" ht="63" x14ac:dyDescent="0.25">
      <c r="A577" s="31" t="s">
        <v>477</v>
      </c>
      <c r="B577" s="20" t="s">
        <v>279</v>
      </c>
      <c r="C577" s="20" t="s">
        <v>228</v>
      </c>
      <c r="D577" s="20" t="s">
        <v>1048</v>
      </c>
      <c r="E577" s="20"/>
      <c r="F577" s="6">
        <f>F578</f>
        <v>923.4</v>
      </c>
      <c r="G577" s="6">
        <f>G578</f>
        <v>923.4</v>
      </c>
    </row>
    <row r="578" spans="1:7" ht="47.25" x14ac:dyDescent="0.25">
      <c r="A578" s="25" t="s">
        <v>287</v>
      </c>
      <c r="B578" s="20" t="s">
        <v>279</v>
      </c>
      <c r="C578" s="20" t="s">
        <v>228</v>
      </c>
      <c r="D578" s="20" t="s">
        <v>1048</v>
      </c>
      <c r="E578" s="20" t="s">
        <v>288</v>
      </c>
      <c r="F578" s="6">
        <f>F579</f>
        <v>923.4</v>
      </c>
      <c r="G578" s="6">
        <f>G579</f>
        <v>923.4</v>
      </c>
    </row>
    <row r="579" spans="1:7" ht="15.75" x14ac:dyDescent="0.25">
      <c r="A579" s="25" t="s">
        <v>289</v>
      </c>
      <c r="B579" s="20" t="s">
        <v>279</v>
      </c>
      <c r="C579" s="20" t="s">
        <v>228</v>
      </c>
      <c r="D579" s="20" t="s">
        <v>1048</v>
      </c>
      <c r="E579" s="20" t="s">
        <v>290</v>
      </c>
      <c r="F579" s="6">
        <f>'пр.4.1.ведом.21-22'!G646</f>
        <v>923.4</v>
      </c>
      <c r="G579" s="6">
        <f>'пр.4.1.ведом.21-22'!H646</f>
        <v>923.4</v>
      </c>
    </row>
    <row r="580" spans="1:7" ht="111.2" customHeight="1" x14ac:dyDescent="0.25">
      <c r="A580" s="31" t="s">
        <v>479</v>
      </c>
      <c r="B580" s="20" t="s">
        <v>279</v>
      </c>
      <c r="C580" s="20" t="s">
        <v>228</v>
      </c>
      <c r="D580" s="20" t="s">
        <v>1022</v>
      </c>
      <c r="E580" s="20"/>
      <c r="F580" s="6">
        <f>F581</f>
        <v>0</v>
      </c>
      <c r="G580" s="6">
        <f>G581</f>
        <v>0</v>
      </c>
    </row>
    <row r="581" spans="1:7" ht="47.25" x14ac:dyDescent="0.25">
      <c r="A581" s="25" t="s">
        <v>287</v>
      </c>
      <c r="B581" s="20" t="s">
        <v>279</v>
      </c>
      <c r="C581" s="20" t="s">
        <v>228</v>
      </c>
      <c r="D581" s="20" t="s">
        <v>1022</v>
      </c>
      <c r="E581" s="20" t="s">
        <v>288</v>
      </c>
      <c r="F581" s="6">
        <f>F582</f>
        <v>0</v>
      </c>
      <c r="G581" s="6">
        <f>G582</f>
        <v>0</v>
      </c>
    </row>
    <row r="582" spans="1:7" ht="15.75" x14ac:dyDescent="0.25">
      <c r="A582" s="25" t="s">
        <v>289</v>
      </c>
      <c r="B582" s="20" t="s">
        <v>279</v>
      </c>
      <c r="C582" s="20" t="s">
        <v>228</v>
      </c>
      <c r="D582" s="20" t="s">
        <v>1022</v>
      </c>
      <c r="E582" s="20" t="s">
        <v>290</v>
      </c>
      <c r="F582" s="6">
        <f>'пр.4.1.ведом.21-22'!G649</f>
        <v>0</v>
      </c>
      <c r="G582" s="6">
        <f>'пр.4.1.ведом.21-22'!H649</f>
        <v>0</v>
      </c>
    </row>
    <row r="583" spans="1:7" ht="47.25" x14ac:dyDescent="0.25">
      <c r="A583" s="288" t="s">
        <v>445</v>
      </c>
      <c r="B583" s="24" t="s">
        <v>279</v>
      </c>
      <c r="C583" s="24" t="s">
        <v>228</v>
      </c>
      <c r="D583" s="24" t="s">
        <v>446</v>
      </c>
      <c r="E583" s="24"/>
      <c r="F583" s="4">
        <f>F584+F597+F604+F611+F618</f>
        <v>8844.0999999999985</v>
      </c>
      <c r="G583" s="4">
        <f>G584+G597+G604+G611+G618</f>
        <v>8852.5999999999985</v>
      </c>
    </row>
    <row r="584" spans="1:7" ht="31.5" x14ac:dyDescent="0.25">
      <c r="A584" s="23" t="s">
        <v>1268</v>
      </c>
      <c r="B584" s="24" t="s">
        <v>279</v>
      </c>
      <c r="C584" s="24" t="s">
        <v>228</v>
      </c>
      <c r="D584" s="24" t="s">
        <v>1028</v>
      </c>
      <c r="E584" s="24"/>
      <c r="F584" s="4">
        <f>F585+F588+F591+F594</f>
        <v>224</v>
      </c>
      <c r="G584" s="4">
        <f>G585+G588+G591+G594</f>
        <v>224</v>
      </c>
    </row>
    <row r="585" spans="1:7" ht="47.25" hidden="1" x14ac:dyDescent="0.25">
      <c r="A585" s="25" t="s">
        <v>455</v>
      </c>
      <c r="B585" s="20" t="s">
        <v>279</v>
      </c>
      <c r="C585" s="20" t="s">
        <v>228</v>
      </c>
      <c r="D585" s="20" t="s">
        <v>1032</v>
      </c>
      <c r="E585" s="20"/>
      <c r="F585" s="6">
        <f>'Пр.3 Рд,пр, ЦС,ВР 20'!F599</f>
        <v>0</v>
      </c>
      <c r="G585" s="6">
        <f>'Пр.3 Рд,пр, ЦС,ВР 20'!G599</f>
        <v>0</v>
      </c>
    </row>
    <row r="586" spans="1:7" ht="47.25" hidden="1" x14ac:dyDescent="0.25">
      <c r="A586" s="25" t="s">
        <v>287</v>
      </c>
      <c r="B586" s="20" t="s">
        <v>279</v>
      </c>
      <c r="C586" s="20" t="s">
        <v>228</v>
      </c>
      <c r="D586" s="20" t="s">
        <v>1032</v>
      </c>
      <c r="E586" s="20" t="s">
        <v>288</v>
      </c>
      <c r="F586" s="6">
        <f>'Пр.3 Рд,пр, ЦС,ВР 20'!F600</f>
        <v>0</v>
      </c>
      <c r="G586" s="6">
        <f>'Пр.3 Рд,пр, ЦС,ВР 20'!G600</f>
        <v>0</v>
      </c>
    </row>
    <row r="587" spans="1:7" ht="15.75" hidden="1" x14ac:dyDescent="0.25">
      <c r="A587" s="25" t="s">
        <v>289</v>
      </c>
      <c r="B587" s="20" t="s">
        <v>279</v>
      </c>
      <c r="C587" s="20" t="s">
        <v>228</v>
      </c>
      <c r="D587" s="20" t="s">
        <v>1032</v>
      </c>
      <c r="E587" s="20" t="s">
        <v>290</v>
      </c>
      <c r="F587" s="6">
        <f>'Пр.3 Рд,пр, ЦС,ВР 20'!F601</f>
        <v>0</v>
      </c>
      <c r="G587" s="6">
        <f>'Пр.3 Рд,пр, ЦС,ВР 20'!G601</f>
        <v>0</v>
      </c>
    </row>
    <row r="588" spans="1:7" ht="47.25" hidden="1" x14ac:dyDescent="0.25">
      <c r="A588" s="25" t="s">
        <v>293</v>
      </c>
      <c r="B588" s="20" t="s">
        <v>279</v>
      </c>
      <c r="C588" s="20" t="s">
        <v>228</v>
      </c>
      <c r="D588" s="20" t="s">
        <v>1033</v>
      </c>
      <c r="E588" s="20"/>
      <c r="F588" s="6">
        <f>'Пр.3 Рд,пр, ЦС,ВР 20'!F602</f>
        <v>0</v>
      </c>
      <c r="G588" s="6">
        <f>'Пр.3 Рд,пр, ЦС,ВР 20'!G602</f>
        <v>0</v>
      </c>
    </row>
    <row r="589" spans="1:7" ht="47.25" hidden="1" x14ac:dyDescent="0.25">
      <c r="A589" s="25" t="s">
        <v>287</v>
      </c>
      <c r="B589" s="20" t="s">
        <v>279</v>
      </c>
      <c r="C589" s="20" t="s">
        <v>228</v>
      </c>
      <c r="D589" s="20" t="s">
        <v>1033</v>
      </c>
      <c r="E589" s="20" t="s">
        <v>288</v>
      </c>
      <c r="F589" s="6">
        <f>'Пр.3 Рд,пр, ЦС,ВР 20'!F603</f>
        <v>0</v>
      </c>
      <c r="G589" s="6">
        <f>'Пр.3 Рд,пр, ЦС,ВР 20'!G603</f>
        <v>0</v>
      </c>
    </row>
    <row r="590" spans="1:7" ht="15.75" hidden="1" x14ac:dyDescent="0.25">
      <c r="A590" s="25" t="s">
        <v>289</v>
      </c>
      <c r="B590" s="20" t="s">
        <v>279</v>
      </c>
      <c r="C590" s="20" t="s">
        <v>228</v>
      </c>
      <c r="D590" s="20" t="s">
        <v>1033</v>
      </c>
      <c r="E590" s="20" t="s">
        <v>290</v>
      </c>
      <c r="F590" s="6">
        <f>'Пр.3 Рд,пр, ЦС,ВР 20'!F604</f>
        <v>0</v>
      </c>
      <c r="G590" s="6">
        <f>'Пр.3 Рд,пр, ЦС,ВР 20'!G604</f>
        <v>0</v>
      </c>
    </row>
    <row r="591" spans="1:7" ht="31.5" hidden="1" x14ac:dyDescent="0.25">
      <c r="A591" s="25" t="s">
        <v>295</v>
      </c>
      <c r="B591" s="20" t="s">
        <v>279</v>
      </c>
      <c r="C591" s="20" t="s">
        <v>228</v>
      </c>
      <c r="D591" s="20" t="s">
        <v>1034</v>
      </c>
      <c r="E591" s="20"/>
      <c r="F591" s="6">
        <f>F592</f>
        <v>0</v>
      </c>
      <c r="G591" s="6">
        <f>G592</f>
        <v>0</v>
      </c>
    </row>
    <row r="592" spans="1:7" ht="47.25" hidden="1" x14ac:dyDescent="0.25">
      <c r="A592" s="25" t="s">
        <v>287</v>
      </c>
      <c r="B592" s="20" t="s">
        <v>279</v>
      </c>
      <c r="C592" s="20" t="s">
        <v>228</v>
      </c>
      <c r="D592" s="20" t="s">
        <v>1034</v>
      </c>
      <c r="E592" s="20" t="s">
        <v>288</v>
      </c>
      <c r="F592" s="6">
        <f>F593</f>
        <v>0</v>
      </c>
      <c r="G592" s="6">
        <f>G593</f>
        <v>0</v>
      </c>
    </row>
    <row r="593" spans="1:7" ht="15.75" hidden="1" x14ac:dyDescent="0.25">
      <c r="A593" s="25" t="s">
        <v>289</v>
      </c>
      <c r="B593" s="20" t="s">
        <v>279</v>
      </c>
      <c r="C593" s="20" t="s">
        <v>228</v>
      </c>
      <c r="D593" s="20" t="s">
        <v>1034</v>
      </c>
      <c r="E593" s="20" t="s">
        <v>290</v>
      </c>
      <c r="F593" s="6">
        <f>'пр.4.1.ведом.21-22'!G660</f>
        <v>0</v>
      </c>
      <c r="G593" s="6">
        <f>'пр.4.1.ведом.21-22'!H660</f>
        <v>0</v>
      </c>
    </row>
    <row r="594" spans="1:7" ht="47.25" x14ac:dyDescent="0.25">
      <c r="A594" s="25" t="s">
        <v>297</v>
      </c>
      <c r="B594" s="20" t="s">
        <v>279</v>
      </c>
      <c r="C594" s="20" t="s">
        <v>228</v>
      </c>
      <c r="D594" s="20" t="s">
        <v>1035</v>
      </c>
      <c r="E594" s="20"/>
      <c r="F594" s="6">
        <f>F595</f>
        <v>224</v>
      </c>
      <c r="G594" s="6">
        <f>G595</f>
        <v>224</v>
      </c>
    </row>
    <row r="595" spans="1:7" ht="47.25" x14ac:dyDescent="0.25">
      <c r="A595" s="25" t="s">
        <v>287</v>
      </c>
      <c r="B595" s="20" t="s">
        <v>279</v>
      </c>
      <c r="C595" s="20" t="s">
        <v>228</v>
      </c>
      <c r="D595" s="20" t="s">
        <v>1035</v>
      </c>
      <c r="E595" s="20" t="s">
        <v>288</v>
      </c>
      <c r="F595" s="6">
        <f>F596</f>
        <v>224</v>
      </c>
      <c r="G595" s="6">
        <f>G596</f>
        <v>224</v>
      </c>
    </row>
    <row r="596" spans="1:7" ht="15.75" x14ac:dyDescent="0.25">
      <c r="A596" s="25" t="s">
        <v>289</v>
      </c>
      <c r="B596" s="20" t="s">
        <v>279</v>
      </c>
      <c r="C596" s="20" t="s">
        <v>228</v>
      </c>
      <c r="D596" s="20" t="s">
        <v>1035</v>
      </c>
      <c r="E596" s="20" t="s">
        <v>290</v>
      </c>
      <c r="F596" s="6">
        <f>'пр.4.1.ведом.21-22'!G663</f>
        <v>224</v>
      </c>
      <c r="G596" s="6">
        <f>'пр.4.1.ведом.21-22'!H663</f>
        <v>224</v>
      </c>
    </row>
    <row r="597" spans="1:7" ht="47.25" x14ac:dyDescent="0.25">
      <c r="A597" s="23" t="s">
        <v>1029</v>
      </c>
      <c r="B597" s="24" t="s">
        <v>279</v>
      </c>
      <c r="C597" s="24" t="s">
        <v>228</v>
      </c>
      <c r="D597" s="24" t="s">
        <v>1030</v>
      </c>
      <c r="E597" s="24"/>
      <c r="F597" s="4">
        <f>F598+F601</f>
        <v>3943.4</v>
      </c>
      <c r="G597" s="4">
        <f>G598+G601</f>
        <v>3951.9</v>
      </c>
    </row>
    <row r="598" spans="1:7" ht="56.25" customHeight="1" x14ac:dyDescent="0.25">
      <c r="A598" s="29" t="s">
        <v>617</v>
      </c>
      <c r="B598" s="20" t="s">
        <v>279</v>
      </c>
      <c r="C598" s="20" t="s">
        <v>228</v>
      </c>
      <c r="D598" s="20" t="s">
        <v>1036</v>
      </c>
      <c r="E598" s="20"/>
      <c r="F598" s="6">
        <f>F599</f>
        <v>2200</v>
      </c>
      <c r="G598" s="6">
        <f>G599</f>
        <v>2200</v>
      </c>
    </row>
    <row r="599" spans="1:7" ht="47.25" x14ac:dyDescent="0.25">
      <c r="A599" s="25" t="s">
        <v>287</v>
      </c>
      <c r="B599" s="20" t="s">
        <v>279</v>
      </c>
      <c r="C599" s="20" t="s">
        <v>228</v>
      </c>
      <c r="D599" s="20" t="s">
        <v>1036</v>
      </c>
      <c r="E599" s="20" t="s">
        <v>288</v>
      </c>
      <c r="F599" s="6">
        <f>F600</f>
        <v>2200</v>
      </c>
      <c r="G599" s="6">
        <f>G600</f>
        <v>2200</v>
      </c>
    </row>
    <row r="600" spans="1:7" ht="15.75" x14ac:dyDescent="0.25">
      <c r="A600" s="25" t="s">
        <v>289</v>
      </c>
      <c r="B600" s="20" t="s">
        <v>279</v>
      </c>
      <c r="C600" s="20" t="s">
        <v>228</v>
      </c>
      <c r="D600" s="20" t="s">
        <v>1036</v>
      </c>
      <c r="E600" s="20" t="s">
        <v>290</v>
      </c>
      <c r="F600" s="6">
        <f>'пр.4.1.ведом.21-22'!G667</f>
        <v>2200</v>
      </c>
      <c r="G600" s="6">
        <f>'пр.4.1.ведом.21-22'!H667</f>
        <v>2200</v>
      </c>
    </row>
    <row r="601" spans="1:7" ht="31.5" x14ac:dyDescent="0.25">
      <c r="A601" s="25" t="s">
        <v>471</v>
      </c>
      <c r="B601" s="20" t="s">
        <v>279</v>
      </c>
      <c r="C601" s="20" t="s">
        <v>228</v>
      </c>
      <c r="D601" s="20" t="s">
        <v>1037</v>
      </c>
      <c r="E601" s="20"/>
      <c r="F601" s="6">
        <f>F602</f>
        <v>1743.4</v>
      </c>
      <c r="G601" s="6">
        <f>G602</f>
        <v>1751.9</v>
      </c>
    </row>
    <row r="602" spans="1:7" ht="47.25" x14ac:dyDescent="0.25">
      <c r="A602" s="25" t="s">
        <v>287</v>
      </c>
      <c r="B602" s="20" t="s">
        <v>279</v>
      </c>
      <c r="C602" s="20" t="s">
        <v>228</v>
      </c>
      <c r="D602" s="20" t="s">
        <v>1037</v>
      </c>
      <c r="E602" s="20" t="s">
        <v>288</v>
      </c>
      <c r="F602" s="6">
        <f>F603</f>
        <v>1743.4</v>
      </c>
      <c r="G602" s="6">
        <f>G603</f>
        <v>1751.9</v>
      </c>
    </row>
    <row r="603" spans="1:7" ht="15.75" x14ac:dyDescent="0.25">
      <c r="A603" s="25" t="s">
        <v>289</v>
      </c>
      <c r="B603" s="20" t="s">
        <v>279</v>
      </c>
      <c r="C603" s="20" t="s">
        <v>228</v>
      </c>
      <c r="D603" s="20" t="s">
        <v>1037</v>
      </c>
      <c r="E603" s="20" t="s">
        <v>290</v>
      </c>
      <c r="F603" s="6">
        <f>'пр.4.1.ведом.21-22'!G670</f>
        <v>1743.4</v>
      </c>
      <c r="G603" s="6">
        <f>'пр.4.1.ведом.21-22'!H670</f>
        <v>1751.9</v>
      </c>
    </row>
    <row r="604" spans="1:7" ht="31.5" x14ac:dyDescent="0.25">
      <c r="A604" s="23" t="s">
        <v>1031</v>
      </c>
      <c r="B604" s="24" t="s">
        <v>279</v>
      </c>
      <c r="C604" s="24" t="s">
        <v>228</v>
      </c>
      <c r="D604" s="24" t="s">
        <v>1038</v>
      </c>
      <c r="E604" s="24"/>
      <c r="F604" s="4">
        <f>F605+F608</f>
        <v>1364.7</v>
      </c>
      <c r="G604" s="4">
        <f>G605+G608</f>
        <v>1364.7</v>
      </c>
    </row>
    <row r="605" spans="1:7" ht="63" x14ac:dyDescent="0.25">
      <c r="A605" s="25" t="s">
        <v>453</v>
      </c>
      <c r="B605" s="20" t="s">
        <v>279</v>
      </c>
      <c r="C605" s="20" t="s">
        <v>228</v>
      </c>
      <c r="D605" s="20" t="s">
        <v>1039</v>
      </c>
      <c r="E605" s="20"/>
      <c r="F605" s="6">
        <f>F606</f>
        <v>868</v>
      </c>
      <c r="G605" s="6">
        <f>G606</f>
        <v>868</v>
      </c>
    </row>
    <row r="606" spans="1:7" ht="47.25" x14ac:dyDescent="0.25">
      <c r="A606" s="25" t="s">
        <v>287</v>
      </c>
      <c r="B606" s="20" t="s">
        <v>279</v>
      </c>
      <c r="C606" s="20" t="s">
        <v>228</v>
      </c>
      <c r="D606" s="20" t="s">
        <v>1039</v>
      </c>
      <c r="E606" s="20" t="s">
        <v>288</v>
      </c>
      <c r="F606" s="6">
        <f>F607</f>
        <v>868</v>
      </c>
      <c r="G606" s="6">
        <f>G607</f>
        <v>868</v>
      </c>
    </row>
    <row r="607" spans="1:7" ht="15.75" x14ac:dyDescent="0.25">
      <c r="A607" s="25" t="s">
        <v>289</v>
      </c>
      <c r="B607" s="20" t="s">
        <v>279</v>
      </c>
      <c r="C607" s="20" t="s">
        <v>228</v>
      </c>
      <c r="D607" s="20" t="s">
        <v>1039</v>
      </c>
      <c r="E607" s="20" t="s">
        <v>290</v>
      </c>
      <c r="F607" s="6">
        <f>'пр.4.1.ведом.21-22'!G674</f>
        <v>868</v>
      </c>
      <c r="G607" s="6">
        <f>'пр.4.1.ведом.21-22'!H674</f>
        <v>868</v>
      </c>
    </row>
    <row r="608" spans="1:7" ht="47.25" x14ac:dyDescent="0.25">
      <c r="A608" s="25" t="s">
        <v>473</v>
      </c>
      <c r="B608" s="20" t="s">
        <v>279</v>
      </c>
      <c r="C608" s="20" t="s">
        <v>228</v>
      </c>
      <c r="D608" s="20" t="s">
        <v>1040</v>
      </c>
      <c r="E608" s="20"/>
      <c r="F608" s="6">
        <f>F609</f>
        <v>496.7</v>
      </c>
      <c r="G608" s="6">
        <f>G609</f>
        <v>496.7</v>
      </c>
    </row>
    <row r="609" spans="1:7" ht="47.25" x14ac:dyDescent="0.25">
      <c r="A609" s="289" t="s">
        <v>287</v>
      </c>
      <c r="B609" s="20" t="s">
        <v>279</v>
      </c>
      <c r="C609" s="20" t="s">
        <v>228</v>
      </c>
      <c r="D609" s="20" t="s">
        <v>1040</v>
      </c>
      <c r="E609" s="20" t="s">
        <v>288</v>
      </c>
      <c r="F609" s="6">
        <f>F610</f>
        <v>496.7</v>
      </c>
      <c r="G609" s="6">
        <f>G610</f>
        <v>496.7</v>
      </c>
    </row>
    <row r="610" spans="1:7" ht="15.75" x14ac:dyDescent="0.25">
      <c r="A610" s="25" t="s">
        <v>289</v>
      </c>
      <c r="B610" s="20" t="s">
        <v>279</v>
      </c>
      <c r="C610" s="20" t="s">
        <v>228</v>
      </c>
      <c r="D610" s="20" t="s">
        <v>1040</v>
      </c>
      <c r="E610" s="20" t="s">
        <v>290</v>
      </c>
      <c r="F610" s="6">
        <f>'пр.4.1.ведом.21-22'!G677</f>
        <v>496.7</v>
      </c>
      <c r="G610" s="6">
        <f>'пр.4.1.ведом.21-22'!H677</f>
        <v>496.7</v>
      </c>
    </row>
    <row r="611" spans="1:7" ht="47.25" x14ac:dyDescent="0.25">
      <c r="A611" s="246" t="s">
        <v>1075</v>
      </c>
      <c r="B611" s="24" t="s">
        <v>279</v>
      </c>
      <c r="C611" s="24" t="s">
        <v>228</v>
      </c>
      <c r="D611" s="24" t="s">
        <v>1041</v>
      </c>
      <c r="E611" s="24"/>
      <c r="F611" s="4">
        <f>F612+F615</f>
        <v>2634</v>
      </c>
      <c r="G611" s="4">
        <f>G612+G615</f>
        <v>2634</v>
      </c>
    </row>
    <row r="612" spans="1:7" ht="31.5" hidden="1" x14ac:dyDescent="0.25">
      <c r="A612" s="25" t="s">
        <v>299</v>
      </c>
      <c r="B612" s="20" t="s">
        <v>279</v>
      </c>
      <c r="C612" s="20" t="s">
        <v>228</v>
      </c>
      <c r="D612" s="20" t="s">
        <v>1043</v>
      </c>
      <c r="E612" s="20"/>
      <c r="F612" s="6">
        <f>'Пр.3 Рд,пр, ЦС,ВР 20'!F626</f>
        <v>0</v>
      </c>
      <c r="G612" s="6">
        <f>'Пр.3 Рд,пр, ЦС,ВР 20'!G626</f>
        <v>0</v>
      </c>
    </row>
    <row r="613" spans="1:7" ht="47.25" hidden="1" x14ac:dyDescent="0.25">
      <c r="A613" s="25" t="s">
        <v>287</v>
      </c>
      <c r="B613" s="20" t="s">
        <v>279</v>
      </c>
      <c r="C613" s="20" t="s">
        <v>228</v>
      </c>
      <c r="D613" s="20" t="s">
        <v>1043</v>
      </c>
      <c r="E613" s="20" t="s">
        <v>288</v>
      </c>
      <c r="F613" s="6">
        <f>'Пр.3 Рд,пр, ЦС,ВР 20'!F627</f>
        <v>0</v>
      </c>
      <c r="G613" s="6">
        <f>'Пр.3 Рд,пр, ЦС,ВР 20'!G627</f>
        <v>0</v>
      </c>
    </row>
    <row r="614" spans="1:7" ht="15.75" hidden="1" x14ac:dyDescent="0.25">
      <c r="A614" s="25" t="s">
        <v>289</v>
      </c>
      <c r="B614" s="20" t="s">
        <v>279</v>
      </c>
      <c r="C614" s="20" t="s">
        <v>228</v>
      </c>
      <c r="D614" s="20" t="s">
        <v>1043</v>
      </c>
      <c r="E614" s="20" t="s">
        <v>290</v>
      </c>
      <c r="F614" s="6">
        <f>'Пр.3 Рд,пр, ЦС,ВР 20'!F628</f>
        <v>0</v>
      </c>
      <c r="G614" s="6">
        <f>'Пр.3 Рд,пр, ЦС,ВР 20'!G628</f>
        <v>0</v>
      </c>
    </row>
    <row r="615" spans="1:7" ht="47.25" x14ac:dyDescent="0.25">
      <c r="A615" s="60" t="s">
        <v>785</v>
      </c>
      <c r="B615" s="20" t="s">
        <v>279</v>
      </c>
      <c r="C615" s="20" t="s">
        <v>228</v>
      </c>
      <c r="D615" s="20" t="s">
        <v>1044</v>
      </c>
      <c r="E615" s="20"/>
      <c r="F615" s="6">
        <f>F616</f>
        <v>2634</v>
      </c>
      <c r="G615" s="6">
        <f>G616</f>
        <v>2634</v>
      </c>
    </row>
    <row r="616" spans="1:7" ht="47.25" x14ac:dyDescent="0.25">
      <c r="A616" s="29" t="s">
        <v>287</v>
      </c>
      <c r="B616" s="20" t="s">
        <v>279</v>
      </c>
      <c r="C616" s="20" t="s">
        <v>228</v>
      </c>
      <c r="D616" s="20" t="s">
        <v>1044</v>
      </c>
      <c r="E616" s="20" t="s">
        <v>288</v>
      </c>
      <c r="F616" s="6">
        <f>F617</f>
        <v>2634</v>
      </c>
      <c r="G616" s="6">
        <f>G617</f>
        <v>2634</v>
      </c>
    </row>
    <row r="617" spans="1:7" ht="15.75" x14ac:dyDescent="0.25">
      <c r="A617" s="193" t="s">
        <v>289</v>
      </c>
      <c r="B617" s="20" t="s">
        <v>279</v>
      </c>
      <c r="C617" s="20" t="s">
        <v>228</v>
      </c>
      <c r="D617" s="20" t="s">
        <v>1044</v>
      </c>
      <c r="E617" s="20" t="s">
        <v>290</v>
      </c>
      <c r="F617" s="6">
        <f>'пр.4.1.ведом.21-22'!G684</f>
        <v>2634</v>
      </c>
      <c r="G617" s="6">
        <f>'пр.4.1.ведом.21-22'!H684</f>
        <v>2634</v>
      </c>
    </row>
    <row r="618" spans="1:7" ht="47.25" x14ac:dyDescent="0.25">
      <c r="A618" s="244" t="s">
        <v>1046</v>
      </c>
      <c r="B618" s="24" t="s">
        <v>279</v>
      </c>
      <c r="C618" s="24" t="s">
        <v>228</v>
      </c>
      <c r="D618" s="24" t="s">
        <v>1042</v>
      </c>
      <c r="E618" s="24"/>
      <c r="F618" s="4">
        <f t="shared" ref="F618:G618" si="37">F619</f>
        <v>678</v>
      </c>
      <c r="G618" s="4">
        <f t="shared" si="37"/>
        <v>678</v>
      </c>
    </row>
    <row r="619" spans="1:7" ht="63" x14ac:dyDescent="0.25">
      <c r="A619" s="193" t="s">
        <v>872</v>
      </c>
      <c r="B619" s="20" t="s">
        <v>279</v>
      </c>
      <c r="C619" s="20" t="s">
        <v>228</v>
      </c>
      <c r="D619" s="20" t="s">
        <v>1045</v>
      </c>
      <c r="E619" s="20"/>
      <c r="F619" s="6">
        <f>F620</f>
        <v>678</v>
      </c>
      <c r="G619" s="6">
        <f>G620</f>
        <v>678</v>
      </c>
    </row>
    <row r="620" spans="1:7" ht="47.25" x14ac:dyDescent="0.25">
      <c r="A620" s="31" t="s">
        <v>287</v>
      </c>
      <c r="B620" s="20" t="s">
        <v>279</v>
      </c>
      <c r="C620" s="20" t="s">
        <v>228</v>
      </c>
      <c r="D620" s="20" t="s">
        <v>1045</v>
      </c>
      <c r="E620" s="20" t="s">
        <v>288</v>
      </c>
      <c r="F620" s="6">
        <f>F621</f>
        <v>678</v>
      </c>
      <c r="G620" s="6">
        <f>G621</f>
        <v>678</v>
      </c>
    </row>
    <row r="621" spans="1:7" ht="15.75" x14ac:dyDescent="0.25">
      <c r="A621" s="31" t="s">
        <v>289</v>
      </c>
      <c r="B621" s="20" t="s">
        <v>279</v>
      </c>
      <c r="C621" s="20" t="s">
        <v>228</v>
      </c>
      <c r="D621" s="20" t="s">
        <v>1045</v>
      </c>
      <c r="E621" s="20" t="s">
        <v>290</v>
      </c>
      <c r="F621" s="6">
        <f>'пр.4.1.ведом.21-22'!G688</f>
        <v>678</v>
      </c>
      <c r="G621" s="6">
        <f>'пр.4.1.ведом.21-22'!H688</f>
        <v>678</v>
      </c>
    </row>
    <row r="622" spans="1:7" ht="78.75" hidden="1" x14ac:dyDescent="0.25">
      <c r="A622" s="34" t="s">
        <v>803</v>
      </c>
      <c r="B622" s="24" t="s">
        <v>279</v>
      </c>
      <c r="C622" s="24" t="s">
        <v>228</v>
      </c>
      <c r="D622" s="24" t="s">
        <v>339</v>
      </c>
      <c r="E622" s="24"/>
      <c r="F622" s="4">
        <f t="shared" ref="F622:G622" si="38">F623</f>
        <v>0</v>
      </c>
      <c r="G622" s="4">
        <f t="shared" si="38"/>
        <v>0</v>
      </c>
    </row>
    <row r="623" spans="1:7" ht="63" hidden="1" x14ac:dyDescent="0.25">
      <c r="A623" s="34" t="s">
        <v>1188</v>
      </c>
      <c r="B623" s="24" t="s">
        <v>279</v>
      </c>
      <c r="C623" s="24" t="s">
        <v>228</v>
      </c>
      <c r="D623" s="24" t="s">
        <v>1023</v>
      </c>
      <c r="E623" s="24"/>
      <c r="F623" s="4">
        <f t="shared" ref="F623:G625" si="39">F624</f>
        <v>0</v>
      </c>
      <c r="G623" s="4">
        <f t="shared" si="39"/>
        <v>0</v>
      </c>
    </row>
    <row r="624" spans="1:7" ht="63" hidden="1" x14ac:dyDescent="0.25">
      <c r="A624" s="31" t="s">
        <v>1159</v>
      </c>
      <c r="B624" s="20" t="s">
        <v>279</v>
      </c>
      <c r="C624" s="20" t="s">
        <v>228</v>
      </c>
      <c r="D624" s="20" t="s">
        <v>1024</v>
      </c>
      <c r="E624" s="20"/>
      <c r="F624" s="6">
        <f t="shared" si="39"/>
        <v>0</v>
      </c>
      <c r="G624" s="6">
        <f t="shared" si="39"/>
        <v>0</v>
      </c>
    </row>
    <row r="625" spans="1:7" ht="47.25" hidden="1" x14ac:dyDescent="0.25">
      <c r="A625" s="31" t="s">
        <v>287</v>
      </c>
      <c r="B625" s="20" t="s">
        <v>279</v>
      </c>
      <c r="C625" s="20" t="s">
        <v>228</v>
      </c>
      <c r="D625" s="20" t="s">
        <v>1024</v>
      </c>
      <c r="E625" s="20" t="s">
        <v>288</v>
      </c>
      <c r="F625" s="6">
        <f t="shared" si="39"/>
        <v>0</v>
      </c>
      <c r="G625" s="6">
        <f t="shared" si="39"/>
        <v>0</v>
      </c>
    </row>
    <row r="626" spans="1:7" ht="15.75" hidden="1" x14ac:dyDescent="0.25">
      <c r="A626" s="31" t="s">
        <v>289</v>
      </c>
      <c r="B626" s="20" t="s">
        <v>279</v>
      </c>
      <c r="C626" s="20" t="s">
        <v>228</v>
      </c>
      <c r="D626" s="20" t="s">
        <v>1024</v>
      </c>
      <c r="E626" s="20" t="s">
        <v>290</v>
      </c>
      <c r="F626" s="6">
        <f>'пр.4.1.ведом.21-22'!G693</f>
        <v>0</v>
      </c>
      <c r="G626" s="6">
        <f>'пр.4.1.ведом.21-22'!H693</f>
        <v>0</v>
      </c>
    </row>
    <row r="627" spans="1:7" ht="78.75" x14ac:dyDescent="0.25">
      <c r="A627" s="41" t="s">
        <v>1429</v>
      </c>
      <c r="B627" s="24" t="s">
        <v>279</v>
      </c>
      <c r="C627" s="24" t="s">
        <v>228</v>
      </c>
      <c r="D627" s="24" t="s">
        <v>726</v>
      </c>
      <c r="E627" s="250"/>
      <c r="F627" s="4">
        <f t="shared" ref="F627:G628" si="40">F628</f>
        <v>723.3</v>
      </c>
      <c r="G627" s="4">
        <f t="shared" si="40"/>
        <v>723.3</v>
      </c>
    </row>
    <row r="628" spans="1:7" ht="63" x14ac:dyDescent="0.25">
      <c r="A628" s="41" t="s">
        <v>947</v>
      </c>
      <c r="B628" s="24" t="s">
        <v>279</v>
      </c>
      <c r="C628" s="24" t="s">
        <v>228</v>
      </c>
      <c r="D628" s="24" t="s">
        <v>945</v>
      </c>
      <c r="E628" s="250"/>
      <c r="F628" s="4">
        <f t="shared" si="40"/>
        <v>723.3</v>
      </c>
      <c r="G628" s="4">
        <f t="shared" si="40"/>
        <v>723.3</v>
      </c>
    </row>
    <row r="629" spans="1:7" ht="47.25" x14ac:dyDescent="0.25">
      <c r="A629" s="99" t="s">
        <v>801</v>
      </c>
      <c r="B629" s="20" t="s">
        <v>279</v>
      </c>
      <c r="C629" s="20" t="s">
        <v>228</v>
      </c>
      <c r="D629" s="20" t="s">
        <v>1025</v>
      </c>
      <c r="E629" s="32"/>
      <c r="F629" s="6">
        <f>F630</f>
        <v>723.3</v>
      </c>
      <c r="G629" s="6">
        <f>G630</f>
        <v>723.3</v>
      </c>
    </row>
    <row r="630" spans="1:7" ht="47.25" x14ac:dyDescent="0.25">
      <c r="A630" s="29" t="s">
        <v>287</v>
      </c>
      <c r="B630" s="20" t="s">
        <v>279</v>
      </c>
      <c r="C630" s="20" t="s">
        <v>228</v>
      </c>
      <c r="D630" s="20" t="s">
        <v>1025</v>
      </c>
      <c r="E630" s="32" t="s">
        <v>288</v>
      </c>
      <c r="F630" s="6">
        <f>F631</f>
        <v>723.3</v>
      </c>
      <c r="G630" s="6">
        <f>G631</f>
        <v>723.3</v>
      </c>
    </row>
    <row r="631" spans="1:7" ht="15.75" x14ac:dyDescent="0.25">
      <c r="A631" s="193" t="s">
        <v>289</v>
      </c>
      <c r="B631" s="20" t="s">
        <v>279</v>
      </c>
      <c r="C631" s="20" t="s">
        <v>228</v>
      </c>
      <c r="D631" s="20" t="s">
        <v>1025</v>
      </c>
      <c r="E631" s="32" t="s">
        <v>290</v>
      </c>
      <c r="F631" s="6">
        <f>'пр.4.1.ведом.21-22'!G698</f>
        <v>723.3</v>
      </c>
      <c r="G631" s="6">
        <f>'пр.4.1.ведом.21-22'!H698</f>
        <v>723.3</v>
      </c>
    </row>
    <row r="632" spans="1:7" ht="15.75" x14ac:dyDescent="0.25">
      <c r="A632" s="41" t="s">
        <v>280</v>
      </c>
      <c r="B632" s="7" t="s">
        <v>279</v>
      </c>
      <c r="C632" s="7" t="s">
        <v>230</v>
      </c>
      <c r="D632" s="24"/>
      <c r="E632" s="7"/>
      <c r="F632" s="4">
        <f>F633+F661+F698</f>
        <v>52091.599999999991</v>
      </c>
      <c r="G632" s="4">
        <f>G633+G661+G698</f>
        <v>52091.599999999991</v>
      </c>
    </row>
    <row r="633" spans="1:7" ht="47.25" x14ac:dyDescent="0.25">
      <c r="A633" s="23" t="s">
        <v>1435</v>
      </c>
      <c r="B633" s="24" t="s">
        <v>279</v>
      </c>
      <c r="C633" s="24" t="s">
        <v>230</v>
      </c>
      <c r="D633" s="24" t="s">
        <v>421</v>
      </c>
      <c r="E633" s="24"/>
      <c r="F633" s="4">
        <f>F634+F652</f>
        <v>34926.199999999997</v>
      </c>
      <c r="G633" s="4">
        <f>G634+G652</f>
        <v>34926.199999999997</v>
      </c>
    </row>
    <row r="634" spans="1:7" ht="47.25" x14ac:dyDescent="0.25">
      <c r="A634" s="23" t="s">
        <v>422</v>
      </c>
      <c r="B634" s="24" t="s">
        <v>279</v>
      </c>
      <c r="C634" s="24" t="s">
        <v>230</v>
      </c>
      <c r="D634" s="24" t="s">
        <v>423</v>
      </c>
      <c r="E634" s="24"/>
      <c r="F634" s="4">
        <f>F635+F639</f>
        <v>34237.199999999997</v>
      </c>
      <c r="G634" s="4">
        <f>G635+G639</f>
        <v>34237.199999999997</v>
      </c>
    </row>
    <row r="635" spans="1:7" ht="47.25" x14ac:dyDescent="0.25">
      <c r="A635" s="23" t="s">
        <v>1026</v>
      </c>
      <c r="B635" s="24" t="s">
        <v>279</v>
      </c>
      <c r="C635" s="24" t="s">
        <v>230</v>
      </c>
      <c r="D635" s="24" t="s">
        <v>1004</v>
      </c>
      <c r="E635" s="24"/>
      <c r="F635" s="4">
        <f t="shared" ref="F635:G635" si="41">F636</f>
        <v>32615</v>
      </c>
      <c r="G635" s="4">
        <f t="shared" si="41"/>
        <v>32615</v>
      </c>
    </row>
    <row r="636" spans="1:7" ht="47.25" x14ac:dyDescent="0.25">
      <c r="A636" s="25" t="s">
        <v>285</v>
      </c>
      <c r="B636" s="20" t="s">
        <v>279</v>
      </c>
      <c r="C636" s="20" t="s">
        <v>230</v>
      </c>
      <c r="D636" s="20" t="s">
        <v>1049</v>
      </c>
      <c r="E636" s="20"/>
      <c r="F636" s="6">
        <f>F637</f>
        <v>32615</v>
      </c>
      <c r="G636" s="6">
        <f>G637</f>
        <v>32615</v>
      </c>
    </row>
    <row r="637" spans="1:7" ht="47.25" x14ac:dyDescent="0.25">
      <c r="A637" s="25" t="s">
        <v>287</v>
      </c>
      <c r="B637" s="20" t="s">
        <v>279</v>
      </c>
      <c r="C637" s="20" t="s">
        <v>230</v>
      </c>
      <c r="D637" s="20" t="s">
        <v>1049</v>
      </c>
      <c r="E637" s="20" t="s">
        <v>288</v>
      </c>
      <c r="F637" s="6">
        <f>F638</f>
        <v>32615</v>
      </c>
      <c r="G637" s="6">
        <f>G638</f>
        <v>32615</v>
      </c>
    </row>
    <row r="638" spans="1:7" ht="15.75" x14ac:dyDescent="0.25">
      <c r="A638" s="25" t="s">
        <v>289</v>
      </c>
      <c r="B638" s="20" t="s">
        <v>279</v>
      </c>
      <c r="C638" s="20" t="s">
        <v>230</v>
      </c>
      <c r="D638" s="20" t="s">
        <v>1049</v>
      </c>
      <c r="E638" s="20" t="s">
        <v>290</v>
      </c>
      <c r="F638" s="6">
        <f>'пр.4.1.ведом.21-22'!G705</f>
        <v>32615</v>
      </c>
      <c r="G638" s="6">
        <f>'пр.4.1.ведом.21-22'!H705</f>
        <v>32615</v>
      </c>
    </row>
    <row r="639" spans="1:7" ht="63" x14ac:dyDescent="0.25">
      <c r="A639" s="23" t="s">
        <v>969</v>
      </c>
      <c r="B639" s="24" t="s">
        <v>279</v>
      </c>
      <c r="C639" s="24" t="s">
        <v>230</v>
      </c>
      <c r="D639" s="24" t="s">
        <v>1019</v>
      </c>
      <c r="E639" s="24"/>
      <c r="F639" s="4">
        <f>F643+F646+F649+F640</f>
        <v>1622.1999999999998</v>
      </c>
      <c r="G639" s="4">
        <f>G643+G646+G649+G640</f>
        <v>1622.1999999999998</v>
      </c>
    </row>
    <row r="640" spans="1:7" s="361" customFormat="1" ht="126" x14ac:dyDescent="0.25">
      <c r="A640" s="31" t="s">
        <v>308</v>
      </c>
      <c r="B640" s="368" t="s">
        <v>279</v>
      </c>
      <c r="C640" s="368" t="s">
        <v>230</v>
      </c>
      <c r="D640" s="368" t="s">
        <v>1523</v>
      </c>
      <c r="E640" s="368"/>
      <c r="F640" s="6">
        <f>F641</f>
        <v>903.4</v>
      </c>
      <c r="G640" s="6">
        <f>G641</f>
        <v>903.4</v>
      </c>
    </row>
    <row r="641" spans="1:7" s="361" customFormat="1" ht="47.25" x14ac:dyDescent="0.25">
      <c r="A641" s="372" t="s">
        <v>287</v>
      </c>
      <c r="B641" s="368" t="s">
        <v>279</v>
      </c>
      <c r="C641" s="368" t="s">
        <v>230</v>
      </c>
      <c r="D641" s="368" t="s">
        <v>1523</v>
      </c>
      <c r="E641" s="368" t="s">
        <v>288</v>
      </c>
      <c r="F641" s="6">
        <f>F642</f>
        <v>903.4</v>
      </c>
      <c r="G641" s="6">
        <f>G642</f>
        <v>903.4</v>
      </c>
    </row>
    <row r="642" spans="1:7" s="361" customFormat="1" ht="15.75" x14ac:dyDescent="0.25">
      <c r="A642" s="372" t="s">
        <v>289</v>
      </c>
      <c r="B642" s="368" t="s">
        <v>279</v>
      </c>
      <c r="C642" s="368" t="s">
        <v>230</v>
      </c>
      <c r="D642" s="368" t="s">
        <v>1523</v>
      </c>
      <c r="E642" s="368" t="s">
        <v>290</v>
      </c>
      <c r="F642" s="6">
        <f>'пр.4.1.ведом.21-22'!G709</f>
        <v>903.4</v>
      </c>
      <c r="G642" s="6">
        <f>'пр.4.1.ведом.21-22'!H709</f>
        <v>903.4</v>
      </c>
    </row>
    <row r="643" spans="1:7" ht="78.75" x14ac:dyDescent="0.25">
      <c r="A643" s="31" t="s">
        <v>304</v>
      </c>
      <c r="B643" s="20" t="s">
        <v>279</v>
      </c>
      <c r="C643" s="20" t="s">
        <v>230</v>
      </c>
      <c r="D643" s="20" t="s">
        <v>1018</v>
      </c>
      <c r="E643" s="20"/>
      <c r="F643" s="6">
        <f>F644</f>
        <v>169.3</v>
      </c>
      <c r="G643" s="6">
        <f>G644</f>
        <v>169.3</v>
      </c>
    </row>
    <row r="644" spans="1:7" ht="47.25" x14ac:dyDescent="0.25">
      <c r="A644" s="25" t="s">
        <v>287</v>
      </c>
      <c r="B644" s="20" t="s">
        <v>279</v>
      </c>
      <c r="C644" s="20" t="s">
        <v>230</v>
      </c>
      <c r="D644" s="20" t="s">
        <v>1018</v>
      </c>
      <c r="E644" s="20" t="s">
        <v>288</v>
      </c>
      <c r="F644" s="6">
        <f>F645</f>
        <v>169.3</v>
      </c>
      <c r="G644" s="6">
        <f>G645</f>
        <v>169.3</v>
      </c>
    </row>
    <row r="645" spans="1:7" ht="15.75" x14ac:dyDescent="0.25">
      <c r="A645" s="25" t="s">
        <v>289</v>
      </c>
      <c r="B645" s="20" t="s">
        <v>279</v>
      </c>
      <c r="C645" s="20" t="s">
        <v>230</v>
      </c>
      <c r="D645" s="20" t="s">
        <v>1018</v>
      </c>
      <c r="E645" s="20" t="s">
        <v>290</v>
      </c>
      <c r="F645" s="6">
        <f>'пр.4.1.ведом.21-22'!G712</f>
        <v>169.3</v>
      </c>
      <c r="G645" s="6">
        <f>'пр.4.1.ведом.21-22'!H712</f>
        <v>169.3</v>
      </c>
    </row>
    <row r="646" spans="1:7" ht="94.5" x14ac:dyDescent="0.25">
      <c r="A646" s="31" t="s">
        <v>306</v>
      </c>
      <c r="B646" s="20" t="s">
        <v>279</v>
      </c>
      <c r="C646" s="20" t="s">
        <v>230</v>
      </c>
      <c r="D646" s="20" t="s">
        <v>1021</v>
      </c>
      <c r="E646" s="20"/>
      <c r="F646" s="6">
        <f>F647</f>
        <v>549.5</v>
      </c>
      <c r="G646" s="6">
        <f>G647</f>
        <v>549.5</v>
      </c>
    </row>
    <row r="647" spans="1:7" ht="47.25" x14ac:dyDescent="0.25">
      <c r="A647" s="25" t="s">
        <v>287</v>
      </c>
      <c r="B647" s="20" t="s">
        <v>279</v>
      </c>
      <c r="C647" s="20" t="s">
        <v>230</v>
      </c>
      <c r="D647" s="20" t="s">
        <v>1021</v>
      </c>
      <c r="E647" s="20" t="s">
        <v>288</v>
      </c>
      <c r="F647" s="6">
        <f>F648</f>
        <v>549.5</v>
      </c>
      <c r="G647" s="6">
        <f>G648</f>
        <v>549.5</v>
      </c>
    </row>
    <row r="648" spans="1:7" ht="15.75" x14ac:dyDescent="0.25">
      <c r="A648" s="25" t="s">
        <v>289</v>
      </c>
      <c r="B648" s="20" t="s">
        <v>279</v>
      </c>
      <c r="C648" s="20" t="s">
        <v>230</v>
      </c>
      <c r="D648" s="20" t="s">
        <v>1021</v>
      </c>
      <c r="E648" s="20" t="s">
        <v>290</v>
      </c>
      <c r="F648" s="6">
        <f>'пр.4.1.ведом.21-22'!G715</f>
        <v>549.5</v>
      </c>
      <c r="G648" s="6">
        <f>'пр.4.1.ведом.21-22'!H715</f>
        <v>549.5</v>
      </c>
    </row>
    <row r="649" spans="1:7" ht="117.75" customHeight="1" x14ac:dyDescent="0.25">
      <c r="A649" s="31" t="s">
        <v>308</v>
      </c>
      <c r="B649" s="20" t="s">
        <v>279</v>
      </c>
      <c r="C649" s="20" t="s">
        <v>230</v>
      </c>
      <c r="D649" s="20" t="s">
        <v>1022</v>
      </c>
      <c r="E649" s="20"/>
      <c r="F649" s="6">
        <f>F650</f>
        <v>0</v>
      </c>
      <c r="G649" s="6">
        <f>G650</f>
        <v>0</v>
      </c>
    </row>
    <row r="650" spans="1:7" ht="47.25" x14ac:dyDescent="0.25">
      <c r="A650" s="25" t="s">
        <v>287</v>
      </c>
      <c r="B650" s="20" t="s">
        <v>279</v>
      </c>
      <c r="C650" s="20" t="s">
        <v>230</v>
      </c>
      <c r="D650" s="20" t="s">
        <v>1022</v>
      </c>
      <c r="E650" s="20" t="s">
        <v>288</v>
      </c>
      <c r="F650" s="6">
        <f>F651</f>
        <v>0</v>
      </c>
      <c r="G650" s="6">
        <f>G651</f>
        <v>0</v>
      </c>
    </row>
    <row r="651" spans="1:7" ht="15.75" x14ac:dyDescent="0.25">
      <c r="A651" s="25" t="s">
        <v>289</v>
      </c>
      <c r="B651" s="20" t="s">
        <v>279</v>
      </c>
      <c r="C651" s="20" t="s">
        <v>230</v>
      </c>
      <c r="D651" s="20" t="s">
        <v>1022</v>
      </c>
      <c r="E651" s="20" t="s">
        <v>290</v>
      </c>
      <c r="F651" s="6">
        <f>'пр.4.1.ведом.21-22'!G718</f>
        <v>0</v>
      </c>
      <c r="G651" s="6">
        <f>'пр.4.1.ведом.21-22'!H718</f>
        <v>0</v>
      </c>
    </row>
    <row r="652" spans="1:7" ht="47.25" x14ac:dyDescent="0.25">
      <c r="A652" s="34" t="s">
        <v>719</v>
      </c>
      <c r="B652" s="24" t="s">
        <v>279</v>
      </c>
      <c r="C652" s="24" t="s">
        <v>230</v>
      </c>
      <c r="D652" s="24" t="s">
        <v>462</v>
      </c>
      <c r="E652" s="24"/>
      <c r="F652" s="4">
        <f>F653+F657</f>
        <v>689</v>
      </c>
      <c r="G652" s="4">
        <f>G653+G657</f>
        <v>689</v>
      </c>
    </row>
    <row r="653" spans="1:7" ht="47.25" hidden="1" x14ac:dyDescent="0.25">
      <c r="A653" s="23" t="s">
        <v>1050</v>
      </c>
      <c r="B653" s="24" t="s">
        <v>279</v>
      </c>
      <c r="C653" s="24" t="s">
        <v>230</v>
      </c>
      <c r="D653" s="24" t="s">
        <v>1233</v>
      </c>
      <c r="E653" s="24"/>
      <c r="F653" s="4">
        <f>F654</f>
        <v>0</v>
      </c>
      <c r="G653" s="4">
        <f>G654</f>
        <v>0</v>
      </c>
    </row>
    <row r="654" spans="1:7" ht="31.5" hidden="1" x14ac:dyDescent="0.25">
      <c r="A654" s="45" t="s">
        <v>787</v>
      </c>
      <c r="B654" s="20" t="s">
        <v>279</v>
      </c>
      <c r="C654" s="20" t="s">
        <v>230</v>
      </c>
      <c r="D654" s="20" t="s">
        <v>1234</v>
      </c>
      <c r="E654" s="20"/>
      <c r="F654" s="6">
        <f>'Пр.3 Рд,пр, ЦС,ВР 20'!F675</f>
        <v>0</v>
      </c>
      <c r="G654" s="6">
        <f t="shared" ref="G654:G680" si="42">F654</f>
        <v>0</v>
      </c>
    </row>
    <row r="655" spans="1:7" ht="47.25" hidden="1" x14ac:dyDescent="0.25">
      <c r="A655" s="31" t="s">
        <v>287</v>
      </c>
      <c r="B655" s="20" t="s">
        <v>279</v>
      </c>
      <c r="C655" s="20" t="s">
        <v>230</v>
      </c>
      <c r="D655" s="20" t="s">
        <v>1234</v>
      </c>
      <c r="E655" s="20" t="s">
        <v>288</v>
      </c>
      <c r="F655" s="6">
        <f>'Пр.3 Рд,пр, ЦС,ВР 20'!F676</f>
        <v>0</v>
      </c>
      <c r="G655" s="6">
        <f t="shared" si="42"/>
        <v>0</v>
      </c>
    </row>
    <row r="656" spans="1:7" ht="15.75" hidden="1" x14ac:dyDescent="0.25">
      <c r="A656" s="31" t="s">
        <v>289</v>
      </c>
      <c r="B656" s="20" t="s">
        <v>279</v>
      </c>
      <c r="C656" s="20" t="s">
        <v>230</v>
      </c>
      <c r="D656" s="20" t="s">
        <v>1234</v>
      </c>
      <c r="E656" s="20" t="s">
        <v>290</v>
      </c>
      <c r="F656" s="6">
        <f>'Пр.3 Рд,пр, ЦС,ВР 20'!F677</f>
        <v>0</v>
      </c>
      <c r="G656" s="6">
        <f t="shared" si="42"/>
        <v>0</v>
      </c>
    </row>
    <row r="657" spans="1:7" ht="47.25" x14ac:dyDescent="0.25">
      <c r="A657" s="246" t="s">
        <v>1075</v>
      </c>
      <c r="B657" s="24" t="s">
        <v>279</v>
      </c>
      <c r="C657" s="24" t="s">
        <v>230</v>
      </c>
      <c r="D657" s="24" t="s">
        <v>1051</v>
      </c>
      <c r="E657" s="24"/>
      <c r="F657" s="4">
        <f t="shared" ref="F657:G659" si="43">F658</f>
        <v>689</v>
      </c>
      <c r="G657" s="4">
        <f t="shared" si="43"/>
        <v>689</v>
      </c>
    </row>
    <row r="658" spans="1:7" ht="47.25" x14ac:dyDescent="0.25">
      <c r="A658" s="45" t="s">
        <v>785</v>
      </c>
      <c r="B658" s="20" t="s">
        <v>279</v>
      </c>
      <c r="C658" s="20" t="s">
        <v>230</v>
      </c>
      <c r="D658" s="20" t="s">
        <v>1052</v>
      </c>
      <c r="E658" s="20"/>
      <c r="F658" s="6">
        <f t="shared" si="43"/>
        <v>689</v>
      </c>
      <c r="G658" s="6">
        <f t="shared" si="43"/>
        <v>689</v>
      </c>
    </row>
    <row r="659" spans="1:7" ht="47.25" x14ac:dyDescent="0.25">
      <c r="A659" s="25" t="s">
        <v>287</v>
      </c>
      <c r="B659" s="20" t="s">
        <v>279</v>
      </c>
      <c r="C659" s="20" t="s">
        <v>230</v>
      </c>
      <c r="D659" s="20" t="s">
        <v>1052</v>
      </c>
      <c r="E659" s="20" t="s">
        <v>288</v>
      </c>
      <c r="F659" s="6">
        <f t="shared" si="43"/>
        <v>689</v>
      </c>
      <c r="G659" s="6">
        <f t="shared" si="43"/>
        <v>689</v>
      </c>
    </row>
    <row r="660" spans="1:7" ht="15.75" x14ac:dyDescent="0.25">
      <c r="A660" s="31" t="s">
        <v>289</v>
      </c>
      <c r="B660" s="20" t="s">
        <v>279</v>
      </c>
      <c r="C660" s="20" t="s">
        <v>230</v>
      </c>
      <c r="D660" s="20" t="s">
        <v>1052</v>
      </c>
      <c r="E660" s="20" t="s">
        <v>290</v>
      </c>
      <c r="F660" s="6">
        <f>'пр.4.1.ведом.21-22'!G727</f>
        <v>689</v>
      </c>
      <c r="G660" s="6">
        <f>'пр.4.1.ведом.21-22'!H727</f>
        <v>689</v>
      </c>
    </row>
    <row r="661" spans="1:7" ht="47.25" x14ac:dyDescent="0.25">
      <c r="A661" s="23" t="s">
        <v>1430</v>
      </c>
      <c r="B661" s="24" t="s">
        <v>279</v>
      </c>
      <c r="C661" s="24" t="s">
        <v>230</v>
      </c>
      <c r="D661" s="24" t="s">
        <v>282</v>
      </c>
      <c r="E661" s="24"/>
      <c r="F661" s="4">
        <f>F662</f>
        <v>16643.7</v>
      </c>
      <c r="G661" s="4">
        <f>G662</f>
        <v>16643.7</v>
      </c>
    </row>
    <row r="662" spans="1:7" ht="63" x14ac:dyDescent="0.25">
      <c r="A662" s="23" t="s">
        <v>1449</v>
      </c>
      <c r="B662" s="24" t="s">
        <v>279</v>
      </c>
      <c r="C662" s="24" t="s">
        <v>230</v>
      </c>
      <c r="D662" s="24" t="s">
        <v>284</v>
      </c>
      <c r="E662" s="24"/>
      <c r="F662" s="4">
        <f>F663+F671+F675+F681+F685</f>
        <v>16643.7</v>
      </c>
      <c r="G662" s="4">
        <f>G663+G671+G675+G681+G685</f>
        <v>16643.7</v>
      </c>
    </row>
    <row r="663" spans="1:7" ht="47.25" x14ac:dyDescent="0.25">
      <c r="A663" s="23" t="s">
        <v>939</v>
      </c>
      <c r="B663" s="24" t="s">
        <v>279</v>
      </c>
      <c r="C663" s="24" t="s">
        <v>230</v>
      </c>
      <c r="D663" s="24" t="s">
        <v>940</v>
      </c>
      <c r="E663" s="24"/>
      <c r="F663" s="4">
        <f>F664</f>
        <v>15011</v>
      </c>
      <c r="G663" s="4">
        <f>G664</f>
        <v>15011</v>
      </c>
    </row>
    <row r="664" spans="1:7" ht="31.5" x14ac:dyDescent="0.25">
      <c r="A664" s="25" t="s">
        <v>830</v>
      </c>
      <c r="B664" s="20" t="s">
        <v>279</v>
      </c>
      <c r="C664" s="20" t="s">
        <v>230</v>
      </c>
      <c r="D664" s="20" t="s">
        <v>938</v>
      </c>
      <c r="E664" s="20"/>
      <c r="F664" s="6">
        <f>F665+F667+F669</f>
        <v>15011</v>
      </c>
      <c r="G664" s="6">
        <f>G665+G667+G669</f>
        <v>15011</v>
      </c>
    </row>
    <row r="665" spans="1:7" ht="94.5" x14ac:dyDescent="0.25">
      <c r="A665" s="25" t="s">
        <v>142</v>
      </c>
      <c r="B665" s="20" t="s">
        <v>279</v>
      </c>
      <c r="C665" s="20" t="s">
        <v>230</v>
      </c>
      <c r="D665" s="20" t="s">
        <v>938</v>
      </c>
      <c r="E665" s="20" t="s">
        <v>143</v>
      </c>
      <c r="F665" s="6">
        <f>F666</f>
        <v>13393</v>
      </c>
      <c r="G665" s="6">
        <f>G666</f>
        <v>13393</v>
      </c>
    </row>
    <row r="666" spans="1:7" ht="31.5" x14ac:dyDescent="0.25">
      <c r="A666" s="46" t="s">
        <v>357</v>
      </c>
      <c r="B666" s="20" t="s">
        <v>279</v>
      </c>
      <c r="C666" s="20" t="s">
        <v>230</v>
      </c>
      <c r="D666" s="20" t="s">
        <v>938</v>
      </c>
      <c r="E666" s="20" t="s">
        <v>224</v>
      </c>
      <c r="F666" s="6">
        <f>'пр.4.1.ведом.21-22'!G284</f>
        <v>13393</v>
      </c>
      <c r="G666" s="6">
        <f>'пр.4.1.ведом.21-22'!H284</f>
        <v>13393</v>
      </c>
    </row>
    <row r="667" spans="1:7" ht="31.5" x14ac:dyDescent="0.25">
      <c r="A667" s="25" t="s">
        <v>146</v>
      </c>
      <c r="B667" s="20" t="s">
        <v>279</v>
      </c>
      <c r="C667" s="20" t="s">
        <v>230</v>
      </c>
      <c r="D667" s="20" t="s">
        <v>938</v>
      </c>
      <c r="E667" s="20" t="s">
        <v>147</v>
      </c>
      <c r="F667" s="6">
        <f>F668</f>
        <v>1540</v>
      </c>
      <c r="G667" s="6">
        <f>G668</f>
        <v>1540</v>
      </c>
    </row>
    <row r="668" spans="1:7" ht="47.25" x14ac:dyDescent="0.25">
      <c r="A668" s="25" t="s">
        <v>148</v>
      </c>
      <c r="B668" s="20" t="s">
        <v>279</v>
      </c>
      <c r="C668" s="20" t="s">
        <v>230</v>
      </c>
      <c r="D668" s="20" t="s">
        <v>938</v>
      </c>
      <c r="E668" s="20" t="s">
        <v>149</v>
      </c>
      <c r="F668" s="6">
        <f>'пр.4.1.ведом.21-22'!G286</f>
        <v>1540</v>
      </c>
      <c r="G668" s="6">
        <f>'пр.4.1.ведом.21-22'!H286</f>
        <v>1540</v>
      </c>
    </row>
    <row r="669" spans="1:7" ht="15.75" x14ac:dyDescent="0.25">
      <c r="A669" s="25" t="s">
        <v>150</v>
      </c>
      <c r="B669" s="20" t="s">
        <v>279</v>
      </c>
      <c r="C669" s="20" t="s">
        <v>230</v>
      </c>
      <c r="D669" s="20" t="s">
        <v>938</v>
      </c>
      <c r="E669" s="20" t="s">
        <v>160</v>
      </c>
      <c r="F669" s="6">
        <f>F670</f>
        <v>78</v>
      </c>
      <c r="G669" s="6">
        <f>G670</f>
        <v>78</v>
      </c>
    </row>
    <row r="670" spans="1:7" ht="15.75" x14ac:dyDescent="0.25">
      <c r="A670" s="25" t="s">
        <v>725</v>
      </c>
      <c r="B670" s="20" t="s">
        <v>279</v>
      </c>
      <c r="C670" s="20" t="s">
        <v>230</v>
      </c>
      <c r="D670" s="20" t="s">
        <v>938</v>
      </c>
      <c r="E670" s="20" t="s">
        <v>153</v>
      </c>
      <c r="F670" s="6">
        <f>'пр.4.1.ведом.21-22'!G288</f>
        <v>78</v>
      </c>
      <c r="G670" s="6">
        <f>'пр.4.1.ведом.21-22'!H288</f>
        <v>78</v>
      </c>
    </row>
    <row r="671" spans="1:7" ht="47.25" x14ac:dyDescent="0.25">
      <c r="A671" s="243" t="s">
        <v>1187</v>
      </c>
      <c r="B671" s="24" t="s">
        <v>279</v>
      </c>
      <c r="C671" s="24" t="s">
        <v>230</v>
      </c>
      <c r="D671" s="24" t="s">
        <v>942</v>
      </c>
      <c r="E671" s="24"/>
      <c r="F671" s="4">
        <f t="shared" ref="F671:G673" si="44">F672</f>
        <v>45</v>
      </c>
      <c r="G671" s="4">
        <f t="shared" si="44"/>
        <v>45</v>
      </c>
    </row>
    <row r="672" spans="1:7" ht="31.5" x14ac:dyDescent="0.25">
      <c r="A672" s="212" t="s">
        <v>829</v>
      </c>
      <c r="B672" s="20" t="s">
        <v>279</v>
      </c>
      <c r="C672" s="20" t="s">
        <v>230</v>
      </c>
      <c r="D672" s="20" t="s">
        <v>941</v>
      </c>
      <c r="E672" s="20"/>
      <c r="F672" s="6">
        <f t="shared" si="44"/>
        <v>45</v>
      </c>
      <c r="G672" s="6">
        <f t="shared" si="44"/>
        <v>45</v>
      </c>
    </row>
    <row r="673" spans="1:7" ht="31.5" x14ac:dyDescent="0.25">
      <c r="A673" s="25" t="s">
        <v>263</v>
      </c>
      <c r="B673" s="20" t="s">
        <v>279</v>
      </c>
      <c r="C673" s="20" t="s">
        <v>230</v>
      </c>
      <c r="D673" s="20" t="s">
        <v>941</v>
      </c>
      <c r="E673" s="20" t="s">
        <v>264</v>
      </c>
      <c r="F673" s="6">
        <f t="shared" si="44"/>
        <v>45</v>
      </c>
      <c r="G673" s="6">
        <f t="shared" si="44"/>
        <v>45</v>
      </c>
    </row>
    <row r="674" spans="1:7" ht="15.75" x14ac:dyDescent="0.25">
      <c r="A674" s="25" t="s">
        <v>863</v>
      </c>
      <c r="B674" s="20" t="s">
        <v>279</v>
      </c>
      <c r="C674" s="20" t="s">
        <v>230</v>
      </c>
      <c r="D674" s="20" t="s">
        <v>941</v>
      </c>
      <c r="E674" s="20" t="s">
        <v>862</v>
      </c>
      <c r="F674" s="6">
        <f>'пр.4.1.ведом.21-22'!G292</f>
        <v>45</v>
      </c>
      <c r="G674" s="6">
        <f>'пр.4.1.ведом.21-22'!H292</f>
        <v>45</v>
      </c>
    </row>
    <row r="675" spans="1:7" ht="47.25" x14ac:dyDescent="0.25">
      <c r="A675" s="248" t="s">
        <v>1166</v>
      </c>
      <c r="B675" s="24" t="s">
        <v>279</v>
      </c>
      <c r="C675" s="24" t="s">
        <v>230</v>
      </c>
      <c r="D675" s="24" t="s">
        <v>943</v>
      </c>
      <c r="E675" s="24"/>
      <c r="F675" s="4">
        <f t="shared" ref="F675:G677" si="45">F676</f>
        <v>250</v>
      </c>
      <c r="G675" s="4">
        <f t="shared" si="45"/>
        <v>250</v>
      </c>
    </row>
    <row r="676" spans="1:7" ht="47.25" x14ac:dyDescent="0.25">
      <c r="A676" s="31" t="s">
        <v>858</v>
      </c>
      <c r="B676" s="20" t="s">
        <v>279</v>
      </c>
      <c r="C676" s="20" t="s">
        <v>230</v>
      </c>
      <c r="D676" s="20" t="s">
        <v>944</v>
      </c>
      <c r="E676" s="20"/>
      <c r="F676" s="6">
        <f t="shared" si="45"/>
        <v>250</v>
      </c>
      <c r="G676" s="6">
        <f t="shared" si="45"/>
        <v>250</v>
      </c>
    </row>
    <row r="677" spans="1:7" ht="94.5" x14ac:dyDescent="0.25">
      <c r="A677" s="25" t="s">
        <v>142</v>
      </c>
      <c r="B677" s="20" t="s">
        <v>279</v>
      </c>
      <c r="C677" s="20" t="s">
        <v>230</v>
      </c>
      <c r="D677" s="20" t="s">
        <v>944</v>
      </c>
      <c r="E677" s="20" t="s">
        <v>143</v>
      </c>
      <c r="F677" s="6">
        <f t="shared" si="45"/>
        <v>250</v>
      </c>
      <c r="G677" s="6">
        <f t="shared" si="45"/>
        <v>250</v>
      </c>
    </row>
    <row r="678" spans="1:7" ht="31.5" x14ac:dyDescent="0.25">
      <c r="A678" s="46" t="s">
        <v>357</v>
      </c>
      <c r="B678" s="20" t="s">
        <v>279</v>
      </c>
      <c r="C678" s="20" t="s">
        <v>230</v>
      </c>
      <c r="D678" s="20" t="s">
        <v>944</v>
      </c>
      <c r="E678" s="20" t="s">
        <v>224</v>
      </c>
      <c r="F678" s="6">
        <f>'пр.4.1.ведом.21-22'!G296</f>
        <v>250</v>
      </c>
      <c r="G678" s="6">
        <f>'пр.4.1.ведом.21-22'!H296</f>
        <v>250</v>
      </c>
    </row>
    <row r="679" spans="1:7" ht="31.5" hidden="1" x14ac:dyDescent="0.25">
      <c r="A679" s="25" t="s">
        <v>146</v>
      </c>
      <c r="B679" s="20" t="s">
        <v>279</v>
      </c>
      <c r="C679" s="20" t="s">
        <v>230</v>
      </c>
      <c r="D679" s="20" t="s">
        <v>944</v>
      </c>
      <c r="E679" s="20" t="s">
        <v>147</v>
      </c>
      <c r="F679" s="6">
        <f>'Пр.3 Рд,пр, ЦС,ВР 20'!F700</f>
        <v>0</v>
      </c>
      <c r="G679" s="6">
        <f t="shared" si="42"/>
        <v>0</v>
      </c>
    </row>
    <row r="680" spans="1:7" ht="47.25" hidden="1" x14ac:dyDescent="0.25">
      <c r="A680" s="25" t="s">
        <v>148</v>
      </c>
      <c r="B680" s="20" t="s">
        <v>279</v>
      </c>
      <c r="C680" s="20" t="s">
        <v>230</v>
      </c>
      <c r="D680" s="20" t="s">
        <v>944</v>
      </c>
      <c r="E680" s="20" t="s">
        <v>149</v>
      </c>
      <c r="F680" s="6">
        <f>'Пр.3 Рд,пр, ЦС,ВР 20'!F701</f>
        <v>0</v>
      </c>
      <c r="G680" s="6">
        <f t="shared" si="42"/>
        <v>0</v>
      </c>
    </row>
    <row r="681" spans="1:7" ht="47.25" x14ac:dyDescent="0.25">
      <c r="A681" s="23" t="s">
        <v>1074</v>
      </c>
      <c r="B681" s="24" t="s">
        <v>279</v>
      </c>
      <c r="C681" s="24" t="s">
        <v>230</v>
      </c>
      <c r="D681" s="24" t="s">
        <v>949</v>
      </c>
      <c r="E681" s="24"/>
      <c r="F681" s="4">
        <f t="shared" ref="F681:G683" si="46">F682</f>
        <v>336</v>
      </c>
      <c r="G681" s="4">
        <f t="shared" si="46"/>
        <v>336</v>
      </c>
    </row>
    <row r="682" spans="1:7" ht="47.25" x14ac:dyDescent="0.25">
      <c r="A682" s="25" t="s">
        <v>883</v>
      </c>
      <c r="B682" s="20" t="s">
        <v>279</v>
      </c>
      <c r="C682" s="20" t="s">
        <v>230</v>
      </c>
      <c r="D682" s="20" t="s">
        <v>1263</v>
      </c>
      <c r="E682" s="20"/>
      <c r="F682" s="6">
        <f t="shared" si="46"/>
        <v>336</v>
      </c>
      <c r="G682" s="6">
        <f t="shared" si="46"/>
        <v>336</v>
      </c>
    </row>
    <row r="683" spans="1:7" ht="94.5" x14ac:dyDescent="0.25">
      <c r="A683" s="25" t="s">
        <v>142</v>
      </c>
      <c r="B683" s="20" t="s">
        <v>279</v>
      </c>
      <c r="C683" s="20" t="s">
        <v>230</v>
      </c>
      <c r="D683" s="20" t="s">
        <v>1263</v>
      </c>
      <c r="E683" s="20" t="s">
        <v>143</v>
      </c>
      <c r="F683" s="6">
        <f t="shared" si="46"/>
        <v>336</v>
      </c>
      <c r="G683" s="6">
        <f t="shared" si="46"/>
        <v>336</v>
      </c>
    </row>
    <row r="684" spans="1:7" ht="47.25" x14ac:dyDescent="0.25">
      <c r="A684" s="25" t="s">
        <v>144</v>
      </c>
      <c r="B684" s="20" t="s">
        <v>279</v>
      </c>
      <c r="C684" s="20" t="s">
        <v>230</v>
      </c>
      <c r="D684" s="20" t="s">
        <v>1263</v>
      </c>
      <c r="E684" s="20" t="s">
        <v>224</v>
      </c>
      <c r="F684" s="6">
        <f>'пр.4.1.ведом.21-22'!G302</f>
        <v>336</v>
      </c>
      <c r="G684" s="6">
        <f>'пр.4.1.ведом.21-22'!H302</f>
        <v>336</v>
      </c>
    </row>
    <row r="685" spans="1:7" ht="56.25" customHeight="1" x14ac:dyDescent="0.25">
      <c r="A685" s="23" t="s">
        <v>969</v>
      </c>
      <c r="B685" s="24" t="s">
        <v>279</v>
      </c>
      <c r="C685" s="24" t="s">
        <v>230</v>
      </c>
      <c r="D685" s="24" t="s">
        <v>1264</v>
      </c>
      <c r="E685" s="24"/>
      <c r="F685" s="4">
        <f>F689+F692+F695+F686</f>
        <v>1001.7</v>
      </c>
      <c r="G685" s="4">
        <f>G689+G692+G695+G686</f>
        <v>1001.7</v>
      </c>
    </row>
    <row r="686" spans="1:7" s="361" customFormat="1" ht="115.5" customHeight="1" x14ac:dyDescent="0.25">
      <c r="A686" s="31" t="s">
        <v>308</v>
      </c>
      <c r="B686" s="368" t="s">
        <v>279</v>
      </c>
      <c r="C686" s="368" t="s">
        <v>230</v>
      </c>
      <c r="D686" s="368" t="s">
        <v>1524</v>
      </c>
      <c r="E686" s="368"/>
      <c r="F686" s="6">
        <f>F687</f>
        <v>602.5</v>
      </c>
      <c r="G686" s="6">
        <f>G687</f>
        <v>602.5</v>
      </c>
    </row>
    <row r="687" spans="1:7" s="361" customFormat="1" ht="104.25" customHeight="1" x14ac:dyDescent="0.25">
      <c r="A687" s="372" t="s">
        <v>142</v>
      </c>
      <c r="B687" s="368" t="s">
        <v>279</v>
      </c>
      <c r="C687" s="368" t="s">
        <v>230</v>
      </c>
      <c r="D687" s="368" t="s">
        <v>1524</v>
      </c>
      <c r="E687" s="368" t="s">
        <v>143</v>
      </c>
      <c r="F687" s="6">
        <f>F688</f>
        <v>602.5</v>
      </c>
      <c r="G687" s="6">
        <f>G688</f>
        <v>602.5</v>
      </c>
    </row>
    <row r="688" spans="1:7" s="361" customFormat="1" ht="38.25" customHeight="1" x14ac:dyDescent="0.25">
      <c r="A688" s="46" t="s">
        <v>357</v>
      </c>
      <c r="B688" s="368" t="s">
        <v>279</v>
      </c>
      <c r="C688" s="368" t="s">
        <v>230</v>
      </c>
      <c r="D688" s="368" t="s">
        <v>1524</v>
      </c>
      <c r="E688" s="368" t="s">
        <v>224</v>
      </c>
      <c r="F688" s="6">
        <f>'пр.4.1.ведом.21-22'!G306</f>
        <v>602.5</v>
      </c>
      <c r="G688" s="6">
        <f>'пр.4.1.ведом.21-22'!H306</f>
        <v>602.5</v>
      </c>
    </row>
    <row r="689" spans="1:7" ht="78.75" x14ac:dyDescent="0.25">
      <c r="A689" s="31" t="s">
        <v>304</v>
      </c>
      <c r="B689" s="20" t="s">
        <v>279</v>
      </c>
      <c r="C689" s="20" t="s">
        <v>230</v>
      </c>
      <c r="D689" s="20" t="s">
        <v>1265</v>
      </c>
      <c r="E689" s="20"/>
      <c r="F689" s="6">
        <f>F690</f>
        <v>100.8</v>
      </c>
      <c r="G689" s="6">
        <f>G690</f>
        <v>100.8</v>
      </c>
    </row>
    <row r="690" spans="1:7" ht="94.5" x14ac:dyDescent="0.25">
      <c r="A690" s="25" t="s">
        <v>142</v>
      </c>
      <c r="B690" s="20" t="s">
        <v>279</v>
      </c>
      <c r="C690" s="20" t="s">
        <v>230</v>
      </c>
      <c r="D690" s="20" t="s">
        <v>1265</v>
      </c>
      <c r="E690" s="20" t="s">
        <v>143</v>
      </c>
      <c r="F690" s="6">
        <f>F691</f>
        <v>100.8</v>
      </c>
      <c r="G690" s="6">
        <f>G691</f>
        <v>100.8</v>
      </c>
    </row>
    <row r="691" spans="1:7" ht="31.5" x14ac:dyDescent="0.25">
      <c r="A691" s="46" t="s">
        <v>357</v>
      </c>
      <c r="B691" s="20" t="s">
        <v>279</v>
      </c>
      <c r="C691" s="20" t="s">
        <v>230</v>
      </c>
      <c r="D691" s="20" t="s">
        <v>1265</v>
      </c>
      <c r="E691" s="20" t="s">
        <v>224</v>
      </c>
      <c r="F691" s="6">
        <f>'пр.4.1.ведом.21-22'!G309</f>
        <v>100.8</v>
      </c>
      <c r="G691" s="6">
        <f>'пр.4.1.ведом.21-22'!H309</f>
        <v>100.8</v>
      </c>
    </row>
    <row r="692" spans="1:7" ht="94.5" x14ac:dyDescent="0.25">
      <c r="A692" s="31" t="s">
        <v>306</v>
      </c>
      <c r="B692" s="20" t="s">
        <v>279</v>
      </c>
      <c r="C692" s="20" t="s">
        <v>230</v>
      </c>
      <c r="D692" s="20" t="s">
        <v>1266</v>
      </c>
      <c r="E692" s="20"/>
      <c r="F692" s="6">
        <f>F693</f>
        <v>298.39999999999998</v>
      </c>
      <c r="G692" s="6">
        <f>G693</f>
        <v>298.39999999999998</v>
      </c>
    </row>
    <row r="693" spans="1:7" ht="94.5" x14ac:dyDescent="0.25">
      <c r="A693" s="25" t="s">
        <v>142</v>
      </c>
      <c r="B693" s="20" t="s">
        <v>279</v>
      </c>
      <c r="C693" s="20" t="s">
        <v>230</v>
      </c>
      <c r="D693" s="20" t="s">
        <v>1266</v>
      </c>
      <c r="E693" s="20" t="s">
        <v>143</v>
      </c>
      <c r="F693" s="6">
        <f>F694</f>
        <v>298.39999999999998</v>
      </c>
      <c r="G693" s="6">
        <f>G694</f>
        <v>298.39999999999998</v>
      </c>
    </row>
    <row r="694" spans="1:7" ht="31.5" x14ac:dyDescent="0.25">
      <c r="A694" s="46" t="s">
        <v>357</v>
      </c>
      <c r="B694" s="20" t="s">
        <v>279</v>
      </c>
      <c r="C694" s="20" t="s">
        <v>230</v>
      </c>
      <c r="D694" s="20" t="s">
        <v>1266</v>
      </c>
      <c r="E694" s="20" t="s">
        <v>224</v>
      </c>
      <c r="F694" s="6">
        <f>'пр.4.1.ведом.21-22'!G312</f>
        <v>298.39999999999998</v>
      </c>
      <c r="G694" s="6">
        <f>'пр.4.1.ведом.21-22'!H312</f>
        <v>298.39999999999998</v>
      </c>
    </row>
    <row r="695" spans="1:7" ht="126" hidden="1" x14ac:dyDescent="0.25">
      <c r="A695" s="31" t="s">
        <v>308</v>
      </c>
      <c r="B695" s="20" t="s">
        <v>279</v>
      </c>
      <c r="C695" s="20" t="s">
        <v>230</v>
      </c>
      <c r="D695" s="20" t="s">
        <v>1267</v>
      </c>
      <c r="E695" s="20"/>
      <c r="F695" s="6">
        <f>F696</f>
        <v>0</v>
      </c>
      <c r="G695" s="6">
        <f>G696</f>
        <v>0</v>
      </c>
    </row>
    <row r="696" spans="1:7" ht="94.5" hidden="1" x14ac:dyDescent="0.25">
      <c r="A696" s="25" t="s">
        <v>142</v>
      </c>
      <c r="B696" s="20" t="s">
        <v>279</v>
      </c>
      <c r="C696" s="20" t="s">
        <v>230</v>
      </c>
      <c r="D696" s="20" t="s">
        <v>1267</v>
      </c>
      <c r="E696" s="20" t="s">
        <v>143</v>
      </c>
      <c r="F696" s="6">
        <f>F697</f>
        <v>0</v>
      </c>
      <c r="G696" s="6">
        <f>G697</f>
        <v>0</v>
      </c>
    </row>
    <row r="697" spans="1:7" ht="31.5" hidden="1" x14ac:dyDescent="0.25">
      <c r="A697" s="46" t="s">
        <v>357</v>
      </c>
      <c r="B697" s="20" t="s">
        <v>279</v>
      </c>
      <c r="C697" s="20" t="s">
        <v>230</v>
      </c>
      <c r="D697" s="20" t="s">
        <v>1267</v>
      </c>
      <c r="E697" s="20" t="s">
        <v>224</v>
      </c>
      <c r="F697" s="6">
        <f>'пр.4.1.ведом.21-22'!G315</f>
        <v>0</v>
      </c>
      <c r="G697" s="6">
        <f>'пр.4.1.ведом.21-22'!H315</f>
        <v>0</v>
      </c>
    </row>
    <row r="698" spans="1:7" ht="78.75" x14ac:dyDescent="0.25">
      <c r="A698" s="41" t="s">
        <v>1429</v>
      </c>
      <c r="B698" s="24" t="s">
        <v>279</v>
      </c>
      <c r="C698" s="24" t="s">
        <v>230</v>
      </c>
      <c r="D698" s="24" t="s">
        <v>726</v>
      </c>
      <c r="E698" s="24"/>
      <c r="F698" s="4">
        <f>F699</f>
        <v>521.70000000000005</v>
      </c>
      <c r="G698" s="4">
        <f>G699</f>
        <v>521.70000000000005</v>
      </c>
    </row>
    <row r="699" spans="1:7" ht="63" x14ac:dyDescent="0.25">
      <c r="A699" s="41" t="s">
        <v>947</v>
      </c>
      <c r="B699" s="24" t="s">
        <v>279</v>
      </c>
      <c r="C699" s="24" t="s">
        <v>230</v>
      </c>
      <c r="D699" s="24" t="s">
        <v>945</v>
      </c>
      <c r="E699" s="24"/>
      <c r="F699" s="4">
        <f>F700+F703</f>
        <v>521.70000000000005</v>
      </c>
      <c r="G699" s="4">
        <f>G700+G703</f>
        <v>521.70000000000005</v>
      </c>
    </row>
    <row r="700" spans="1:7" ht="47.25" x14ac:dyDescent="0.25">
      <c r="A700" s="99" t="s">
        <v>1155</v>
      </c>
      <c r="B700" s="20" t="s">
        <v>279</v>
      </c>
      <c r="C700" s="20" t="s">
        <v>230</v>
      </c>
      <c r="D700" s="20" t="s">
        <v>946</v>
      </c>
      <c r="E700" s="32"/>
      <c r="F700" s="6">
        <f>F701</f>
        <v>221</v>
      </c>
      <c r="G700" s="6">
        <f>G701</f>
        <v>221</v>
      </c>
    </row>
    <row r="701" spans="1:7" ht="31.5" x14ac:dyDescent="0.25">
      <c r="A701" s="25" t="s">
        <v>146</v>
      </c>
      <c r="B701" s="20" t="s">
        <v>279</v>
      </c>
      <c r="C701" s="20" t="s">
        <v>230</v>
      </c>
      <c r="D701" s="20" t="s">
        <v>946</v>
      </c>
      <c r="E701" s="32" t="s">
        <v>147</v>
      </c>
      <c r="F701" s="6">
        <f>F702</f>
        <v>221</v>
      </c>
      <c r="G701" s="6">
        <f>G702</f>
        <v>221</v>
      </c>
    </row>
    <row r="702" spans="1:7" ht="47.25" x14ac:dyDescent="0.25">
      <c r="A702" s="25" t="s">
        <v>148</v>
      </c>
      <c r="B702" s="20" t="s">
        <v>279</v>
      </c>
      <c r="C702" s="20" t="s">
        <v>230</v>
      </c>
      <c r="D702" s="20" t="s">
        <v>946</v>
      </c>
      <c r="E702" s="32" t="s">
        <v>149</v>
      </c>
      <c r="F702" s="6">
        <f>'пр.4.1.ведом.21-22'!G320</f>
        <v>221</v>
      </c>
      <c r="G702" s="6">
        <f>'пр.4.1.ведом.21-22'!H320</f>
        <v>221</v>
      </c>
    </row>
    <row r="703" spans="1:7" ht="47.25" x14ac:dyDescent="0.25">
      <c r="A703" s="99" t="s">
        <v>801</v>
      </c>
      <c r="B703" s="20" t="s">
        <v>279</v>
      </c>
      <c r="C703" s="20" t="s">
        <v>230</v>
      </c>
      <c r="D703" s="20" t="s">
        <v>1025</v>
      </c>
      <c r="E703" s="32"/>
      <c r="F703" s="6">
        <f>F704</f>
        <v>300.7</v>
      </c>
      <c r="G703" s="6">
        <f>G704</f>
        <v>300.7</v>
      </c>
    </row>
    <row r="704" spans="1:7" ht="47.25" x14ac:dyDescent="0.25">
      <c r="A704" s="29" t="s">
        <v>287</v>
      </c>
      <c r="B704" s="20" t="s">
        <v>279</v>
      </c>
      <c r="C704" s="20" t="s">
        <v>230</v>
      </c>
      <c r="D704" s="20" t="s">
        <v>1025</v>
      </c>
      <c r="E704" s="32" t="s">
        <v>288</v>
      </c>
      <c r="F704" s="6">
        <f>F705</f>
        <v>300.7</v>
      </c>
      <c r="G704" s="6">
        <f>G705</f>
        <v>300.7</v>
      </c>
    </row>
    <row r="705" spans="1:7" ht="15.75" x14ac:dyDescent="0.25">
      <c r="A705" s="193" t="s">
        <v>289</v>
      </c>
      <c r="B705" s="20" t="s">
        <v>279</v>
      </c>
      <c r="C705" s="20" t="s">
        <v>230</v>
      </c>
      <c r="D705" s="20" t="s">
        <v>1025</v>
      </c>
      <c r="E705" s="32" t="s">
        <v>290</v>
      </c>
      <c r="F705" s="6">
        <f>'пр.4.1.ведом.21-22'!G732</f>
        <v>300.7</v>
      </c>
      <c r="G705" s="6">
        <f>'пр.4.1.ведом.21-22'!H732</f>
        <v>300.7</v>
      </c>
    </row>
    <row r="706" spans="1:7" ht="31.5" x14ac:dyDescent="0.25">
      <c r="A706" s="23" t="s">
        <v>481</v>
      </c>
      <c r="B706" s="24" t="s">
        <v>279</v>
      </c>
      <c r="C706" s="24" t="s">
        <v>279</v>
      </c>
      <c r="D706" s="24"/>
      <c r="E706" s="250"/>
      <c r="F706" s="4">
        <f>F707+F726</f>
        <v>6564.9</v>
      </c>
      <c r="G706" s="4">
        <f>G707+G726</f>
        <v>6564.9</v>
      </c>
    </row>
    <row r="707" spans="1:7" ht="63" x14ac:dyDescent="0.25">
      <c r="A707" s="23" t="s">
        <v>1427</v>
      </c>
      <c r="B707" s="24" t="s">
        <v>279</v>
      </c>
      <c r="C707" s="24" t="s">
        <v>279</v>
      </c>
      <c r="D707" s="24" t="s">
        <v>359</v>
      </c>
      <c r="E707" s="24"/>
      <c r="F707" s="4">
        <f>F708</f>
        <v>760</v>
      </c>
      <c r="G707" s="4">
        <f>G708</f>
        <v>760</v>
      </c>
    </row>
    <row r="708" spans="1:7" ht="31.5" x14ac:dyDescent="0.25">
      <c r="A708" s="23" t="s">
        <v>360</v>
      </c>
      <c r="B708" s="24" t="s">
        <v>279</v>
      </c>
      <c r="C708" s="24" t="s">
        <v>279</v>
      </c>
      <c r="D708" s="24" t="s">
        <v>361</v>
      </c>
      <c r="E708" s="24"/>
      <c r="F708" s="4">
        <f>F709+F716+F722</f>
        <v>760</v>
      </c>
      <c r="G708" s="4">
        <f>G709+G716+G722</f>
        <v>760</v>
      </c>
    </row>
    <row r="709" spans="1:7" ht="63" x14ac:dyDescent="0.25">
      <c r="A709" s="238" t="s">
        <v>1196</v>
      </c>
      <c r="B709" s="24" t="s">
        <v>279</v>
      </c>
      <c r="C709" s="24" t="s">
        <v>279</v>
      </c>
      <c r="D709" s="24" t="s">
        <v>950</v>
      </c>
      <c r="E709" s="24"/>
      <c r="F709" s="4">
        <f>F710+F713</f>
        <v>280</v>
      </c>
      <c r="G709" s="4">
        <f>G710+G713</f>
        <v>280</v>
      </c>
    </row>
    <row r="710" spans="1:7" ht="31.5" x14ac:dyDescent="0.25">
      <c r="A710" s="99" t="s">
        <v>1202</v>
      </c>
      <c r="B710" s="20" t="s">
        <v>279</v>
      </c>
      <c r="C710" s="20" t="s">
        <v>279</v>
      </c>
      <c r="D710" s="20" t="s">
        <v>951</v>
      </c>
      <c r="E710" s="20"/>
      <c r="F710" s="6">
        <f>F711</f>
        <v>280</v>
      </c>
      <c r="G710" s="6">
        <f>G711</f>
        <v>280</v>
      </c>
    </row>
    <row r="711" spans="1:7" ht="94.5" x14ac:dyDescent="0.25">
      <c r="A711" s="25" t="s">
        <v>142</v>
      </c>
      <c r="B711" s="20" t="s">
        <v>279</v>
      </c>
      <c r="C711" s="20" t="s">
        <v>279</v>
      </c>
      <c r="D711" s="20" t="s">
        <v>951</v>
      </c>
      <c r="E711" s="20" t="s">
        <v>143</v>
      </c>
      <c r="F711" s="6">
        <f>F712</f>
        <v>280</v>
      </c>
      <c r="G711" s="6">
        <f>G712</f>
        <v>280</v>
      </c>
    </row>
    <row r="712" spans="1:7" ht="31.5" x14ac:dyDescent="0.25">
      <c r="A712" s="25" t="s">
        <v>357</v>
      </c>
      <c r="B712" s="20" t="s">
        <v>279</v>
      </c>
      <c r="C712" s="20" t="s">
        <v>279</v>
      </c>
      <c r="D712" s="20" t="s">
        <v>951</v>
      </c>
      <c r="E712" s="20" t="s">
        <v>224</v>
      </c>
      <c r="F712" s="6">
        <f>'пр.4.1.ведом.21-22'!G327</f>
        <v>280</v>
      </c>
      <c r="G712" s="6">
        <f>'пр.4.1.ведом.21-22'!H327</f>
        <v>280</v>
      </c>
    </row>
    <row r="713" spans="1:7" ht="31.5" hidden="1" x14ac:dyDescent="0.25">
      <c r="A713" s="25" t="s">
        <v>1197</v>
      </c>
      <c r="B713" s="20" t="s">
        <v>279</v>
      </c>
      <c r="C713" s="20" t="s">
        <v>279</v>
      </c>
      <c r="D713" s="20" t="s">
        <v>1221</v>
      </c>
      <c r="E713" s="20"/>
      <c r="F713" s="6">
        <f>'Пр.3 Рд,пр, ЦС,ВР 20'!F734</f>
        <v>0</v>
      </c>
      <c r="G713" s="6">
        <f t="shared" ref="G713:G715" si="47">F713</f>
        <v>0</v>
      </c>
    </row>
    <row r="714" spans="1:7" ht="31.5" hidden="1" x14ac:dyDescent="0.25">
      <c r="A714" s="25" t="s">
        <v>146</v>
      </c>
      <c r="B714" s="20" t="s">
        <v>279</v>
      </c>
      <c r="C714" s="20" t="s">
        <v>279</v>
      </c>
      <c r="D714" s="20" t="s">
        <v>1221</v>
      </c>
      <c r="E714" s="20" t="s">
        <v>147</v>
      </c>
      <c r="F714" s="6">
        <f>'Пр.3 Рд,пр, ЦС,ВР 20'!F735</f>
        <v>0</v>
      </c>
      <c r="G714" s="6">
        <f t="shared" si="47"/>
        <v>0</v>
      </c>
    </row>
    <row r="715" spans="1:7" ht="47.25" hidden="1" x14ac:dyDescent="0.25">
      <c r="A715" s="25" t="s">
        <v>148</v>
      </c>
      <c r="B715" s="20" t="s">
        <v>279</v>
      </c>
      <c r="C715" s="20" t="s">
        <v>279</v>
      </c>
      <c r="D715" s="20" t="s">
        <v>1221</v>
      </c>
      <c r="E715" s="20" t="s">
        <v>149</v>
      </c>
      <c r="F715" s="6">
        <f>'Пр.3 Рд,пр, ЦС,ВР 20'!F736</f>
        <v>0</v>
      </c>
      <c r="G715" s="6">
        <f t="shared" si="47"/>
        <v>0</v>
      </c>
    </row>
    <row r="716" spans="1:7" ht="78.75" x14ac:dyDescent="0.25">
      <c r="A716" s="23" t="s">
        <v>1198</v>
      </c>
      <c r="B716" s="24" t="s">
        <v>279</v>
      </c>
      <c r="C716" s="24" t="s">
        <v>279</v>
      </c>
      <c r="D716" s="24" t="s">
        <v>952</v>
      </c>
      <c r="E716" s="24"/>
      <c r="F716" s="4">
        <f>F717</f>
        <v>455</v>
      </c>
      <c r="G716" s="4">
        <f>G717</f>
        <v>455</v>
      </c>
    </row>
    <row r="717" spans="1:7" ht="31.5" x14ac:dyDescent="0.25">
      <c r="A717" s="25" t="s">
        <v>1199</v>
      </c>
      <c r="B717" s="20" t="s">
        <v>279</v>
      </c>
      <c r="C717" s="20" t="s">
        <v>279</v>
      </c>
      <c r="D717" s="20" t="s">
        <v>970</v>
      </c>
      <c r="E717" s="20"/>
      <c r="F717" s="6">
        <f>F718+F721</f>
        <v>455</v>
      </c>
      <c r="G717" s="6">
        <f>G718+G721</f>
        <v>455</v>
      </c>
    </row>
    <row r="718" spans="1:7" ht="94.5" x14ac:dyDescent="0.25">
      <c r="A718" s="25" t="s">
        <v>142</v>
      </c>
      <c r="B718" s="20" t="s">
        <v>279</v>
      </c>
      <c r="C718" s="20" t="s">
        <v>279</v>
      </c>
      <c r="D718" s="20" t="s">
        <v>970</v>
      </c>
      <c r="E718" s="20" t="s">
        <v>143</v>
      </c>
      <c r="F718" s="6">
        <f>F719</f>
        <v>40</v>
      </c>
      <c r="G718" s="6">
        <f>G719</f>
        <v>40</v>
      </c>
    </row>
    <row r="719" spans="1:7" ht="31.5" x14ac:dyDescent="0.25">
      <c r="A719" s="25" t="s">
        <v>357</v>
      </c>
      <c r="B719" s="20" t="s">
        <v>279</v>
      </c>
      <c r="C719" s="20" t="s">
        <v>279</v>
      </c>
      <c r="D719" s="20" t="s">
        <v>970</v>
      </c>
      <c r="E719" s="20" t="s">
        <v>224</v>
      </c>
      <c r="F719" s="6">
        <f>'пр.4.1.ведом.21-22'!G334</f>
        <v>40</v>
      </c>
      <c r="G719" s="6">
        <f>'пр.4.1.ведом.21-22'!H334</f>
        <v>40</v>
      </c>
    </row>
    <row r="720" spans="1:7" ht="31.5" x14ac:dyDescent="0.25">
      <c r="A720" s="25" t="s">
        <v>146</v>
      </c>
      <c r="B720" s="20" t="s">
        <v>279</v>
      </c>
      <c r="C720" s="20" t="s">
        <v>279</v>
      </c>
      <c r="D720" s="20" t="s">
        <v>970</v>
      </c>
      <c r="E720" s="20" t="s">
        <v>147</v>
      </c>
      <c r="F720" s="6">
        <f>F721</f>
        <v>415</v>
      </c>
      <c r="G720" s="6">
        <f>G721</f>
        <v>415</v>
      </c>
    </row>
    <row r="721" spans="1:7" ht="47.25" x14ac:dyDescent="0.25">
      <c r="A721" s="25" t="s">
        <v>148</v>
      </c>
      <c r="B721" s="20" t="s">
        <v>279</v>
      </c>
      <c r="C721" s="20" t="s">
        <v>279</v>
      </c>
      <c r="D721" s="20" t="s">
        <v>970</v>
      </c>
      <c r="E721" s="20" t="s">
        <v>149</v>
      </c>
      <c r="F721" s="6">
        <f>'пр.4.1.ведом.21-22'!G336</f>
        <v>415</v>
      </c>
      <c r="G721" s="6">
        <f>'пр.4.1.ведом.21-22'!H336</f>
        <v>415</v>
      </c>
    </row>
    <row r="722" spans="1:7" ht="47.25" x14ac:dyDescent="0.25">
      <c r="A722" s="23" t="s">
        <v>1204</v>
      </c>
      <c r="B722" s="24" t="s">
        <v>279</v>
      </c>
      <c r="C722" s="24" t="s">
        <v>279</v>
      </c>
      <c r="D722" s="24" t="s">
        <v>1200</v>
      </c>
      <c r="E722" s="24"/>
      <c r="F722" s="4">
        <f t="shared" ref="F722:G724" si="48">F723</f>
        <v>25</v>
      </c>
      <c r="G722" s="4">
        <f t="shared" si="48"/>
        <v>25</v>
      </c>
    </row>
    <row r="723" spans="1:7" ht="63" x14ac:dyDescent="0.25">
      <c r="A723" s="264" t="s">
        <v>1201</v>
      </c>
      <c r="B723" s="20" t="s">
        <v>279</v>
      </c>
      <c r="C723" s="20" t="s">
        <v>279</v>
      </c>
      <c r="D723" s="20" t="s">
        <v>1222</v>
      </c>
      <c r="E723" s="20"/>
      <c r="F723" s="6">
        <f t="shared" si="48"/>
        <v>25</v>
      </c>
      <c r="G723" s="6">
        <f t="shared" si="48"/>
        <v>25</v>
      </c>
    </row>
    <row r="724" spans="1:7" ht="31.5" x14ac:dyDescent="0.25">
      <c r="A724" s="25" t="s">
        <v>263</v>
      </c>
      <c r="B724" s="20" t="s">
        <v>279</v>
      </c>
      <c r="C724" s="20" t="s">
        <v>279</v>
      </c>
      <c r="D724" s="20" t="s">
        <v>1222</v>
      </c>
      <c r="E724" s="20" t="s">
        <v>264</v>
      </c>
      <c r="F724" s="6">
        <f t="shared" si="48"/>
        <v>25</v>
      </c>
      <c r="G724" s="6">
        <f t="shared" si="48"/>
        <v>25</v>
      </c>
    </row>
    <row r="725" spans="1:7" ht="37.5" customHeight="1" x14ac:dyDescent="0.25">
      <c r="A725" s="25" t="s">
        <v>1492</v>
      </c>
      <c r="B725" s="20" t="s">
        <v>279</v>
      </c>
      <c r="C725" s="20" t="s">
        <v>279</v>
      </c>
      <c r="D725" s="20" t="s">
        <v>1222</v>
      </c>
      <c r="E725" s="20" t="s">
        <v>1491</v>
      </c>
      <c r="F725" s="6">
        <f>'пр.4.1.ведом.21-22'!G340</f>
        <v>25</v>
      </c>
      <c r="G725" s="6">
        <f>'пр.4.1.ведом.21-22'!H340</f>
        <v>25</v>
      </c>
    </row>
    <row r="726" spans="1:7" ht="47.25" x14ac:dyDescent="0.25">
      <c r="A726" s="23" t="s">
        <v>1435</v>
      </c>
      <c r="B726" s="24" t="s">
        <v>279</v>
      </c>
      <c r="C726" s="24" t="s">
        <v>279</v>
      </c>
      <c r="D726" s="24" t="s">
        <v>421</v>
      </c>
      <c r="E726" s="24"/>
      <c r="F726" s="4">
        <f>F727</f>
        <v>5804.9</v>
      </c>
      <c r="G726" s="4">
        <f>G727</f>
        <v>5804.9</v>
      </c>
    </row>
    <row r="727" spans="1:7" ht="47.25" x14ac:dyDescent="0.25">
      <c r="A727" s="23" t="s">
        <v>482</v>
      </c>
      <c r="B727" s="24" t="s">
        <v>279</v>
      </c>
      <c r="C727" s="24" t="s">
        <v>483</v>
      </c>
      <c r="D727" s="24" t="s">
        <v>484</v>
      </c>
      <c r="E727" s="24"/>
      <c r="F727" s="4">
        <f>F728</f>
        <v>5804.9</v>
      </c>
      <c r="G727" s="4">
        <f>G728</f>
        <v>5804.9</v>
      </c>
    </row>
    <row r="728" spans="1:7" ht="31.5" x14ac:dyDescent="0.25">
      <c r="A728" s="23" t="s">
        <v>1054</v>
      </c>
      <c r="B728" s="24" t="s">
        <v>279</v>
      </c>
      <c r="C728" s="24" t="s">
        <v>279</v>
      </c>
      <c r="D728" s="24" t="s">
        <v>1055</v>
      </c>
      <c r="E728" s="24"/>
      <c r="F728" s="4">
        <f>F729+F732</f>
        <v>5804.9</v>
      </c>
      <c r="G728" s="4">
        <f>G729+G732</f>
        <v>5804.9</v>
      </c>
    </row>
    <row r="729" spans="1:7" ht="47.25" x14ac:dyDescent="0.25">
      <c r="A729" s="31" t="s">
        <v>1235</v>
      </c>
      <c r="B729" s="20" t="s">
        <v>279</v>
      </c>
      <c r="C729" s="20" t="s">
        <v>279</v>
      </c>
      <c r="D729" s="20" t="s">
        <v>1056</v>
      </c>
      <c r="E729" s="20"/>
      <c r="F729" s="6">
        <f>F730</f>
        <v>3584</v>
      </c>
      <c r="G729" s="6">
        <f>G730</f>
        <v>3584</v>
      </c>
    </row>
    <row r="730" spans="1:7" ht="47.25" x14ac:dyDescent="0.25">
      <c r="A730" s="25" t="s">
        <v>287</v>
      </c>
      <c r="B730" s="20" t="s">
        <v>279</v>
      </c>
      <c r="C730" s="20" t="s">
        <v>279</v>
      </c>
      <c r="D730" s="20" t="s">
        <v>1056</v>
      </c>
      <c r="E730" s="20" t="s">
        <v>288</v>
      </c>
      <c r="F730" s="6">
        <f>F731</f>
        <v>3584</v>
      </c>
      <c r="G730" s="6">
        <f>G731</f>
        <v>3584</v>
      </c>
    </row>
    <row r="731" spans="1:7" ht="15.75" x14ac:dyDescent="0.25">
      <c r="A731" s="25" t="s">
        <v>289</v>
      </c>
      <c r="B731" s="20" t="s">
        <v>279</v>
      </c>
      <c r="C731" s="20" t="s">
        <v>279</v>
      </c>
      <c r="D731" s="20" t="s">
        <v>1056</v>
      </c>
      <c r="E731" s="20" t="s">
        <v>290</v>
      </c>
      <c r="F731" s="6">
        <f>'пр.4.1.ведом.21-22'!G739</f>
        <v>3584</v>
      </c>
      <c r="G731" s="6">
        <f>'пр.4.1.ведом.21-22'!H739</f>
        <v>3584</v>
      </c>
    </row>
    <row r="732" spans="1:7" ht="31.5" x14ac:dyDescent="0.25">
      <c r="A732" s="31" t="s">
        <v>489</v>
      </c>
      <c r="B732" s="20" t="s">
        <v>279</v>
      </c>
      <c r="C732" s="20" t="s">
        <v>279</v>
      </c>
      <c r="D732" s="20" t="s">
        <v>1057</v>
      </c>
      <c r="E732" s="20"/>
      <c r="F732" s="6">
        <f>F733</f>
        <v>2220.9</v>
      </c>
      <c r="G732" s="6">
        <f>G733</f>
        <v>2220.9</v>
      </c>
    </row>
    <row r="733" spans="1:7" ht="47.25" x14ac:dyDescent="0.25">
      <c r="A733" s="25" t="s">
        <v>287</v>
      </c>
      <c r="B733" s="20" t="s">
        <v>279</v>
      </c>
      <c r="C733" s="20" t="s">
        <v>279</v>
      </c>
      <c r="D733" s="20" t="s">
        <v>1057</v>
      </c>
      <c r="E733" s="20" t="s">
        <v>288</v>
      </c>
      <c r="F733" s="6">
        <f>F734</f>
        <v>2220.9</v>
      </c>
      <c r="G733" s="6">
        <f>G734</f>
        <v>2220.9</v>
      </c>
    </row>
    <row r="734" spans="1:7" ht="15.75" x14ac:dyDescent="0.25">
      <c r="A734" s="25" t="s">
        <v>289</v>
      </c>
      <c r="B734" s="20" t="s">
        <v>279</v>
      </c>
      <c r="C734" s="20" t="s">
        <v>279</v>
      </c>
      <c r="D734" s="20" t="s">
        <v>1057</v>
      </c>
      <c r="E734" s="20" t="s">
        <v>290</v>
      </c>
      <c r="F734" s="6">
        <f>'пр.4.1.ведом.21-22'!G742</f>
        <v>2220.9</v>
      </c>
      <c r="G734" s="6">
        <f>'пр.4.1.ведом.21-22'!H742</f>
        <v>2220.9</v>
      </c>
    </row>
    <row r="735" spans="1:7" ht="15.75" x14ac:dyDescent="0.25">
      <c r="A735" s="23" t="s">
        <v>310</v>
      </c>
      <c r="B735" s="24" t="s">
        <v>279</v>
      </c>
      <c r="C735" s="24" t="s">
        <v>234</v>
      </c>
      <c r="D735" s="24"/>
      <c r="E735" s="24"/>
      <c r="F735" s="4">
        <f>F736+F746</f>
        <v>19830</v>
      </c>
      <c r="G735" s="4">
        <f>G736+G746</f>
        <v>19830</v>
      </c>
    </row>
    <row r="736" spans="1:7" ht="31.5" x14ac:dyDescent="0.25">
      <c r="A736" s="23" t="s">
        <v>988</v>
      </c>
      <c r="B736" s="24" t="s">
        <v>279</v>
      </c>
      <c r="C736" s="24" t="s">
        <v>234</v>
      </c>
      <c r="D736" s="24" t="s">
        <v>902</v>
      </c>
      <c r="E736" s="24"/>
      <c r="F736" s="4">
        <f>F737</f>
        <v>5585</v>
      </c>
      <c r="G736" s="4">
        <f>G737</f>
        <v>5585</v>
      </c>
    </row>
    <row r="737" spans="1:7" ht="15.75" x14ac:dyDescent="0.25">
      <c r="A737" s="23" t="s">
        <v>989</v>
      </c>
      <c r="B737" s="24" t="s">
        <v>279</v>
      </c>
      <c r="C737" s="24" t="s">
        <v>234</v>
      </c>
      <c r="D737" s="24" t="s">
        <v>903</v>
      </c>
      <c r="E737" s="24"/>
      <c r="F737" s="4">
        <f>F738+F743</f>
        <v>5585</v>
      </c>
      <c r="G737" s="4">
        <f>G738+G743</f>
        <v>5585</v>
      </c>
    </row>
    <row r="738" spans="1:7" ht="31.5" x14ac:dyDescent="0.25">
      <c r="A738" s="25" t="s">
        <v>965</v>
      </c>
      <c r="B738" s="20" t="s">
        <v>279</v>
      </c>
      <c r="C738" s="20" t="s">
        <v>234</v>
      </c>
      <c r="D738" s="20" t="s">
        <v>904</v>
      </c>
      <c r="E738" s="20"/>
      <c r="F738" s="6">
        <f>F739+F741</f>
        <v>5459</v>
      </c>
      <c r="G738" s="6">
        <f>G739+G741</f>
        <v>5459</v>
      </c>
    </row>
    <row r="739" spans="1:7" ht="94.5" x14ac:dyDescent="0.25">
      <c r="A739" s="25" t="s">
        <v>142</v>
      </c>
      <c r="B739" s="20" t="s">
        <v>279</v>
      </c>
      <c r="C739" s="20" t="s">
        <v>234</v>
      </c>
      <c r="D739" s="20" t="s">
        <v>904</v>
      </c>
      <c r="E739" s="20" t="s">
        <v>143</v>
      </c>
      <c r="F739" s="6">
        <f>F740</f>
        <v>5247</v>
      </c>
      <c r="G739" s="6">
        <f>G740</f>
        <v>5247</v>
      </c>
    </row>
    <row r="740" spans="1:7" ht="47.25" x14ac:dyDescent="0.25">
      <c r="A740" s="25" t="s">
        <v>144</v>
      </c>
      <c r="B740" s="20" t="s">
        <v>279</v>
      </c>
      <c r="C740" s="20" t="s">
        <v>234</v>
      </c>
      <c r="D740" s="20" t="s">
        <v>904</v>
      </c>
      <c r="E740" s="20" t="s">
        <v>145</v>
      </c>
      <c r="F740" s="6">
        <f>'пр.4.1.ведом.21-22'!G748</f>
        <v>5247</v>
      </c>
      <c r="G740" s="6">
        <f>'пр.4.1.ведом.21-22'!H748</f>
        <v>5247</v>
      </c>
    </row>
    <row r="741" spans="1:7" ht="31.5" x14ac:dyDescent="0.25">
      <c r="A741" s="25" t="s">
        <v>146</v>
      </c>
      <c r="B741" s="20" t="s">
        <v>279</v>
      </c>
      <c r="C741" s="20" t="s">
        <v>234</v>
      </c>
      <c r="D741" s="20" t="s">
        <v>904</v>
      </c>
      <c r="E741" s="20" t="s">
        <v>147</v>
      </c>
      <c r="F741" s="6">
        <f>F742</f>
        <v>212</v>
      </c>
      <c r="G741" s="6">
        <f>G742</f>
        <v>212</v>
      </c>
    </row>
    <row r="742" spans="1:7" ht="47.25" x14ac:dyDescent="0.25">
      <c r="A742" s="25" t="s">
        <v>148</v>
      </c>
      <c r="B742" s="20" t="s">
        <v>279</v>
      </c>
      <c r="C742" s="20" t="s">
        <v>234</v>
      </c>
      <c r="D742" s="20" t="s">
        <v>904</v>
      </c>
      <c r="E742" s="20" t="s">
        <v>149</v>
      </c>
      <c r="F742" s="6">
        <f>'пр.4.1.ведом.21-22'!G750</f>
        <v>212</v>
      </c>
      <c r="G742" s="6">
        <f>'пр.4.1.ведом.21-22'!H750</f>
        <v>212</v>
      </c>
    </row>
    <row r="743" spans="1:7" ht="47.25" x14ac:dyDescent="0.25">
      <c r="A743" s="25" t="s">
        <v>883</v>
      </c>
      <c r="B743" s="20" t="s">
        <v>279</v>
      </c>
      <c r="C743" s="20" t="s">
        <v>234</v>
      </c>
      <c r="D743" s="20" t="s">
        <v>906</v>
      </c>
      <c r="E743" s="20"/>
      <c r="F743" s="6">
        <f>F744</f>
        <v>126</v>
      </c>
      <c r="G743" s="6">
        <f>G744</f>
        <v>126</v>
      </c>
    </row>
    <row r="744" spans="1:7" ht="94.5" x14ac:dyDescent="0.25">
      <c r="A744" s="25" t="s">
        <v>142</v>
      </c>
      <c r="B744" s="20" t="s">
        <v>279</v>
      </c>
      <c r="C744" s="20" t="s">
        <v>234</v>
      </c>
      <c r="D744" s="20" t="s">
        <v>906</v>
      </c>
      <c r="E744" s="20" t="s">
        <v>143</v>
      </c>
      <c r="F744" s="6">
        <f>F745</f>
        <v>126</v>
      </c>
      <c r="G744" s="6">
        <f>G745</f>
        <v>126</v>
      </c>
    </row>
    <row r="745" spans="1:7" ht="47.25" x14ac:dyDescent="0.25">
      <c r="A745" s="25" t="s">
        <v>144</v>
      </c>
      <c r="B745" s="20" t="s">
        <v>279</v>
      </c>
      <c r="C745" s="20" t="s">
        <v>234</v>
      </c>
      <c r="D745" s="20" t="s">
        <v>906</v>
      </c>
      <c r="E745" s="20" t="s">
        <v>145</v>
      </c>
      <c r="F745" s="6">
        <f>'пр.4.1.ведом.21-22'!G753</f>
        <v>126</v>
      </c>
      <c r="G745" s="6">
        <f>'пр.4.1.ведом.21-22'!H753</f>
        <v>126</v>
      </c>
    </row>
    <row r="746" spans="1:7" ht="15.75" x14ac:dyDescent="0.25">
      <c r="A746" s="23" t="s">
        <v>156</v>
      </c>
      <c r="B746" s="24" t="s">
        <v>279</v>
      </c>
      <c r="C746" s="24" t="s">
        <v>234</v>
      </c>
      <c r="D746" s="24" t="s">
        <v>910</v>
      </c>
      <c r="E746" s="24"/>
      <c r="F746" s="4">
        <f>F747+F751</f>
        <v>14245</v>
      </c>
      <c r="G746" s="4">
        <f>G747+G751</f>
        <v>14245</v>
      </c>
    </row>
    <row r="747" spans="1:7" ht="31.5" x14ac:dyDescent="0.25">
      <c r="A747" s="23" t="s">
        <v>914</v>
      </c>
      <c r="B747" s="24" t="s">
        <v>279</v>
      </c>
      <c r="C747" s="24" t="s">
        <v>234</v>
      </c>
      <c r="D747" s="24" t="s">
        <v>909</v>
      </c>
      <c r="E747" s="24"/>
      <c r="F747" s="4">
        <f t="shared" ref="F747:G749" si="49">F748</f>
        <v>300</v>
      </c>
      <c r="G747" s="4">
        <f t="shared" si="49"/>
        <v>300</v>
      </c>
    </row>
    <row r="748" spans="1:7" ht="31.5" x14ac:dyDescent="0.25">
      <c r="A748" s="25" t="s">
        <v>493</v>
      </c>
      <c r="B748" s="20" t="s">
        <v>279</v>
      </c>
      <c r="C748" s="20" t="s">
        <v>234</v>
      </c>
      <c r="D748" s="20" t="s">
        <v>1058</v>
      </c>
      <c r="E748" s="20"/>
      <c r="F748" s="6">
        <f t="shared" si="49"/>
        <v>300</v>
      </c>
      <c r="G748" s="6">
        <f t="shared" si="49"/>
        <v>300</v>
      </c>
    </row>
    <row r="749" spans="1:7" ht="31.5" x14ac:dyDescent="0.25">
      <c r="A749" s="25" t="s">
        <v>146</v>
      </c>
      <c r="B749" s="20" t="s">
        <v>279</v>
      </c>
      <c r="C749" s="20" t="s">
        <v>234</v>
      </c>
      <c r="D749" s="20" t="s">
        <v>1058</v>
      </c>
      <c r="E749" s="20" t="s">
        <v>147</v>
      </c>
      <c r="F749" s="6">
        <f t="shared" si="49"/>
        <v>300</v>
      </c>
      <c r="G749" s="6">
        <f t="shared" si="49"/>
        <v>300</v>
      </c>
    </row>
    <row r="750" spans="1:7" ht="47.25" x14ac:dyDescent="0.25">
      <c r="A750" s="25" t="s">
        <v>148</v>
      </c>
      <c r="B750" s="20" t="s">
        <v>279</v>
      </c>
      <c r="C750" s="20" t="s">
        <v>234</v>
      </c>
      <c r="D750" s="20" t="s">
        <v>1058</v>
      </c>
      <c r="E750" s="20" t="s">
        <v>149</v>
      </c>
      <c r="F750" s="6">
        <f>'пр.4.1.ведом.21-22'!G758</f>
        <v>300</v>
      </c>
      <c r="G750" s="6">
        <f>'пр.4.1.ведом.21-22'!H758</f>
        <v>300</v>
      </c>
    </row>
    <row r="751" spans="1:7" ht="47.25" x14ac:dyDescent="0.25">
      <c r="A751" s="23" t="s">
        <v>1000</v>
      </c>
      <c r="B751" s="24" t="s">
        <v>279</v>
      </c>
      <c r="C751" s="24" t="s">
        <v>234</v>
      </c>
      <c r="D751" s="24" t="s">
        <v>985</v>
      </c>
      <c r="E751" s="24"/>
      <c r="F751" s="4">
        <f>F752+F759</f>
        <v>13945</v>
      </c>
      <c r="G751" s="4">
        <f>G752+G759</f>
        <v>13945</v>
      </c>
    </row>
    <row r="752" spans="1:7" ht="31.5" x14ac:dyDescent="0.25">
      <c r="A752" s="25" t="s">
        <v>972</v>
      </c>
      <c r="B752" s="20" t="s">
        <v>279</v>
      </c>
      <c r="C752" s="20" t="s">
        <v>234</v>
      </c>
      <c r="D752" s="20" t="s">
        <v>986</v>
      </c>
      <c r="E752" s="20"/>
      <c r="F752" s="6">
        <f>F753+F755+F757</f>
        <v>13609</v>
      </c>
      <c r="G752" s="6">
        <f>G753+G755+G757</f>
        <v>13609</v>
      </c>
    </row>
    <row r="753" spans="1:7" ht="94.5" x14ac:dyDescent="0.25">
      <c r="A753" s="25" t="s">
        <v>142</v>
      </c>
      <c r="B753" s="20" t="s">
        <v>279</v>
      </c>
      <c r="C753" s="20" t="s">
        <v>234</v>
      </c>
      <c r="D753" s="20" t="s">
        <v>986</v>
      </c>
      <c r="E753" s="20" t="s">
        <v>143</v>
      </c>
      <c r="F753" s="6">
        <f>F754</f>
        <v>12517</v>
      </c>
      <c r="G753" s="6">
        <f>G754</f>
        <v>12517</v>
      </c>
    </row>
    <row r="754" spans="1:7" ht="31.5" x14ac:dyDescent="0.25">
      <c r="A754" s="25" t="s">
        <v>357</v>
      </c>
      <c r="B754" s="20" t="s">
        <v>279</v>
      </c>
      <c r="C754" s="20" t="s">
        <v>234</v>
      </c>
      <c r="D754" s="20" t="s">
        <v>986</v>
      </c>
      <c r="E754" s="20" t="s">
        <v>224</v>
      </c>
      <c r="F754" s="6">
        <f>'пр.4.1.ведом.21-22'!G762</f>
        <v>12517</v>
      </c>
      <c r="G754" s="6">
        <f>'пр.4.1.ведом.21-22'!H762</f>
        <v>12517</v>
      </c>
    </row>
    <row r="755" spans="1:7" ht="31.5" x14ac:dyDescent="0.25">
      <c r="A755" s="25" t="s">
        <v>146</v>
      </c>
      <c r="B755" s="20" t="s">
        <v>279</v>
      </c>
      <c r="C755" s="20" t="s">
        <v>234</v>
      </c>
      <c r="D755" s="20" t="s">
        <v>986</v>
      </c>
      <c r="E755" s="20" t="s">
        <v>147</v>
      </c>
      <c r="F755" s="6">
        <f>F756</f>
        <v>1077</v>
      </c>
      <c r="G755" s="6">
        <f>G756</f>
        <v>1077</v>
      </c>
    </row>
    <row r="756" spans="1:7" ht="47.25" x14ac:dyDescent="0.25">
      <c r="A756" s="25" t="s">
        <v>148</v>
      </c>
      <c r="B756" s="20" t="s">
        <v>279</v>
      </c>
      <c r="C756" s="20" t="s">
        <v>234</v>
      </c>
      <c r="D756" s="20" t="s">
        <v>986</v>
      </c>
      <c r="E756" s="20" t="s">
        <v>149</v>
      </c>
      <c r="F756" s="6">
        <f>'пр.4.1.ведом.21-22'!G764</f>
        <v>1077</v>
      </c>
      <c r="G756" s="6">
        <f>'пр.4.1.ведом.21-22'!H764</f>
        <v>1077</v>
      </c>
    </row>
    <row r="757" spans="1:7" ht="15.75" x14ac:dyDescent="0.25">
      <c r="A757" s="25" t="s">
        <v>150</v>
      </c>
      <c r="B757" s="20" t="s">
        <v>279</v>
      </c>
      <c r="C757" s="20" t="s">
        <v>234</v>
      </c>
      <c r="D757" s="20" t="s">
        <v>986</v>
      </c>
      <c r="E757" s="20" t="s">
        <v>160</v>
      </c>
      <c r="F757" s="6">
        <f>F758</f>
        <v>15</v>
      </c>
      <c r="G757" s="6">
        <f>G758</f>
        <v>15</v>
      </c>
    </row>
    <row r="758" spans="1:7" ht="31.5" x14ac:dyDescent="0.25">
      <c r="A758" s="25" t="s">
        <v>583</v>
      </c>
      <c r="B758" s="20" t="s">
        <v>279</v>
      </c>
      <c r="C758" s="20" t="s">
        <v>234</v>
      </c>
      <c r="D758" s="20" t="s">
        <v>986</v>
      </c>
      <c r="E758" s="20" t="s">
        <v>153</v>
      </c>
      <c r="F758" s="6">
        <f>'пр.4.1.ведом.21-22'!G766</f>
        <v>15</v>
      </c>
      <c r="G758" s="6">
        <f>'пр.4.1.ведом.21-22'!H766</f>
        <v>15</v>
      </c>
    </row>
    <row r="759" spans="1:7" ht="47.25" x14ac:dyDescent="0.25">
      <c r="A759" s="25" t="s">
        <v>883</v>
      </c>
      <c r="B759" s="20" t="s">
        <v>279</v>
      </c>
      <c r="C759" s="20" t="s">
        <v>234</v>
      </c>
      <c r="D759" s="20" t="s">
        <v>987</v>
      </c>
      <c r="E759" s="20"/>
      <c r="F759" s="6">
        <f>F760</f>
        <v>336</v>
      </c>
      <c r="G759" s="6">
        <f>G760</f>
        <v>336</v>
      </c>
    </row>
    <row r="760" spans="1:7" ht="94.5" x14ac:dyDescent="0.25">
      <c r="A760" s="25" t="s">
        <v>142</v>
      </c>
      <c r="B760" s="20" t="s">
        <v>279</v>
      </c>
      <c r="C760" s="20" t="s">
        <v>234</v>
      </c>
      <c r="D760" s="20" t="s">
        <v>987</v>
      </c>
      <c r="E760" s="20" t="s">
        <v>143</v>
      </c>
      <c r="F760" s="6">
        <f>F761</f>
        <v>336</v>
      </c>
      <c r="G760" s="6">
        <f>G761</f>
        <v>336</v>
      </c>
    </row>
    <row r="761" spans="1:7" ht="47.25" x14ac:dyDescent="0.25">
      <c r="A761" s="25" t="s">
        <v>144</v>
      </c>
      <c r="B761" s="20" t="s">
        <v>279</v>
      </c>
      <c r="C761" s="20" t="s">
        <v>234</v>
      </c>
      <c r="D761" s="20" t="s">
        <v>987</v>
      </c>
      <c r="E761" s="20" t="s">
        <v>145</v>
      </c>
      <c r="F761" s="6">
        <f>'пр.4.1.ведом.21-22'!G769</f>
        <v>336</v>
      </c>
      <c r="G761" s="6">
        <f>'пр.4.1.ведом.21-22'!H769</f>
        <v>336</v>
      </c>
    </row>
    <row r="762" spans="1:7" ht="15.75" x14ac:dyDescent="0.25">
      <c r="A762" s="41" t="s">
        <v>313</v>
      </c>
      <c r="B762" s="7" t="s">
        <v>314</v>
      </c>
      <c r="C762" s="7"/>
      <c r="D762" s="7"/>
      <c r="E762" s="7"/>
      <c r="F762" s="4">
        <f>F763+F836</f>
        <v>70268.512000000002</v>
      </c>
      <c r="G762" s="4">
        <f>G763+G836</f>
        <v>67994.2</v>
      </c>
    </row>
    <row r="763" spans="1:7" ht="15.75" x14ac:dyDescent="0.25">
      <c r="A763" s="41" t="s">
        <v>315</v>
      </c>
      <c r="B763" s="7" t="s">
        <v>314</v>
      </c>
      <c r="C763" s="7" t="s">
        <v>133</v>
      </c>
      <c r="D763" s="7"/>
      <c r="E763" s="7"/>
      <c r="F763" s="4">
        <f>F764+F826+F831</f>
        <v>52929.512000000002</v>
      </c>
      <c r="G763" s="4">
        <f>G764+G826+G831</f>
        <v>50655.199999999997</v>
      </c>
    </row>
    <row r="764" spans="1:7" ht="47.25" x14ac:dyDescent="0.25">
      <c r="A764" s="23" t="s">
        <v>1430</v>
      </c>
      <c r="B764" s="24" t="s">
        <v>314</v>
      </c>
      <c r="C764" s="24" t="s">
        <v>133</v>
      </c>
      <c r="D764" s="24" t="s">
        <v>282</v>
      </c>
      <c r="E764" s="24"/>
      <c r="F764" s="4">
        <f>F765+F792</f>
        <v>52136.312000000005</v>
      </c>
      <c r="G764" s="4">
        <f>G765+G792</f>
        <v>49862</v>
      </c>
    </row>
    <row r="765" spans="1:7" ht="63" x14ac:dyDescent="0.25">
      <c r="A765" s="23" t="s">
        <v>1450</v>
      </c>
      <c r="B765" s="24" t="s">
        <v>314</v>
      </c>
      <c r="C765" s="24" t="s">
        <v>133</v>
      </c>
      <c r="D765" s="24" t="s">
        <v>317</v>
      </c>
      <c r="E765" s="24"/>
      <c r="F765" s="4">
        <f>F766+F774+F780+F784+F788</f>
        <v>27742.858</v>
      </c>
      <c r="G765" s="4">
        <f>G766+G774+G780+G784+G788</f>
        <v>25446.3</v>
      </c>
    </row>
    <row r="766" spans="1:7" ht="47.25" x14ac:dyDescent="0.25">
      <c r="A766" s="23" t="s">
        <v>954</v>
      </c>
      <c r="B766" s="24" t="s">
        <v>314</v>
      </c>
      <c r="C766" s="24" t="s">
        <v>133</v>
      </c>
      <c r="D766" s="24" t="s">
        <v>955</v>
      </c>
      <c r="E766" s="24"/>
      <c r="F766" s="4">
        <f>F767</f>
        <v>23784</v>
      </c>
      <c r="G766" s="4">
        <f>G767</f>
        <v>23784</v>
      </c>
    </row>
    <row r="767" spans="1:7" ht="31.5" x14ac:dyDescent="0.25">
      <c r="A767" s="25" t="s">
        <v>830</v>
      </c>
      <c r="B767" s="20" t="s">
        <v>314</v>
      </c>
      <c r="C767" s="20" t="s">
        <v>133</v>
      </c>
      <c r="D767" s="20" t="s">
        <v>953</v>
      </c>
      <c r="E767" s="20"/>
      <c r="F767" s="6">
        <f>F768+F770+F772</f>
        <v>23784</v>
      </c>
      <c r="G767" s="6">
        <f>G768+G770+G772</f>
        <v>23784</v>
      </c>
    </row>
    <row r="768" spans="1:7" ht="94.5" x14ac:dyDescent="0.25">
      <c r="A768" s="25" t="s">
        <v>142</v>
      </c>
      <c r="B768" s="20" t="s">
        <v>314</v>
      </c>
      <c r="C768" s="20" t="s">
        <v>133</v>
      </c>
      <c r="D768" s="20" t="s">
        <v>953</v>
      </c>
      <c r="E768" s="20" t="s">
        <v>143</v>
      </c>
      <c r="F768" s="6">
        <f>F769</f>
        <v>20032</v>
      </c>
      <c r="G768" s="6">
        <f>G769</f>
        <v>20032</v>
      </c>
    </row>
    <row r="769" spans="1:7" ht="31.5" x14ac:dyDescent="0.25">
      <c r="A769" s="25" t="s">
        <v>223</v>
      </c>
      <c r="B769" s="20" t="s">
        <v>314</v>
      </c>
      <c r="C769" s="20" t="s">
        <v>133</v>
      </c>
      <c r="D769" s="20" t="s">
        <v>953</v>
      </c>
      <c r="E769" s="20" t="s">
        <v>224</v>
      </c>
      <c r="F769" s="6">
        <f>'пр.4.1.ведом.21-22'!G348</f>
        <v>20032</v>
      </c>
      <c r="G769" s="6">
        <f>'пр.4.1.ведом.21-22'!H348</f>
        <v>20032</v>
      </c>
    </row>
    <row r="770" spans="1:7" ht="31.5" x14ac:dyDescent="0.25">
      <c r="A770" s="25" t="s">
        <v>146</v>
      </c>
      <c r="B770" s="20" t="s">
        <v>314</v>
      </c>
      <c r="C770" s="20" t="s">
        <v>133</v>
      </c>
      <c r="D770" s="20" t="s">
        <v>953</v>
      </c>
      <c r="E770" s="20" t="s">
        <v>147</v>
      </c>
      <c r="F770" s="6">
        <f>F771</f>
        <v>3715</v>
      </c>
      <c r="G770" s="6">
        <f>G771</f>
        <v>3715</v>
      </c>
    </row>
    <row r="771" spans="1:7" ht="47.25" x14ac:dyDescent="0.25">
      <c r="A771" s="25" t="s">
        <v>148</v>
      </c>
      <c r="B771" s="20" t="s">
        <v>314</v>
      </c>
      <c r="C771" s="20" t="s">
        <v>133</v>
      </c>
      <c r="D771" s="20" t="s">
        <v>953</v>
      </c>
      <c r="E771" s="20" t="s">
        <v>149</v>
      </c>
      <c r="F771" s="6">
        <f>'пр.4.1.ведом.21-22'!G350</f>
        <v>3715</v>
      </c>
      <c r="G771" s="6">
        <f>'пр.4.1.ведом.21-22'!H350</f>
        <v>3715</v>
      </c>
    </row>
    <row r="772" spans="1:7" ht="15.75" x14ac:dyDescent="0.25">
      <c r="A772" s="25" t="s">
        <v>150</v>
      </c>
      <c r="B772" s="20" t="s">
        <v>314</v>
      </c>
      <c r="C772" s="20" t="s">
        <v>133</v>
      </c>
      <c r="D772" s="20" t="s">
        <v>953</v>
      </c>
      <c r="E772" s="20" t="s">
        <v>160</v>
      </c>
      <c r="F772" s="6">
        <f>F773</f>
        <v>37</v>
      </c>
      <c r="G772" s="6">
        <f>G773</f>
        <v>37</v>
      </c>
    </row>
    <row r="773" spans="1:7" ht="31.5" x14ac:dyDescent="0.25">
      <c r="A773" s="25" t="s">
        <v>583</v>
      </c>
      <c r="B773" s="20" t="s">
        <v>314</v>
      </c>
      <c r="C773" s="20" t="s">
        <v>133</v>
      </c>
      <c r="D773" s="20" t="s">
        <v>953</v>
      </c>
      <c r="E773" s="20" t="s">
        <v>153</v>
      </c>
      <c r="F773" s="6">
        <f>'пр.4.1.ведом.21-22'!G352</f>
        <v>37</v>
      </c>
      <c r="G773" s="6">
        <f>'пр.4.1.ведом.21-22'!H352</f>
        <v>37</v>
      </c>
    </row>
    <row r="774" spans="1:7" ht="47.25" x14ac:dyDescent="0.25">
      <c r="A774" s="244" t="s">
        <v>968</v>
      </c>
      <c r="B774" s="24" t="s">
        <v>314</v>
      </c>
      <c r="C774" s="24" t="s">
        <v>133</v>
      </c>
      <c r="D774" s="24" t="s">
        <v>956</v>
      </c>
      <c r="E774" s="24"/>
      <c r="F774" s="4">
        <f>F775</f>
        <v>250</v>
      </c>
      <c r="G774" s="4">
        <f>G775</f>
        <v>250</v>
      </c>
    </row>
    <row r="775" spans="1:7" ht="47.25" x14ac:dyDescent="0.25">
      <c r="A775" s="31" t="s">
        <v>858</v>
      </c>
      <c r="B775" s="20" t="s">
        <v>314</v>
      </c>
      <c r="C775" s="20" t="s">
        <v>133</v>
      </c>
      <c r="D775" s="20" t="s">
        <v>957</v>
      </c>
      <c r="E775" s="20"/>
      <c r="F775" s="6">
        <f>F778</f>
        <v>250</v>
      </c>
      <c r="G775" s="6">
        <f>G778</f>
        <v>250</v>
      </c>
    </row>
    <row r="776" spans="1:7" ht="94.5" hidden="1" x14ac:dyDescent="0.25">
      <c r="A776" s="25" t="s">
        <v>142</v>
      </c>
      <c r="B776" s="20" t="s">
        <v>314</v>
      </c>
      <c r="C776" s="20" t="s">
        <v>133</v>
      </c>
      <c r="D776" s="20" t="s">
        <v>957</v>
      </c>
      <c r="E776" s="20" t="s">
        <v>143</v>
      </c>
      <c r="F776" s="6">
        <f>'Пр.3 Рд,пр, ЦС,ВР 20'!F797</f>
        <v>455.4</v>
      </c>
      <c r="G776" s="6">
        <f>'Пр.3 Рд,пр, ЦС,ВР 20'!G797</f>
        <v>0</v>
      </c>
    </row>
    <row r="777" spans="1:7" ht="31.5" hidden="1" x14ac:dyDescent="0.25">
      <c r="A777" s="25" t="s">
        <v>223</v>
      </c>
      <c r="B777" s="20" t="s">
        <v>314</v>
      </c>
      <c r="C777" s="20" t="s">
        <v>133</v>
      </c>
      <c r="D777" s="20" t="s">
        <v>957</v>
      </c>
      <c r="E777" s="20" t="s">
        <v>224</v>
      </c>
      <c r="F777" s="6">
        <f>'Пр.3 Рд,пр, ЦС,ВР 20'!F798</f>
        <v>455.4</v>
      </c>
      <c r="G777" s="6">
        <f>'Пр.3 Рд,пр, ЦС,ВР 20'!G798</f>
        <v>0</v>
      </c>
    </row>
    <row r="778" spans="1:7" ht="31.5" x14ac:dyDescent="0.25">
      <c r="A778" s="25" t="s">
        <v>146</v>
      </c>
      <c r="B778" s="20" t="s">
        <v>314</v>
      </c>
      <c r="C778" s="20" t="s">
        <v>133</v>
      </c>
      <c r="D778" s="20" t="s">
        <v>957</v>
      </c>
      <c r="E778" s="20" t="s">
        <v>147</v>
      </c>
      <c r="F778" s="6">
        <f>F779</f>
        <v>250</v>
      </c>
      <c r="G778" s="6">
        <f>G779</f>
        <v>250</v>
      </c>
    </row>
    <row r="779" spans="1:7" ht="47.25" x14ac:dyDescent="0.25">
      <c r="A779" s="25" t="s">
        <v>148</v>
      </c>
      <c r="B779" s="20" t="s">
        <v>314</v>
      </c>
      <c r="C779" s="20" t="s">
        <v>133</v>
      </c>
      <c r="D779" s="20" t="s">
        <v>957</v>
      </c>
      <c r="E779" s="20" t="s">
        <v>149</v>
      </c>
      <c r="F779" s="6">
        <f>'пр.4.1.ведом.21-22'!G358</f>
        <v>250</v>
      </c>
      <c r="G779" s="6">
        <f>'пр.4.1.ведом.21-22'!H358</f>
        <v>250</v>
      </c>
    </row>
    <row r="780" spans="1:7" ht="47.25" x14ac:dyDescent="0.25">
      <c r="A780" s="23" t="s">
        <v>1074</v>
      </c>
      <c r="B780" s="24" t="s">
        <v>314</v>
      </c>
      <c r="C780" s="24" t="s">
        <v>133</v>
      </c>
      <c r="D780" s="24" t="s">
        <v>1162</v>
      </c>
      <c r="E780" s="24"/>
      <c r="F780" s="4">
        <f t="shared" ref="F780:G782" si="50">F781</f>
        <v>588</v>
      </c>
      <c r="G780" s="4">
        <f t="shared" si="50"/>
        <v>588</v>
      </c>
    </row>
    <row r="781" spans="1:7" ht="47.25" x14ac:dyDescent="0.25">
      <c r="A781" s="25" t="s">
        <v>883</v>
      </c>
      <c r="B781" s="20" t="s">
        <v>314</v>
      </c>
      <c r="C781" s="20" t="s">
        <v>133</v>
      </c>
      <c r="D781" s="20" t="s">
        <v>1163</v>
      </c>
      <c r="E781" s="20"/>
      <c r="F781" s="6">
        <f t="shared" si="50"/>
        <v>588</v>
      </c>
      <c r="G781" s="6">
        <f t="shared" si="50"/>
        <v>588</v>
      </c>
    </row>
    <row r="782" spans="1:7" ht="94.5" x14ac:dyDescent="0.25">
      <c r="A782" s="25" t="s">
        <v>142</v>
      </c>
      <c r="B782" s="20" t="s">
        <v>314</v>
      </c>
      <c r="C782" s="20" t="s">
        <v>133</v>
      </c>
      <c r="D782" s="20" t="s">
        <v>1163</v>
      </c>
      <c r="E782" s="20" t="s">
        <v>143</v>
      </c>
      <c r="F782" s="6">
        <f t="shared" si="50"/>
        <v>588</v>
      </c>
      <c r="G782" s="6">
        <f t="shared" si="50"/>
        <v>588</v>
      </c>
    </row>
    <row r="783" spans="1:7" ht="47.25" x14ac:dyDescent="0.25">
      <c r="A783" s="25" t="s">
        <v>144</v>
      </c>
      <c r="B783" s="20" t="s">
        <v>314</v>
      </c>
      <c r="C783" s="20" t="s">
        <v>133</v>
      </c>
      <c r="D783" s="20" t="s">
        <v>1163</v>
      </c>
      <c r="E783" s="20" t="s">
        <v>224</v>
      </c>
      <c r="F783" s="6">
        <f>'пр.4.1.ведом.21-22'!G362</f>
        <v>588</v>
      </c>
      <c r="G783" s="6">
        <f>'пр.4.1.ведом.21-22'!H362</f>
        <v>588</v>
      </c>
    </row>
    <row r="784" spans="1:7" ht="50.25" customHeight="1" x14ac:dyDescent="0.25">
      <c r="A784" s="245" t="s">
        <v>969</v>
      </c>
      <c r="B784" s="24" t="s">
        <v>314</v>
      </c>
      <c r="C784" s="24" t="s">
        <v>133</v>
      </c>
      <c r="D784" s="24" t="s">
        <v>1164</v>
      </c>
      <c r="E784" s="24"/>
      <c r="F784" s="4">
        <f t="shared" ref="F784:G786" si="51">F785</f>
        <v>824.3</v>
      </c>
      <c r="G784" s="4">
        <f t="shared" si="51"/>
        <v>824.3</v>
      </c>
    </row>
    <row r="785" spans="1:7" ht="126" x14ac:dyDescent="0.25">
      <c r="A785" s="31" t="s">
        <v>308</v>
      </c>
      <c r="B785" s="20" t="s">
        <v>314</v>
      </c>
      <c r="C785" s="20" t="s">
        <v>133</v>
      </c>
      <c r="D785" s="20" t="s">
        <v>1527</v>
      </c>
      <c r="E785" s="20"/>
      <c r="F785" s="6">
        <f t="shared" si="51"/>
        <v>824.3</v>
      </c>
      <c r="G785" s="6">
        <f t="shared" si="51"/>
        <v>824.3</v>
      </c>
    </row>
    <row r="786" spans="1:7" ht="94.5" x14ac:dyDescent="0.25">
      <c r="A786" s="25" t="s">
        <v>142</v>
      </c>
      <c r="B786" s="20" t="s">
        <v>314</v>
      </c>
      <c r="C786" s="20" t="s">
        <v>133</v>
      </c>
      <c r="D786" s="368" t="s">
        <v>1527</v>
      </c>
      <c r="E786" s="20" t="s">
        <v>143</v>
      </c>
      <c r="F786" s="6">
        <f t="shared" si="51"/>
        <v>824.3</v>
      </c>
      <c r="G786" s="6">
        <f t="shared" si="51"/>
        <v>824.3</v>
      </c>
    </row>
    <row r="787" spans="1:7" ht="31.5" x14ac:dyDescent="0.25">
      <c r="A787" s="25" t="s">
        <v>223</v>
      </c>
      <c r="B787" s="20" t="s">
        <v>314</v>
      </c>
      <c r="C787" s="20" t="s">
        <v>133</v>
      </c>
      <c r="D787" s="368" t="s">
        <v>1527</v>
      </c>
      <c r="E787" s="20" t="s">
        <v>224</v>
      </c>
      <c r="F787" s="6">
        <f>'пр.4.1.ведом.21-22'!G366</f>
        <v>824.3</v>
      </c>
      <c r="G787" s="6">
        <f>'пр.4.1.ведом.21-22'!H366</f>
        <v>824.3</v>
      </c>
    </row>
    <row r="788" spans="1:7" s="221" customFormat="1" ht="47.25" x14ac:dyDescent="0.25">
      <c r="A788" s="299" t="s">
        <v>1448</v>
      </c>
      <c r="B788" s="24" t="s">
        <v>314</v>
      </c>
      <c r="C788" s="24" t="s">
        <v>133</v>
      </c>
      <c r="D788" s="24" t="s">
        <v>1447</v>
      </c>
      <c r="E788" s="24"/>
      <c r="F788" s="21">
        <f t="shared" ref="F788:G788" si="52">F789</f>
        <v>2296.558</v>
      </c>
      <c r="G788" s="21">
        <f t="shared" si="52"/>
        <v>0</v>
      </c>
    </row>
    <row r="789" spans="1:7" s="221" customFormat="1" ht="63" x14ac:dyDescent="0.25">
      <c r="A789" s="300" t="s">
        <v>1410</v>
      </c>
      <c r="B789" s="20" t="s">
        <v>314</v>
      </c>
      <c r="C789" s="20" t="s">
        <v>133</v>
      </c>
      <c r="D789" s="20" t="s">
        <v>1446</v>
      </c>
      <c r="E789" s="20"/>
      <c r="F789" s="26">
        <f>F790</f>
        <v>2296.558</v>
      </c>
      <c r="G789" s="26">
        <f>G790</f>
        <v>0</v>
      </c>
    </row>
    <row r="790" spans="1:7" s="221" customFormat="1" ht="31.5" x14ac:dyDescent="0.25">
      <c r="A790" s="25" t="s">
        <v>146</v>
      </c>
      <c r="B790" s="20" t="s">
        <v>314</v>
      </c>
      <c r="C790" s="20" t="s">
        <v>133</v>
      </c>
      <c r="D790" s="20" t="s">
        <v>1446</v>
      </c>
      <c r="E790" s="20" t="s">
        <v>147</v>
      </c>
      <c r="F790" s="26">
        <f>F791</f>
        <v>2296.558</v>
      </c>
      <c r="G790" s="26">
        <f>G791</f>
        <v>0</v>
      </c>
    </row>
    <row r="791" spans="1:7" s="221" customFormat="1" ht="47.25" x14ac:dyDescent="0.25">
      <c r="A791" s="25" t="s">
        <v>148</v>
      </c>
      <c r="B791" s="20" t="s">
        <v>314</v>
      </c>
      <c r="C791" s="20" t="s">
        <v>133</v>
      </c>
      <c r="D791" s="20" t="s">
        <v>1446</v>
      </c>
      <c r="E791" s="20" t="s">
        <v>149</v>
      </c>
      <c r="F791" s="26">
        <f>'пр.4.1.ведом.21-22'!G370</f>
        <v>2296.558</v>
      </c>
      <c r="G791" s="26">
        <f>'пр.4.1.ведом.21-22'!H370</f>
        <v>0</v>
      </c>
    </row>
    <row r="792" spans="1:7" ht="47.25" x14ac:dyDescent="0.25">
      <c r="A792" s="23" t="s">
        <v>1456</v>
      </c>
      <c r="B792" s="24" t="s">
        <v>314</v>
      </c>
      <c r="C792" s="24" t="s">
        <v>133</v>
      </c>
      <c r="D792" s="24" t="s">
        <v>328</v>
      </c>
      <c r="E792" s="24"/>
      <c r="F792" s="4">
        <f>F793+F801+F805+F809+F816</f>
        <v>24393.454000000002</v>
      </c>
      <c r="G792" s="4">
        <f>G793+G801+G805+G809+G816</f>
        <v>24415.7</v>
      </c>
    </row>
    <row r="793" spans="1:7" ht="47.25" x14ac:dyDescent="0.25">
      <c r="A793" s="23" t="s">
        <v>954</v>
      </c>
      <c r="B793" s="24" t="s">
        <v>314</v>
      </c>
      <c r="C793" s="24" t="s">
        <v>133</v>
      </c>
      <c r="D793" s="24" t="s">
        <v>958</v>
      </c>
      <c r="E793" s="24"/>
      <c r="F793" s="4">
        <f>F794</f>
        <v>22194</v>
      </c>
      <c r="G793" s="4">
        <f>G794</f>
        <v>22194</v>
      </c>
    </row>
    <row r="794" spans="1:7" ht="31.5" x14ac:dyDescent="0.25">
      <c r="A794" s="25" t="s">
        <v>830</v>
      </c>
      <c r="B794" s="20" t="s">
        <v>314</v>
      </c>
      <c r="C794" s="20" t="s">
        <v>133</v>
      </c>
      <c r="D794" s="20" t="s">
        <v>959</v>
      </c>
      <c r="E794" s="20"/>
      <c r="F794" s="6">
        <f>F795+F797+F799</f>
        <v>22194</v>
      </c>
      <c r="G794" s="6">
        <f>G795+G797+G799</f>
        <v>22194</v>
      </c>
    </row>
    <row r="795" spans="1:7" ht="94.5" x14ac:dyDescent="0.25">
      <c r="A795" s="25" t="s">
        <v>142</v>
      </c>
      <c r="B795" s="20" t="s">
        <v>314</v>
      </c>
      <c r="C795" s="20" t="s">
        <v>133</v>
      </c>
      <c r="D795" s="20" t="s">
        <v>959</v>
      </c>
      <c r="E795" s="20" t="s">
        <v>143</v>
      </c>
      <c r="F795" s="6">
        <f>F796</f>
        <v>19218</v>
      </c>
      <c r="G795" s="6">
        <f>G796</f>
        <v>19218</v>
      </c>
    </row>
    <row r="796" spans="1:7" ht="31.5" x14ac:dyDescent="0.25">
      <c r="A796" s="25" t="s">
        <v>223</v>
      </c>
      <c r="B796" s="20" t="s">
        <v>314</v>
      </c>
      <c r="C796" s="20" t="s">
        <v>133</v>
      </c>
      <c r="D796" s="20" t="s">
        <v>959</v>
      </c>
      <c r="E796" s="20" t="s">
        <v>224</v>
      </c>
      <c r="F796" s="6">
        <f>'пр.4.1.ведом.21-22'!G375</f>
        <v>19218</v>
      </c>
      <c r="G796" s="6">
        <f>'пр.4.1.ведом.21-22'!H375</f>
        <v>19218</v>
      </c>
    </row>
    <row r="797" spans="1:7" ht="31.5" x14ac:dyDescent="0.25">
      <c r="A797" s="25" t="s">
        <v>146</v>
      </c>
      <c r="B797" s="20" t="s">
        <v>314</v>
      </c>
      <c r="C797" s="20" t="s">
        <v>133</v>
      </c>
      <c r="D797" s="20" t="s">
        <v>959</v>
      </c>
      <c r="E797" s="20" t="s">
        <v>147</v>
      </c>
      <c r="F797" s="6">
        <f>F798</f>
        <v>2950</v>
      </c>
      <c r="G797" s="6">
        <f>G798</f>
        <v>2950</v>
      </c>
    </row>
    <row r="798" spans="1:7" ht="47.25" x14ac:dyDescent="0.25">
      <c r="A798" s="25" t="s">
        <v>148</v>
      </c>
      <c r="B798" s="20" t="s">
        <v>314</v>
      </c>
      <c r="C798" s="20" t="s">
        <v>133</v>
      </c>
      <c r="D798" s="20" t="s">
        <v>959</v>
      </c>
      <c r="E798" s="20" t="s">
        <v>149</v>
      </c>
      <c r="F798" s="6">
        <f>'пр.4.1.ведом.21-22'!G377</f>
        <v>2950</v>
      </c>
      <c r="G798" s="6">
        <f>'пр.4.1.ведом.21-22'!H377</f>
        <v>2950</v>
      </c>
    </row>
    <row r="799" spans="1:7" ht="15.75" x14ac:dyDescent="0.25">
      <c r="A799" s="25" t="s">
        <v>150</v>
      </c>
      <c r="B799" s="20" t="s">
        <v>314</v>
      </c>
      <c r="C799" s="20" t="s">
        <v>133</v>
      </c>
      <c r="D799" s="20" t="s">
        <v>959</v>
      </c>
      <c r="E799" s="20" t="s">
        <v>160</v>
      </c>
      <c r="F799" s="6">
        <f>F800</f>
        <v>26</v>
      </c>
      <c r="G799" s="6">
        <f>G800</f>
        <v>26</v>
      </c>
    </row>
    <row r="800" spans="1:7" ht="31.5" x14ac:dyDescent="0.25">
      <c r="A800" s="25" t="s">
        <v>583</v>
      </c>
      <c r="B800" s="20" t="s">
        <v>314</v>
      </c>
      <c r="C800" s="20" t="s">
        <v>133</v>
      </c>
      <c r="D800" s="20" t="s">
        <v>959</v>
      </c>
      <c r="E800" s="20" t="s">
        <v>153</v>
      </c>
      <c r="F800" s="6">
        <f>'пр.4.1.ведом.21-22'!G379</f>
        <v>26</v>
      </c>
      <c r="G800" s="6">
        <f>'пр.4.1.ведом.21-22'!H379</f>
        <v>26</v>
      </c>
    </row>
    <row r="801" spans="1:7" ht="47.25" x14ac:dyDescent="0.25">
      <c r="A801" s="23" t="s">
        <v>971</v>
      </c>
      <c r="B801" s="24" t="s">
        <v>314</v>
      </c>
      <c r="C801" s="24" t="s">
        <v>133</v>
      </c>
      <c r="D801" s="24" t="s">
        <v>960</v>
      </c>
      <c r="E801" s="24"/>
      <c r="F801" s="4">
        <f t="shared" ref="F801:G803" si="53">F802</f>
        <v>27.754000000000001</v>
      </c>
      <c r="G801" s="4">
        <f t="shared" si="53"/>
        <v>50</v>
      </c>
    </row>
    <row r="802" spans="1:7" ht="31.5" x14ac:dyDescent="0.25">
      <c r="A802" s="25" t="s">
        <v>864</v>
      </c>
      <c r="B802" s="20" t="s">
        <v>314</v>
      </c>
      <c r="C802" s="20" t="s">
        <v>133</v>
      </c>
      <c r="D802" s="20" t="s">
        <v>961</v>
      </c>
      <c r="E802" s="20"/>
      <c r="F802" s="6">
        <f t="shared" si="53"/>
        <v>27.754000000000001</v>
      </c>
      <c r="G802" s="6">
        <f t="shared" si="53"/>
        <v>50</v>
      </c>
    </row>
    <row r="803" spans="1:7" ht="31.5" x14ac:dyDescent="0.25">
      <c r="A803" s="25" t="s">
        <v>146</v>
      </c>
      <c r="B803" s="20" t="s">
        <v>314</v>
      </c>
      <c r="C803" s="20" t="s">
        <v>133</v>
      </c>
      <c r="D803" s="20" t="s">
        <v>961</v>
      </c>
      <c r="E803" s="20" t="s">
        <v>147</v>
      </c>
      <c r="F803" s="6">
        <f t="shared" si="53"/>
        <v>27.754000000000001</v>
      </c>
      <c r="G803" s="6">
        <f t="shared" si="53"/>
        <v>50</v>
      </c>
    </row>
    <row r="804" spans="1:7" ht="47.25" x14ac:dyDescent="0.25">
      <c r="A804" s="25" t="s">
        <v>148</v>
      </c>
      <c r="B804" s="20" t="s">
        <v>314</v>
      </c>
      <c r="C804" s="20" t="s">
        <v>133</v>
      </c>
      <c r="D804" s="20" t="s">
        <v>961</v>
      </c>
      <c r="E804" s="20" t="s">
        <v>149</v>
      </c>
      <c r="F804" s="6">
        <f>'пр.4.1.ведом.21-22'!G383</f>
        <v>27.754000000000001</v>
      </c>
      <c r="G804" s="6">
        <f>'пр.4.1.ведом.21-22'!H383</f>
        <v>50</v>
      </c>
    </row>
    <row r="805" spans="1:7" ht="47.25" x14ac:dyDescent="0.25">
      <c r="A805" s="23" t="s">
        <v>1074</v>
      </c>
      <c r="B805" s="24" t="s">
        <v>314</v>
      </c>
      <c r="C805" s="24" t="s">
        <v>133</v>
      </c>
      <c r="D805" s="24" t="s">
        <v>962</v>
      </c>
      <c r="E805" s="24"/>
      <c r="F805" s="4">
        <f t="shared" ref="F805:G807" si="54">F806</f>
        <v>507</v>
      </c>
      <c r="G805" s="4">
        <f t="shared" si="54"/>
        <v>507</v>
      </c>
    </row>
    <row r="806" spans="1:7" ht="47.25" x14ac:dyDescent="0.25">
      <c r="A806" s="25" t="s">
        <v>883</v>
      </c>
      <c r="B806" s="20" t="s">
        <v>314</v>
      </c>
      <c r="C806" s="20" t="s">
        <v>133</v>
      </c>
      <c r="D806" s="20" t="s">
        <v>1252</v>
      </c>
      <c r="E806" s="20"/>
      <c r="F806" s="6">
        <f t="shared" si="54"/>
        <v>507</v>
      </c>
      <c r="G806" s="6">
        <f t="shared" si="54"/>
        <v>507</v>
      </c>
    </row>
    <row r="807" spans="1:7" ht="94.5" x14ac:dyDescent="0.25">
      <c r="A807" s="25" t="s">
        <v>142</v>
      </c>
      <c r="B807" s="20" t="s">
        <v>314</v>
      </c>
      <c r="C807" s="20" t="s">
        <v>133</v>
      </c>
      <c r="D807" s="20" t="s">
        <v>1252</v>
      </c>
      <c r="E807" s="20" t="s">
        <v>143</v>
      </c>
      <c r="F807" s="6">
        <f t="shared" si="54"/>
        <v>507</v>
      </c>
      <c r="G807" s="6">
        <f t="shared" si="54"/>
        <v>507</v>
      </c>
    </row>
    <row r="808" spans="1:7" ht="47.25" x14ac:dyDescent="0.25">
      <c r="A808" s="25" t="s">
        <v>144</v>
      </c>
      <c r="B808" s="20" t="s">
        <v>314</v>
      </c>
      <c r="C808" s="20" t="s">
        <v>133</v>
      </c>
      <c r="D808" s="20" t="s">
        <v>1252</v>
      </c>
      <c r="E808" s="20" t="s">
        <v>224</v>
      </c>
      <c r="F808" s="6">
        <f>'пр.4.1.ведом.21-22'!G387</f>
        <v>507</v>
      </c>
      <c r="G808" s="6">
        <f>'пр.4.1.ведом.21-22'!H387</f>
        <v>507</v>
      </c>
    </row>
    <row r="809" spans="1:7" ht="31.5" x14ac:dyDescent="0.25">
      <c r="A809" s="23" t="s">
        <v>1161</v>
      </c>
      <c r="B809" s="24" t="s">
        <v>314</v>
      </c>
      <c r="C809" s="24" t="s">
        <v>133</v>
      </c>
      <c r="D809" s="24" t="s">
        <v>963</v>
      </c>
      <c r="E809" s="24"/>
      <c r="F809" s="4">
        <f>F810+F813</f>
        <v>68.7</v>
      </c>
      <c r="G809" s="4">
        <f>G810+G813</f>
        <v>68.7</v>
      </c>
    </row>
    <row r="810" spans="1:7" ht="31.5" x14ac:dyDescent="0.25">
      <c r="A810" s="25" t="s">
        <v>344</v>
      </c>
      <c r="B810" s="20" t="s">
        <v>314</v>
      </c>
      <c r="C810" s="20" t="s">
        <v>133</v>
      </c>
      <c r="D810" s="20" t="s">
        <v>1253</v>
      </c>
      <c r="E810" s="20"/>
      <c r="F810" s="6">
        <f>F811</f>
        <v>3.5</v>
      </c>
      <c r="G810" s="6">
        <f>G811</f>
        <v>3.5</v>
      </c>
    </row>
    <row r="811" spans="1:7" ht="31.5" x14ac:dyDescent="0.25">
      <c r="A811" s="25" t="s">
        <v>146</v>
      </c>
      <c r="B811" s="20" t="s">
        <v>314</v>
      </c>
      <c r="C811" s="20" t="s">
        <v>133</v>
      </c>
      <c r="D811" s="20" t="s">
        <v>1253</v>
      </c>
      <c r="E811" s="20" t="s">
        <v>147</v>
      </c>
      <c r="F811" s="6">
        <f>F812</f>
        <v>3.5</v>
      </c>
      <c r="G811" s="6">
        <f>G812</f>
        <v>3.5</v>
      </c>
    </row>
    <row r="812" spans="1:7" ht="47.25" x14ac:dyDescent="0.25">
      <c r="A812" s="25" t="s">
        <v>148</v>
      </c>
      <c r="B812" s="20" t="s">
        <v>314</v>
      </c>
      <c r="C812" s="20" t="s">
        <v>133</v>
      </c>
      <c r="D812" s="20" t="s">
        <v>1253</v>
      </c>
      <c r="E812" s="20" t="s">
        <v>149</v>
      </c>
      <c r="F812" s="6">
        <f>'пр.4.1.ведом.21-22'!G391</f>
        <v>3.5</v>
      </c>
      <c r="G812" s="6">
        <f>'пр.4.1.ведом.21-22'!H391</f>
        <v>3.5</v>
      </c>
    </row>
    <row r="813" spans="1:7" ht="31.5" x14ac:dyDescent="0.25">
      <c r="A813" s="25" t="s">
        <v>344</v>
      </c>
      <c r="B813" s="20" t="s">
        <v>314</v>
      </c>
      <c r="C813" s="20" t="s">
        <v>133</v>
      </c>
      <c r="D813" s="20" t="s">
        <v>1254</v>
      </c>
      <c r="E813" s="20"/>
      <c r="F813" s="6">
        <f>F814</f>
        <v>65.2</v>
      </c>
      <c r="G813" s="6">
        <f>G814</f>
        <v>65.2</v>
      </c>
    </row>
    <row r="814" spans="1:7" ht="31.5" x14ac:dyDescent="0.25">
      <c r="A814" s="25" t="s">
        <v>146</v>
      </c>
      <c r="B814" s="20" t="s">
        <v>314</v>
      </c>
      <c r="C814" s="20" t="s">
        <v>133</v>
      </c>
      <c r="D814" s="20" t="s">
        <v>1254</v>
      </c>
      <c r="E814" s="20" t="s">
        <v>147</v>
      </c>
      <c r="F814" s="6">
        <f>F815</f>
        <v>65.2</v>
      </c>
      <c r="G814" s="6">
        <f>G815</f>
        <v>65.2</v>
      </c>
    </row>
    <row r="815" spans="1:7" ht="47.25" x14ac:dyDescent="0.25">
      <c r="A815" s="25" t="s">
        <v>148</v>
      </c>
      <c r="B815" s="20" t="s">
        <v>314</v>
      </c>
      <c r="C815" s="20" t="s">
        <v>133</v>
      </c>
      <c r="D815" s="20" t="s">
        <v>1254</v>
      </c>
      <c r="E815" s="38">
        <v>240</v>
      </c>
      <c r="F815" s="6">
        <f>'пр.4.1.ведом.21-22'!G394</f>
        <v>65.2</v>
      </c>
      <c r="G815" s="6">
        <f>'пр.4.1.ведом.21-22'!H394</f>
        <v>65.2</v>
      </c>
    </row>
    <row r="816" spans="1:7" ht="63" x14ac:dyDescent="0.25">
      <c r="A816" s="245" t="s">
        <v>969</v>
      </c>
      <c r="B816" s="24" t="s">
        <v>314</v>
      </c>
      <c r="C816" s="24" t="s">
        <v>133</v>
      </c>
      <c r="D816" s="24" t="s">
        <v>1255</v>
      </c>
      <c r="E816" s="24"/>
      <c r="F816" s="340">
        <f>F820+F823+F817</f>
        <v>1596</v>
      </c>
      <c r="G816" s="340">
        <f>G820+G823+G817</f>
        <v>1596</v>
      </c>
    </row>
    <row r="817" spans="1:7" s="361" customFormat="1" ht="126" x14ac:dyDescent="0.25">
      <c r="A817" s="31" t="s">
        <v>308</v>
      </c>
      <c r="B817" s="368" t="s">
        <v>314</v>
      </c>
      <c r="C817" s="368" t="s">
        <v>133</v>
      </c>
      <c r="D817" s="368" t="s">
        <v>1528</v>
      </c>
      <c r="E817" s="368"/>
      <c r="F817" s="338">
        <f>F818</f>
        <v>1276.3</v>
      </c>
      <c r="G817" s="338">
        <f>G818</f>
        <v>1276.3</v>
      </c>
    </row>
    <row r="818" spans="1:7" s="361" customFormat="1" ht="94.5" x14ac:dyDescent="0.25">
      <c r="A818" s="372" t="s">
        <v>142</v>
      </c>
      <c r="B818" s="368" t="s">
        <v>314</v>
      </c>
      <c r="C818" s="368" t="s">
        <v>133</v>
      </c>
      <c r="D818" s="368" t="s">
        <v>1528</v>
      </c>
      <c r="E818" s="368" t="s">
        <v>143</v>
      </c>
      <c r="F818" s="338">
        <f>F819</f>
        <v>1276.3</v>
      </c>
      <c r="G818" s="338">
        <f>G819</f>
        <v>1276.3</v>
      </c>
    </row>
    <row r="819" spans="1:7" s="361" customFormat="1" ht="31.5" x14ac:dyDescent="0.25">
      <c r="A819" s="372" t="s">
        <v>223</v>
      </c>
      <c r="B819" s="368" t="s">
        <v>314</v>
      </c>
      <c r="C819" s="368" t="s">
        <v>133</v>
      </c>
      <c r="D819" s="368" t="s">
        <v>1528</v>
      </c>
      <c r="E819" s="368" t="s">
        <v>224</v>
      </c>
      <c r="F819" s="338">
        <f>'пр.4.1.ведом.21-22'!G398</f>
        <v>1276.3</v>
      </c>
      <c r="G819" s="338">
        <f>'пр.4.1.ведом.21-22'!H398</f>
        <v>1276.3</v>
      </c>
    </row>
    <row r="820" spans="1:7" ht="94.5" x14ac:dyDescent="0.25">
      <c r="A820" s="25" t="s">
        <v>346</v>
      </c>
      <c r="B820" s="20" t="s">
        <v>314</v>
      </c>
      <c r="C820" s="20" t="s">
        <v>133</v>
      </c>
      <c r="D820" s="20" t="s">
        <v>1256</v>
      </c>
      <c r="E820" s="20"/>
      <c r="F820" s="6">
        <f>F821</f>
        <v>319.7</v>
      </c>
      <c r="G820" s="6">
        <f>G821</f>
        <v>319.7</v>
      </c>
    </row>
    <row r="821" spans="1:7" ht="94.5" x14ac:dyDescent="0.25">
      <c r="A821" s="25" t="s">
        <v>142</v>
      </c>
      <c r="B821" s="20" t="s">
        <v>314</v>
      </c>
      <c r="C821" s="20" t="s">
        <v>133</v>
      </c>
      <c r="D821" s="20" t="s">
        <v>1256</v>
      </c>
      <c r="E821" s="20" t="s">
        <v>143</v>
      </c>
      <c r="F821" s="6">
        <f>F822</f>
        <v>319.7</v>
      </c>
      <c r="G821" s="6">
        <f>G822</f>
        <v>319.7</v>
      </c>
    </row>
    <row r="822" spans="1:7" ht="31.5" x14ac:dyDescent="0.25">
      <c r="A822" s="25" t="s">
        <v>223</v>
      </c>
      <c r="B822" s="20" t="s">
        <v>314</v>
      </c>
      <c r="C822" s="20" t="s">
        <v>133</v>
      </c>
      <c r="D822" s="20" t="s">
        <v>1256</v>
      </c>
      <c r="E822" s="20" t="s">
        <v>224</v>
      </c>
      <c r="F822" s="6">
        <f>'пр.4.1.ведом.21-22'!G401</f>
        <v>319.7</v>
      </c>
      <c r="G822" s="6">
        <f>'пр.4.1.ведом.21-22'!H401</f>
        <v>319.7</v>
      </c>
    </row>
    <row r="823" spans="1:7" ht="126" hidden="1" x14ac:dyDescent="0.25">
      <c r="A823" s="31" t="s">
        <v>308</v>
      </c>
      <c r="B823" s="20" t="s">
        <v>314</v>
      </c>
      <c r="C823" s="20" t="s">
        <v>133</v>
      </c>
      <c r="D823" s="20" t="s">
        <v>1257</v>
      </c>
      <c r="E823" s="20"/>
      <c r="F823" s="6">
        <f>F824</f>
        <v>0</v>
      </c>
      <c r="G823" s="6">
        <f>G824</f>
        <v>0</v>
      </c>
    </row>
    <row r="824" spans="1:7" ht="94.5" hidden="1" x14ac:dyDescent="0.25">
      <c r="A824" s="25" t="s">
        <v>142</v>
      </c>
      <c r="B824" s="20" t="s">
        <v>314</v>
      </c>
      <c r="C824" s="20" t="s">
        <v>133</v>
      </c>
      <c r="D824" s="20" t="s">
        <v>1257</v>
      </c>
      <c r="E824" s="20" t="s">
        <v>143</v>
      </c>
      <c r="F824" s="6">
        <f>F825</f>
        <v>0</v>
      </c>
      <c r="G824" s="6">
        <f>G825</f>
        <v>0</v>
      </c>
    </row>
    <row r="825" spans="1:7" ht="31.5" hidden="1" x14ac:dyDescent="0.25">
      <c r="A825" s="25" t="s">
        <v>223</v>
      </c>
      <c r="B825" s="20" t="s">
        <v>314</v>
      </c>
      <c r="C825" s="20" t="s">
        <v>133</v>
      </c>
      <c r="D825" s="20" t="s">
        <v>1257</v>
      </c>
      <c r="E825" s="20" t="s">
        <v>224</v>
      </c>
      <c r="F825" s="6">
        <f>'пр.4.1.ведом.21-22'!G404</f>
        <v>0</v>
      </c>
      <c r="G825" s="6">
        <f>'пр.4.1.ведом.21-22'!H404</f>
        <v>0</v>
      </c>
    </row>
    <row r="826" spans="1:7" ht="78.75" hidden="1" x14ac:dyDescent="0.25">
      <c r="A826" s="34" t="s">
        <v>803</v>
      </c>
      <c r="B826" s="24" t="s">
        <v>314</v>
      </c>
      <c r="C826" s="24" t="s">
        <v>133</v>
      </c>
      <c r="D826" s="24" t="s">
        <v>339</v>
      </c>
      <c r="E826" s="24"/>
      <c r="F826" s="340">
        <f t="shared" ref="F826:G829" si="55">F827</f>
        <v>0</v>
      </c>
      <c r="G826" s="340">
        <f t="shared" si="55"/>
        <v>0</v>
      </c>
    </row>
    <row r="827" spans="1:7" ht="63" hidden="1" x14ac:dyDescent="0.25">
      <c r="A827" s="34" t="s">
        <v>1189</v>
      </c>
      <c r="B827" s="24" t="s">
        <v>314</v>
      </c>
      <c r="C827" s="24" t="s">
        <v>133</v>
      </c>
      <c r="D827" s="24" t="s">
        <v>1023</v>
      </c>
      <c r="E827" s="24"/>
      <c r="F827" s="4">
        <f t="shared" si="55"/>
        <v>0</v>
      </c>
      <c r="G827" s="4">
        <f t="shared" si="55"/>
        <v>0</v>
      </c>
    </row>
    <row r="828" spans="1:7" ht="63" hidden="1" x14ac:dyDescent="0.25">
      <c r="A828" s="31" t="s">
        <v>1272</v>
      </c>
      <c r="B828" s="20" t="s">
        <v>314</v>
      </c>
      <c r="C828" s="20" t="s">
        <v>133</v>
      </c>
      <c r="D828" s="20" t="s">
        <v>1190</v>
      </c>
      <c r="E828" s="20"/>
      <c r="F828" s="6">
        <f t="shared" si="55"/>
        <v>0</v>
      </c>
      <c r="G828" s="6">
        <f t="shared" si="55"/>
        <v>0</v>
      </c>
    </row>
    <row r="829" spans="1:7" ht="31.5" hidden="1" x14ac:dyDescent="0.25">
      <c r="A829" s="25" t="s">
        <v>146</v>
      </c>
      <c r="B829" s="20" t="s">
        <v>314</v>
      </c>
      <c r="C829" s="20" t="s">
        <v>133</v>
      </c>
      <c r="D829" s="20" t="s">
        <v>1190</v>
      </c>
      <c r="E829" s="20" t="s">
        <v>147</v>
      </c>
      <c r="F829" s="6">
        <f t="shared" si="55"/>
        <v>0</v>
      </c>
      <c r="G829" s="6">
        <f t="shared" si="55"/>
        <v>0</v>
      </c>
    </row>
    <row r="830" spans="1:7" ht="47.25" hidden="1" x14ac:dyDescent="0.25">
      <c r="A830" s="25" t="s">
        <v>148</v>
      </c>
      <c r="B830" s="20" t="s">
        <v>314</v>
      </c>
      <c r="C830" s="20" t="s">
        <v>133</v>
      </c>
      <c r="D830" s="20" t="s">
        <v>1190</v>
      </c>
      <c r="E830" s="20" t="s">
        <v>149</v>
      </c>
      <c r="F830" s="6">
        <f>'пр.4.1.ведом.21-22'!G409</f>
        <v>0</v>
      </c>
      <c r="G830" s="6">
        <f>'пр.4.1.ведом.21-22'!H409</f>
        <v>0</v>
      </c>
    </row>
    <row r="831" spans="1:7" ht="78.75" x14ac:dyDescent="0.25">
      <c r="A831" s="41" t="s">
        <v>1429</v>
      </c>
      <c r="B831" s="24" t="s">
        <v>314</v>
      </c>
      <c r="C831" s="24" t="s">
        <v>133</v>
      </c>
      <c r="D831" s="24" t="s">
        <v>726</v>
      </c>
      <c r="E831" s="250"/>
      <c r="F831" s="4">
        <f t="shared" ref="F831:G831" si="56">F832</f>
        <v>793.2</v>
      </c>
      <c r="G831" s="4">
        <f t="shared" si="56"/>
        <v>793.2</v>
      </c>
    </row>
    <row r="832" spans="1:7" ht="63" x14ac:dyDescent="0.25">
      <c r="A832" s="41" t="s">
        <v>947</v>
      </c>
      <c r="B832" s="24" t="s">
        <v>314</v>
      </c>
      <c r="C832" s="24" t="s">
        <v>133</v>
      </c>
      <c r="D832" s="24" t="s">
        <v>945</v>
      </c>
      <c r="E832" s="250"/>
      <c r="F832" s="4">
        <f t="shared" ref="F832:G834" si="57">F833</f>
        <v>793.2</v>
      </c>
      <c r="G832" s="4">
        <f t="shared" si="57"/>
        <v>793.2</v>
      </c>
    </row>
    <row r="833" spans="1:7" ht="47.25" x14ac:dyDescent="0.25">
      <c r="A833" s="99" t="s">
        <v>1185</v>
      </c>
      <c r="B833" s="20" t="s">
        <v>314</v>
      </c>
      <c r="C833" s="20" t="s">
        <v>133</v>
      </c>
      <c r="D833" s="20" t="s">
        <v>946</v>
      </c>
      <c r="E833" s="32"/>
      <c r="F833" s="6">
        <f t="shared" si="57"/>
        <v>793.2</v>
      </c>
      <c r="G833" s="6">
        <f t="shared" si="57"/>
        <v>793.2</v>
      </c>
    </row>
    <row r="834" spans="1:7" ht="31.5" x14ac:dyDescent="0.25">
      <c r="A834" s="25" t="s">
        <v>146</v>
      </c>
      <c r="B834" s="20" t="s">
        <v>314</v>
      </c>
      <c r="C834" s="20" t="s">
        <v>133</v>
      </c>
      <c r="D834" s="20" t="s">
        <v>946</v>
      </c>
      <c r="E834" s="32" t="s">
        <v>147</v>
      </c>
      <c r="F834" s="6">
        <f t="shared" si="57"/>
        <v>793.2</v>
      </c>
      <c r="G834" s="6">
        <f t="shared" si="57"/>
        <v>793.2</v>
      </c>
    </row>
    <row r="835" spans="1:7" ht="47.25" x14ac:dyDescent="0.25">
      <c r="A835" s="25" t="s">
        <v>148</v>
      </c>
      <c r="B835" s="20" t="s">
        <v>314</v>
      </c>
      <c r="C835" s="20" t="s">
        <v>133</v>
      </c>
      <c r="D835" s="20" t="s">
        <v>946</v>
      </c>
      <c r="E835" s="32" t="s">
        <v>149</v>
      </c>
      <c r="F835" s="6">
        <f>'пр.4.1.ведом.21-22'!G414</f>
        <v>793.2</v>
      </c>
      <c r="G835" s="6">
        <f>'пр.4.1.ведом.21-22'!H414</f>
        <v>793.2</v>
      </c>
    </row>
    <row r="836" spans="1:7" ht="31.5" x14ac:dyDescent="0.25">
      <c r="A836" s="23" t="s">
        <v>348</v>
      </c>
      <c r="B836" s="24" t="s">
        <v>314</v>
      </c>
      <c r="C836" s="24" t="s">
        <v>165</v>
      </c>
      <c r="D836" s="24"/>
      <c r="E836" s="32"/>
      <c r="F836" s="4">
        <f>F837+F847+F859</f>
        <v>17339</v>
      </c>
      <c r="G836" s="4">
        <f>G837+G847+G859</f>
        <v>17339</v>
      </c>
    </row>
    <row r="837" spans="1:7" ht="31.5" x14ac:dyDescent="0.25">
      <c r="A837" s="23" t="s">
        <v>988</v>
      </c>
      <c r="B837" s="24" t="s">
        <v>314</v>
      </c>
      <c r="C837" s="24" t="s">
        <v>165</v>
      </c>
      <c r="D837" s="24" t="s">
        <v>902</v>
      </c>
      <c r="E837" s="32"/>
      <c r="F837" s="4">
        <f>F838</f>
        <v>6870</v>
      </c>
      <c r="G837" s="4">
        <f>G838</f>
        <v>6870</v>
      </c>
    </row>
    <row r="838" spans="1:7" ht="15.75" x14ac:dyDescent="0.25">
      <c r="A838" s="23" t="s">
        <v>989</v>
      </c>
      <c r="B838" s="24" t="s">
        <v>314</v>
      </c>
      <c r="C838" s="24" t="s">
        <v>165</v>
      </c>
      <c r="D838" s="24" t="s">
        <v>903</v>
      </c>
      <c r="E838" s="32"/>
      <c r="F838" s="4">
        <f>F839+F844</f>
        <v>6870</v>
      </c>
      <c r="G838" s="4">
        <f>G839+G844</f>
        <v>6870</v>
      </c>
    </row>
    <row r="839" spans="1:7" ht="31.5" x14ac:dyDescent="0.25">
      <c r="A839" s="25" t="s">
        <v>965</v>
      </c>
      <c r="B839" s="20" t="s">
        <v>314</v>
      </c>
      <c r="C839" s="20" t="s">
        <v>165</v>
      </c>
      <c r="D839" s="20" t="s">
        <v>904</v>
      </c>
      <c r="E839" s="32"/>
      <c r="F839" s="6">
        <f>F840</f>
        <v>6744</v>
      </c>
      <c r="G839" s="6">
        <f>G840</f>
        <v>6744</v>
      </c>
    </row>
    <row r="840" spans="1:7" ht="94.5" x14ac:dyDescent="0.25">
      <c r="A840" s="25" t="s">
        <v>142</v>
      </c>
      <c r="B840" s="20" t="s">
        <v>314</v>
      </c>
      <c r="C840" s="20" t="s">
        <v>165</v>
      </c>
      <c r="D840" s="20" t="s">
        <v>904</v>
      </c>
      <c r="E840" s="32" t="s">
        <v>143</v>
      </c>
      <c r="F840" s="6">
        <f>F841</f>
        <v>6744</v>
      </c>
      <c r="G840" s="6">
        <f>G841</f>
        <v>6744</v>
      </c>
    </row>
    <row r="841" spans="1:7" ht="47.25" x14ac:dyDescent="0.25">
      <c r="A841" s="25" t="s">
        <v>144</v>
      </c>
      <c r="B841" s="20" t="s">
        <v>314</v>
      </c>
      <c r="C841" s="20" t="s">
        <v>165</v>
      </c>
      <c r="D841" s="20" t="s">
        <v>904</v>
      </c>
      <c r="E841" s="40" t="s">
        <v>145</v>
      </c>
      <c r="F841" s="6">
        <f>'пр.4.1.ведом.21-22'!G420</f>
        <v>6744</v>
      </c>
      <c r="G841" s="6">
        <f>'пр.4.1.ведом.21-22'!H420</f>
        <v>6744</v>
      </c>
    </row>
    <row r="842" spans="1:7" ht="31.5" hidden="1" x14ac:dyDescent="0.25">
      <c r="A842" s="25" t="s">
        <v>146</v>
      </c>
      <c r="B842" s="20" t="s">
        <v>314</v>
      </c>
      <c r="C842" s="20" t="s">
        <v>165</v>
      </c>
      <c r="D842" s="20" t="s">
        <v>904</v>
      </c>
      <c r="E842" s="40" t="s">
        <v>147</v>
      </c>
      <c r="F842" s="6">
        <f>'Пр.3 Рд,пр, ЦС,ВР 20'!F866</f>
        <v>0</v>
      </c>
      <c r="G842" s="6">
        <f>'Пр.3 Рд,пр, ЦС,ВР 20'!G866</f>
        <v>0</v>
      </c>
    </row>
    <row r="843" spans="1:7" ht="47.25" hidden="1" x14ac:dyDescent="0.25">
      <c r="A843" s="25" t="s">
        <v>148</v>
      </c>
      <c r="B843" s="20" t="s">
        <v>314</v>
      </c>
      <c r="C843" s="20" t="s">
        <v>165</v>
      </c>
      <c r="D843" s="20" t="s">
        <v>904</v>
      </c>
      <c r="E843" s="40" t="s">
        <v>149</v>
      </c>
      <c r="F843" s="6">
        <f>'Пр.3 Рд,пр, ЦС,ВР 20'!F867</f>
        <v>0</v>
      </c>
      <c r="G843" s="6">
        <f>'Пр.3 Рд,пр, ЦС,ВР 20'!G867</f>
        <v>0</v>
      </c>
    </row>
    <row r="844" spans="1:7" ht="47.25" x14ac:dyDescent="0.25">
      <c r="A844" s="25" t="s">
        <v>883</v>
      </c>
      <c r="B844" s="20" t="s">
        <v>314</v>
      </c>
      <c r="C844" s="20" t="s">
        <v>165</v>
      </c>
      <c r="D844" s="20" t="s">
        <v>906</v>
      </c>
      <c r="E844" s="40"/>
      <c r="F844" s="6">
        <f>F845</f>
        <v>126</v>
      </c>
      <c r="G844" s="6">
        <f>G845</f>
        <v>126</v>
      </c>
    </row>
    <row r="845" spans="1:7" ht="94.5" x14ac:dyDescent="0.25">
      <c r="A845" s="25" t="s">
        <v>142</v>
      </c>
      <c r="B845" s="20" t="s">
        <v>314</v>
      </c>
      <c r="C845" s="20" t="s">
        <v>165</v>
      </c>
      <c r="D845" s="20" t="s">
        <v>906</v>
      </c>
      <c r="E845" s="40" t="s">
        <v>143</v>
      </c>
      <c r="F845" s="6">
        <f>F846</f>
        <v>126</v>
      </c>
      <c r="G845" s="6">
        <f>G846</f>
        <v>126</v>
      </c>
    </row>
    <row r="846" spans="1:7" ht="47.25" x14ac:dyDescent="0.25">
      <c r="A846" s="25" t="s">
        <v>144</v>
      </c>
      <c r="B846" s="20" t="s">
        <v>314</v>
      </c>
      <c r="C846" s="20" t="s">
        <v>165</v>
      </c>
      <c r="D846" s="20" t="s">
        <v>906</v>
      </c>
      <c r="E846" s="40" t="s">
        <v>145</v>
      </c>
      <c r="F846" s="6">
        <f>'пр.4.1.ведом.21-22'!G425</f>
        <v>126</v>
      </c>
      <c r="G846" s="6">
        <f>'пр.4.1.ведом.21-22'!H425</f>
        <v>126</v>
      </c>
    </row>
    <row r="847" spans="1:7" ht="15.75" x14ac:dyDescent="0.25">
      <c r="A847" s="23" t="s">
        <v>997</v>
      </c>
      <c r="B847" s="24" t="s">
        <v>314</v>
      </c>
      <c r="C847" s="24" t="s">
        <v>165</v>
      </c>
      <c r="D847" s="24" t="s">
        <v>910</v>
      </c>
      <c r="E847" s="40"/>
      <c r="F847" s="4">
        <f t="shared" ref="F847:G847" si="58">F848</f>
        <v>10209</v>
      </c>
      <c r="G847" s="4">
        <f t="shared" si="58"/>
        <v>10209</v>
      </c>
    </row>
    <row r="848" spans="1:7" ht="47.25" x14ac:dyDescent="0.25">
      <c r="A848" s="23" t="s">
        <v>1000</v>
      </c>
      <c r="B848" s="24" t="s">
        <v>314</v>
      </c>
      <c r="C848" s="24" t="s">
        <v>165</v>
      </c>
      <c r="D848" s="24" t="s">
        <v>985</v>
      </c>
      <c r="E848" s="40"/>
      <c r="F848" s="4">
        <f>F849+F856</f>
        <v>10209</v>
      </c>
      <c r="G848" s="4">
        <f>G849+G856</f>
        <v>10209</v>
      </c>
    </row>
    <row r="849" spans="1:7" ht="31.5" x14ac:dyDescent="0.25">
      <c r="A849" s="25" t="s">
        <v>972</v>
      </c>
      <c r="B849" s="20" t="s">
        <v>314</v>
      </c>
      <c r="C849" s="20" t="s">
        <v>165</v>
      </c>
      <c r="D849" s="20" t="s">
        <v>986</v>
      </c>
      <c r="E849" s="40"/>
      <c r="F849" s="6">
        <f>F850+F852+F854</f>
        <v>9999</v>
      </c>
      <c r="G849" s="6">
        <f>G850+G852+G854</f>
        <v>9999</v>
      </c>
    </row>
    <row r="850" spans="1:7" ht="94.5" x14ac:dyDescent="0.25">
      <c r="A850" s="25" t="s">
        <v>142</v>
      </c>
      <c r="B850" s="20" t="s">
        <v>314</v>
      </c>
      <c r="C850" s="20" t="s">
        <v>165</v>
      </c>
      <c r="D850" s="20" t="s">
        <v>986</v>
      </c>
      <c r="E850" s="40" t="s">
        <v>143</v>
      </c>
      <c r="F850" s="6">
        <f>F851</f>
        <v>8048</v>
      </c>
      <c r="G850" s="6">
        <f>G851</f>
        <v>8048</v>
      </c>
    </row>
    <row r="851" spans="1:7" ht="31.5" x14ac:dyDescent="0.25">
      <c r="A851" s="25" t="s">
        <v>357</v>
      </c>
      <c r="B851" s="20" t="s">
        <v>314</v>
      </c>
      <c r="C851" s="20" t="s">
        <v>165</v>
      </c>
      <c r="D851" s="20" t="s">
        <v>986</v>
      </c>
      <c r="E851" s="40" t="s">
        <v>224</v>
      </c>
      <c r="F851" s="6">
        <f>'пр.4.1.ведом.21-22'!G430</f>
        <v>8048</v>
      </c>
      <c r="G851" s="6">
        <f>'пр.4.1.ведом.21-22'!H430</f>
        <v>8048</v>
      </c>
    </row>
    <row r="852" spans="1:7" ht="31.5" x14ac:dyDescent="0.25">
      <c r="A852" s="25" t="s">
        <v>146</v>
      </c>
      <c r="B852" s="20" t="s">
        <v>314</v>
      </c>
      <c r="C852" s="20" t="s">
        <v>165</v>
      </c>
      <c r="D852" s="20" t="s">
        <v>986</v>
      </c>
      <c r="E852" s="40" t="s">
        <v>147</v>
      </c>
      <c r="F852" s="6">
        <f>F853</f>
        <v>1937</v>
      </c>
      <c r="G852" s="6">
        <f>G853</f>
        <v>1937</v>
      </c>
    </row>
    <row r="853" spans="1:7" ht="47.25" x14ac:dyDescent="0.25">
      <c r="A853" s="25" t="s">
        <v>148</v>
      </c>
      <c r="B853" s="20" t="s">
        <v>314</v>
      </c>
      <c r="C853" s="20" t="s">
        <v>165</v>
      </c>
      <c r="D853" s="20" t="s">
        <v>986</v>
      </c>
      <c r="E853" s="40" t="s">
        <v>149</v>
      </c>
      <c r="F853" s="6">
        <f>'пр.4.1.ведом.21-22'!G432</f>
        <v>1937</v>
      </c>
      <c r="G853" s="6">
        <f>'пр.4.1.ведом.21-22'!H432</f>
        <v>1937</v>
      </c>
    </row>
    <row r="854" spans="1:7" ht="15.75" x14ac:dyDescent="0.25">
      <c r="A854" s="25" t="s">
        <v>150</v>
      </c>
      <c r="B854" s="20" t="s">
        <v>314</v>
      </c>
      <c r="C854" s="20" t="s">
        <v>165</v>
      </c>
      <c r="D854" s="20" t="s">
        <v>986</v>
      </c>
      <c r="E854" s="40" t="s">
        <v>160</v>
      </c>
      <c r="F854" s="6">
        <f>F855</f>
        <v>14</v>
      </c>
      <c r="G854" s="6">
        <f>G855</f>
        <v>14</v>
      </c>
    </row>
    <row r="855" spans="1:7" ht="31.5" x14ac:dyDescent="0.25">
      <c r="A855" s="25" t="s">
        <v>583</v>
      </c>
      <c r="B855" s="20" t="s">
        <v>314</v>
      </c>
      <c r="C855" s="20" t="s">
        <v>165</v>
      </c>
      <c r="D855" s="20" t="s">
        <v>986</v>
      </c>
      <c r="E855" s="40" t="s">
        <v>153</v>
      </c>
      <c r="F855" s="6">
        <f>'пр.4.1.ведом.21-22'!G434</f>
        <v>14</v>
      </c>
      <c r="G855" s="6">
        <f>'пр.4.1.ведом.21-22'!H434</f>
        <v>14</v>
      </c>
    </row>
    <row r="856" spans="1:7" ht="47.25" x14ac:dyDescent="0.25">
      <c r="A856" s="25" t="s">
        <v>883</v>
      </c>
      <c r="B856" s="20" t="s">
        <v>314</v>
      </c>
      <c r="C856" s="20" t="s">
        <v>165</v>
      </c>
      <c r="D856" s="20" t="s">
        <v>987</v>
      </c>
      <c r="E856" s="40"/>
      <c r="F856" s="6">
        <f>F857</f>
        <v>210</v>
      </c>
      <c r="G856" s="6">
        <f>G857</f>
        <v>210</v>
      </c>
    </row>
    <row r="857" spans="1:7" ht="94.5" x14ac:dyDescent="0.25">
      <c r="A857" s="25" t="s">
        <v>142</v>
      </c>
      <c r="B857" s="20" t="s">
        <v>314</v>
      </c>
      <c r="C857" s="20" t="s">
        <v>165</v>
      </c>
      <c r="D857" s="20" t="s">
        <v>987</v>
      </c>
      <c r="E857" s="40" t="s">
        <v>143</v>
      </c>
      <c r="F857" s="6">
        <f>F858</f>
        <v>210</v>
      </c>
      <c r="G857" s="6">
        <f>G858</f>
        <v>210</v>
      </c>
    </row>
    <row r="858" spans="1:7" ht="47.25" x14ac:dyDescent="0.25">
      <c r="A858" s="25" t="s">
        <v>144</v>
      </c>
      <c r="B858" s="20" t="s">
        <v>314</v>
      </c>
      <c r="C858" s="20" t="s">
        <v>165</v>
      </c>
      <c r="D858" s="20" t="s">
        <v>987</v>
      </c>
      <c r="E858" s="40" t="s">
        <v>224</v>
      </c>
      <c r="F858" s="6">
        <f>'пр.4.1.ведом.21-22'!G437</f>
        <v>210</v>
      </c>
      <c r="G858" s="6">
        <f>'пр.4.1.ведом.21-22'!H437</f>
        <v>210</v>
      </c>
    </row>
    <row r="859" spans="1:7" ht="50.25" customHeight="1" x14ac:dyDescent="0.25">
      <c r="A859" s="23" t="s">
        <v>1427</v>
      </c>
      <c r="B859" s="24" t="s">
        <v>314</v>
      </c>
      <c r="C859" s="24" t="s">
        <v>165</v>
      </c>
      <c r="D859" s="24" t="s">
        <v>359</v>
      </c>
      <c r="E859" s="40"/>
      <c r="F859" s="4">
        <f t="shared" ref="F859:G861" si="59">F860</f>
        <v>260</v>
      </c>
      <c r="G859" s="4">
        <f t="shared" si="59"/>
        <v>260</v>
      </c>
    </row>
    <row r="860" spans="1:7" ht="78.75" x14ac:dyDescent="0.25">
      <c r="A860" s="23" t="s">
        <v>379</v>
      </c>
      <c r="B860" s="24" t="s">
        <v>314</v>
      </c>
      <c r="C860" s="24" t="s">
        <v>165</v>
      </c>
      <c r="D860" s="24" t="s">
        <v>380</v>
      </c>
      <c r="E860" s="40"/>
      <c r="F860" s="4">
        <f t="shared" si="59"/>
        <v>260</v>
      </c>
      <c r="G860" s="4">
        <f t="shared" si="59"/>
        <v>260</v>
      </c>
    </row>
    <row r="861" spans="1:7" ht="31.5" x14ac:dyDescent="0.25">
      <c r="A861" s="23" t="s">
        <v>1145</v>
      </c>
      <c r="B861" s="24" t="s">
        <v>314</v>
      </c>
      <c r="C861" s="24" t="s">
        <v>165</v>
      </c>
      <c r="D861" s="24" t="s">
        <v>964</v>
      </c>
      <c r="E861" s="40"/>
      <c r="F861" s="4">
        <f t="shared" si="59"/>
        <v>260</v>
      </c>
      <c r="G861" s="4">
        <f t="shared" si="59"/>
        <v>260</v>
      </c>
    </row>
    <row r="862" spans="1:7" ht="31.5" x14ac:dyDescent="0.25">
      <c r="A862" s="25" t="s">
        <v>1144</v>
      </c>
      <c r="B862" s="20" t="s">
        <v>314</v>
      </c>
      <c r="C862" s="20" t="s">
        <v>165</v>
      </c>
      <c r="D862" s="20" t="s">
        <v>1223</v>
      </c>
      <c r="E862" s="40"/>
      <c r="F862" s="6">
        <f>F863</f>
        <v>260</v>
      </c>
      <c r="G862" s="6">
        <f>G863</f>
        <v>260</v>
      </c>
    </row>
    <row r="863" spans="1:7" ht="31.5" x14ac:dyDescent="0.25">
      <c r="A863" s="25" t="s">
        <v>146</v>
      </c>
      <c r="B863" s="20" t="s">
        <v>314</v>
      </c>
      <c r="C863" s="20" t="s">
        <v>165</v>
      </c>
      <c r="D863" s="20" t="s">
        <v>1223</v>
      </c>
      <c r="E863" s="40" t="s">
        <v>147</v>
      </c>
      <c r="F863" s="6">
        <f>F864</f>
        <v>260</v>
      </c>
      <c r="G863" s="6">
        <f>G864</f>
        <v>260</v>
      </c>
    </row>
    <row r="864" spans="1:7" ht="47.25" x14ac:dyDescent="0.25">
      <c r="A864" s="25" t="s">
        <v>148</v>
      </c>
      <c r="B864" s="20" t="s">
        <v>314</v>
      </c>
      <c r="C864" s="20" t="s">
        <v>165</v>
      </c>
      <c r="D864" s="20" t="s">
        <v>1223</v>
      </c>
      <c r="E864" s="40" t="s">
        <v>149</v>
      </c>
      <c r="F864" s="6">
        <f>'пр.4.1.ведом.21-22'!G443</f>
        <v>260</v>
      </c>
      <c r="G864" s="6">
        <f>'пр.4.1.ведом.21-22'!H443</f>
        <v>260</v>
      </c>
    </row>
    <row r="865" spans="1:10" ht="15.75" x14ac:dyDescent="0.25">
      <c r="A865" s="23" t="s">
        <v>258</v>
      </c>
      <c r="B865" s="24" t="s">
        <v>259</v>
      </c>
      <c r="C865" s="24"/>
      <c r="D865" s="24"/>
      <c r="E865" s="24"/>
      <c r="F865" s="4">
        <f>F866+F872+F908</f>
        <v>19998.400000000001</v>
      </c>
      <c r="G865" s="4">
        <f>G866+G872+G908</f>
        <v>15008.4</v>
      </c>
      <c r="H865">
        <v>14606.9</v>
      </c>
      <c r="I865">
        <v>14606.9</v>
      </c>
      <c r="J865" s="22">
        <f>H865-F865</f>
        <v>-5391.5000000000018</v>
      </c>
    </row>
    <row r="866" spans="1:10" ht="15.75" x14ac:dyDescent="0.25">
      <c r="A866" s="23" t="s">
        <v>260</v>
      </c>
      <c r="B866" s="24" t="s">
        <v>259</v>
      </c>
      <c r="C866" s="24" t="s">
        <v>133</v>
      </c>
      <c r="D866" s="24"/>
      <c r="E866" s="24"/>
      <c r="F866" s="4">
        <f t="shared" ref="F866:G868" si="60">F867</f>
        <v>9456</v>
      </c>
      <c r="G866" s="4">
        <f t="shared" si="60"/>
        <v>9456</v>
      </c>
    </row>
    <row r="867" spans="1:10" ht="15.75" x14ac:dyDescent="0.25">
      <c r="A867" s="23" t="s">
        <v>156</v>
      </c>
      <c r="B867" s="24" t="s">
        <v>259</v>
      </c>
      <c r="C867" s="24" t="s">
        <v>133</v>
      </c>
      <c r="D867" s="24" t="s">
        <v>910</v>
      </c>
      <c r="E867" s="24"/>
      <c r="F867" s="4">
        <f t="shared" si="60"/>
        <v>9456</v>
      </c>
      <c r="G867" s="4">
        <f t="shared" si="60"/>
        <v>9456</v>
      </c>
    </row>
    <row r="868" spans="1:10" ht="31.5" x14ac:dyDescent="0.25">
      <c r="A868" s="23" t="s">
        <v>914</v>
      </c>
      <c r="B868" s="24" t="s">
        <v>259</v>
      </c>
      <c r="C868" s="24" t="s">
        <v>133</v>
      </c>
      <c r="D868" s="24" t="s">
        <v>909</v>
      </c>
      <c r="E868" s="24"/>
      <c r="F868" s="4">
        <f t="shared" si="60"/>
        <v>9456</v>
      </c>
      <c r="G868" s="4">
        <f t="shared" si="60"/>
        <v>9456</v>
      </c>
    </row>
    <row r="869" spans="1:10" ht="31.5" x14ac:dyDescent="0.25">
      <c r="A869" s="25" t="s">
        <v>261</v>
      </c>
      <c r="B869" s="20" t="s">
        <v>259</v>
      </c>
      <c r="C869" s="20" t="s">
        <v>133</v>
      </c>
      <c r="D869" s="20" t="s">
        <v>926</v>
      </c>
      <c r="E869" s="20"/>
      <c r="F869" s="6">
        <f>F870</f>
        <v>9456</v>
      </c>
      <c r="G869" s="6">
        <f>G870</f>
        <v>9456</v>
      </c>
    </row>
    <row r="870" spans="1:10" ht="31.5" x14ac:dyDescent="0.25">
      <c r="A870" s="25" t="s">
        <v>263</v>
      </c>
      <c r="B870" s="20" t="s">
        <v>259</v>
      </c>
      <c r="C870" s="20" t="s">
        <v>133</v>
      </c>
      <c r="D870" s="20" t="s">
        <v>926</v>
      </c>
      <c r="E870" s="20" t="s">
        <v>264</v>
      </c>
      <c r="F870" s="6">
        <f>F871</f>
        <v>9456</v>
      </c>
      <c r="G870" s="6">
        <f>G871</f>
        <v>9456</v>
      </c>
    </row>
    <row r="871" spans="1:10" ht="47.25" x14ac:dyDescent="0.25">
      <c r="A871" s="25" t="s">
        <v>265</v>
      </c>
      <c r="B871" s="20" t="s">
        <v>259</v>
      </c>
      <c r="C871" s="20" t="s">
        <v>133</v>
      </c>
      <c r="D871" s="20" t="s">
        <v>926</v>
      </c>
      <c r="E871" s="20" t="s">
        <v>266</v>
      </c>
      <c r="F871" s="6">
        <f>'пр.4.1.ведом.21-22'!G196</f>
        <v>9456</v>
      </c>
      <c r="G871" s="6">
        <f>'пр.4.1.ведом.21-22'!H196</f>
        <v>9456</v>
      </c>
    </row>
    <row r="872" spans="1:10" ht="15.75" x14ac:dyDescent="0.25">
      <c r="A872" s="23" t="s">
        <v>267</v>
      </c>
      <c r="B872" s="24" t="s">
        <v>259</v>
      </c>
      <c r="C872" s="24" t="s">
        <v>230</v>
      </c>
      <c r="D872" s="24"/>
      <c r="E872" s="24"/>
      <c r="F872" s="4">
        <f>F873+F900</f>
        <v>6834</v>
      </c>
      <c r="G872" s="4">
        <f>G873+G900</f>
        <v>1844</v>
      </c>
    </row>
    <row r="873" spans="1:10" ht="63" x14ac:dyDescent="0.25">
      <c r="A873" s="23" t="s">
        <v>1427</v>
      </c>
      <c r="B873" s="24" t="s">
        <v>259</v>
      </c>
      <c r="C873" s="24" t="s">
        <v>230</v>
      </c>
      <c r="D873" s="24" t="s">
        <v>359</v>
      </c>
      <c r="E873" s="24"/>
      <c r="F873" s="4">
        <f>F874+F879+F884+F895</f>
        <v>1824</v>
      </c>
      <c r="G873" s="4">
        <f>G874+G879+G884+G895</f>
        <v>1834</v>
      </c>
    </row>
    <row r="874" spans="1:10" ht="31.5" x14ac:dyDescent="0.25">
      <c r="A874" s="23" t="s">
        <v>367</v>
      </c>
      <c r="B874" s="24" t="s">
        <v>259</v>
      </c>
      <c r="C874" s="24" t="s">
        <v>230</v>
      </c>
      <c r="D874" s="24" t="s">
        <v>368</v>
      </c>
      <c r="E874" s="24"/>
      <c r="F874" s="4">
        <f t="shared" ref="F874:G874" si="61">F875</f>
        <v>44</v>
      </c>
      <c r="G874" s="4">
        <f t="shared" si="61"/>
        <v>54</v>
      </c>
    </row>
    <row r="875" spans="1:10" ht="31.5" x14ac:dyDescent="0.25">
      <c r="A875" s="23" t="s">
        <v>974</v>
      </c>
      <c r="B875" s="24" t="s">
        <v>259</v>
      </c>
      <c r="C875" s="24" t="s">
        <v>230</v>
      </c>
      <c r="D875" s="24" t="s">
        <v>973</v>
      </c>
      <c r="E875" s="24"/>
      <c r="F875" s="4">
        <f t="shared" ref="F875:G877" si="62">F876</f>
        <v>44</v>
      </c>
      <c r="G875" s="4">
        <f t="shared" si="62"/>
        <v>54</v>
      </c>
    </row>
    <row r="876" spans="1:10" ht="31.5" x14ac:dyDescent="0.25">
      <c r="A876" s="25" t="s">
        <v>867</v>
      </c>
      <c r="B876" s="20" t="s">
        <v>259</v>
      </c>
      <c r="C876" s="20" t="s">
        <v>230</v>
      </c>
      <c r="D876" s="20" t="s">
        <v>975</v>
      </c>
      <c r="E876" s="20"/>
      <c r="F876" s="6">
        <f t="shared" si="62"/>
        <v>44</v>
      </c>
      <c r="G876" s="6">
        <f t="shared" si="62"/>
        <v>54</v>
      </c>
    </row>
    <row r="877" spans="1:10" ht="31.5" x14ac:dyDescent="0.25">
      <c r="A877" s="25" t="s">
        <v>263</v>
      </c>
      <c r="B877" s="20" t="s">
        <v>259</v>
      </c>
      <c r="C877" s="20" t="s">
        <v>230</v>
      </c>
      <c r="D877" s="20" t="s">
        <v>975</v>
      </c>
      <c r="E877" s="20" t="s">
        <v>264</v>
      </c>
      <c r="F877" s="6">
        <f t="shared" si="62"/>
        <v>44</v>
      </c>
      <c r="G877" s="6">
        <f t="shared" si="62"/>
        <v>54</v>
      </c>
    </row>
    <row r="878" spans="1:10" ht="47.25" x14ac:dyDescent="0.25">
      <c r="A878" s="25" t="s">
        <v>265</v>
      </c>
      <c r="B878" s="20" t="s">
        <v>259</v>
      </c>
      <c r="C878" s="20" t="s">
        <v>230</v>
      </c>
      <c r="D878" s="20" t="s">
        <v>975</v>
      </c>
      <c r="E878" s="20" t="s">
        <v>266</v>
      </c>
      <c r="F878" s="6">
        <f>'пр.4.1.ведом.21-22'!G451</f>
        <v>44</v>
      </c>
      <c r="G878" s="6">
        <f>'пр.4.1.ведом.21-22'!H451</f>
        <v>54</v>
      </c>
    </row>
    <row r="879" spans="1:10" ht="47.25" x14ac:dyDescent="0.25">
      <c r="A879" s="23" t="s">
        <v>370</v>
      </c>
      <c r="B879" s="19">
        <v>10</v>
      </c>
      <c r="C879" s="24" t="s">
        <v>230</v>
      </c>
      <c r="D879" s="24" t="s">
        <v>371</v>
      </c>
      <c r="E879" s="24"/>
      <c r="F879" s="4">
        <f t="shared" ref="F879:G879" si="63">F880</f>
        <v>420</v>
      </c>
      <c r="G879" s="4">
        <f t="shared" si="63"/>
        <v>420</v>
      </c>
    </row>
    <row r="880" spans="1:10" ht="47.25" x14ac:dyDescent="0.25">
      <c r="A880" s="23" t="s">
        <v>1146</v>
      </c>
      <c r="B880" s="19">
        <v>10</v>
      </c>
      <c r="C880" s="24" t="s">
        <v>230</v>
      </c>
      <c r="D880" s="24" t="s">
        <v>976</v>
      </c>
      <c r="E880" s="24"/>
      <c r="F880" s="4">
        <f t="shared" ref="F880:G882" si="64">F881</f>
        <v>420</v>
      </c>
      <c r="G880" s="4">
        <f t="shared" si="64"/>
        <v>420</v>
      </c>
    </row>
    <row r="881" spans="1:7" ht="31.5" x14ac:dyDescent="0.25">
      <c r="A881" s="25" t="s">
        <v>1203</v>
      </c>
      <c r="B881" s="20" t="s">
        <v>259</v>
      </c>
      <c r="C881" s="20" t="s">
        <v>230</v>
      </c>
      <c r="D881" s="20" t="s">
        <v>977</v>
      </c>
      <c r="E881" s="20"/>
      <c r="F881" s="6">
        <f t="shared" si="64"/>
        <v>420</v>
      </c>
      <c r="G881" s="6">
        <f t="shared" si="64"/>
        <v>420</v>
      </c>
    </row>
    <row r="882" spans="1:7" ht="31.5" x14ac:dyDescent="0.25">
      <c r="A882" s="25" t="s">
        <v>263</v>
      </c>
      <c r="B882" s="20" t="s">
        <v>259</v>
      </c>
      <c r="C882" s="20" t="s">
        <v>230</v>
      </c>
      <c r="D882" s="20" t="s">
        <v>977</v>
      </c>
      <c r="E882" s="20" t="s">
        <v>264</v>
      </c>
      <c r="F882" s="6">
        <f t="shared" si="64"/>
        <v>420</v>
      </c>
      <c r="G882" s="6">
        <f t="shared" si="64"/>
        <v>420</v>
      </c>
    </row>
    <row r="883" spans="1:7" ht="31.5" x14ac:dyDescent="0.25">
      <c r="A883" s="25" t="s">
        <v>363</v>
      </c>
      <c r="B883" s="20" t="s">
        <v>259</v>
      </c>
      <c r="C883" s="20" t="s">
        <v>230</v>
      </c>
      <c r="D883" s="20" t="s">
        <v>977</v>
      </c>
      <c r="E883" s="20" t="s">
        <v>364</v>
      </c>
      <c r="F883" s="6">
        <f>'пр.4.1.ведом.21-22'!G456</f>
        <v>420</v>
      </c>
      <c r="G883" s="6">
        <f>'пр.4.1.ведом.21-22'!H456</f>
        <v>420</v>
      </c>
    </row>
    <row r="884" spans="1:7" ht="31.5" x14ac:dyDescent="0.25">
      <c r="A884" s="23" t="s">
        <v>373</v>
      </c>
      <c r="B884" s="19">
        <v>10</v>
      </c>
      <c r="C884" s="24" t="s">
        <v>230</v>
      </c>
      <c r="D884" s="24" t="s">
        <v>374</v>
      </c>
      <c r="E884" s="24"/>
      <c r="F884" s="4">
        <f>F885+F889</f>
        <v>1110</v>
      </c>
      <c r="G884" s="4">
        <f>G885+G889</f>
        <v>1110</v>
      </c>
    </row>
    <row r="885" spans="1:7" ht="36" customHeight="1" x14ac:dyDescent="0.25">
      <c r="A885" s="23" t="s">
        <v>1205</v>
      </c>
      <c r="B885" s="24" t="s">
        <v>259</v>
      </c>
      <c r="C885" s="24" t="s">
        <v>230</v>
      </c>
      <c r="D885" s="24" t="s">
        <v>979</v>
      </c>
      <c r="E885" s="24"/>
      <c r="F885" s="4">
        <f t="shared" ref="F885:G887" si="65">F886</f>
        <v>630</v>
      </c>
      <c r="G885" s="4">
        <f t="shared" si="65"/>
        <v>630</v>
      </c>
    </row>
    <row r="886" spans="1:7" ht="63" x14ac:dyDescent="0.25">
      <c r="A886" s="99" t="s">
        <v>1206</v>
      </c>
      <c r="B886" s="20" t="s">
        <v>259</v>
      </c>
      <c r="C886" s="20" t="s">
        <v>230</v>
      </c>
      <c r="D886" s="20" t="s">
        <v>980</v>
      </c>
      <c r="E886" s="20"/>
      <c r="F886" s="6">
        <f t="shared" si="65"/>
        <v>630</v>
      </c>
      <c r="G886" s="6">
        <f t="shared" si="65"/>
        <v>630</v>
      </c>
    </row>
    <row r="887" spans="1:7" ht="31.5" x14ac:dyDescent="0.25">
      <c r="A887" s="25" t="s">
        <v>263</v>
      </c>
      <c r="B887" s="20" t="s">
        <v>259</v>
      </c>
      <c r="C887" s="20" t="s">
        <v>230</v>
      </c>
      <c r="D887" s="20" t="s">
        <v>980</v>
      </c>
      <c r="E887" s="20" t="s">
        <v>264</v>
      </c>
      <c r="F887" s="6">
        <f t="shared" si="65"/>
        <v>630</v>
      </c>
      <c r="G887" s="6">
        <f t="shared" si="65"/>
        <v>630</v>
      </c>
    </row>
    <row r="888" spans="1:7" ht="31.5" x14ac:dyDescent="0.25">
      <c r="A888" s="25" t="s">
        <v>363</v>
      </c>
      <c r="B888" s="20" t="s">
        <v>259</v>
      </c>
      <c r="C888" s="20" t="s">
        <v>230</v>
      </c>
      <c r="D888" s="20" t="s">
        <v>980</v>
      </c>
      <c r="E888" s="20" t="s">
        <v>364</v>
      </c>
      <c r="F888" s="6">
        <f>'пр.4.1.ведом.21-22'!G461</f>
        <v>630</v>
      </c>
      <c r="G888" s="6">
        <f>'пр.4.1.ведом.21-22'!H461</f>
        <v>630</v>
      </c>
    </row>
    <row r="889" spans="1:7" ht="31.5" x14ac:dyDescent="0.25">
      <c r="A889" s="23" t="s">
        <v>978</v>
      </c>
      <c r="B889" s="19">
        <v>10</v>
      </c>
      <c r="C889" s="24" t="s">
        <v>230</v>
      </c>
      <c r="D889" s="24" t="s">
        <v>981</v>
      </c>
      <c r="E889" s="24"/>
      <c r="F889" s="4">
        <f>F890</f>
        <v>480</v>
      </c>
      <c r="G889" s="4">
        <f>G890</f>
        <v>480</v>
      </c>
    </row>
    <row r="890" spans="1:7" ht="31.5" x14ac:dyDescent="0.25">
      <c r="A890" s="25" t="s">
        <v>1147</v>
      </c>
      <c r="B890" s="20" t="s">
        <v>259</v>
      </c>
      <c r="C890" s="20" t="s">
        <v>230</v>
      </c>
      <c r="D890" s="20" t="s">
        <v>982</v>
      </c>
      <c r="E890" s="20"/>
      <c r="F890" s="6">
        <f>F891+F893</f>
        <v>480</v>
      </c>
      <c r="G890" s="6">
        <f>G891+G893</f>
        <v>480</v>
      </c>
    </row>
    <row r="891" spans="1:7" ht="31.5" x14ac:dyDescent="0.25">
      <c r="A891" s="25" t="s">
        <v>146</v>
      </c>
      <c r="B891" s="20" t="s">
        <v>259</v>
      </c>
      <c r="C891" s="20" t="s">
        <v>230</v>
      </c>
      <c r="D891" s="20" t="s">
        <v>982</v>
      </c>
      <c r="E891" s="20" t="s">
        <v>147</v>
      </c>
      <c r="F891" s="6">
        <f>F892</f>
        <v>270</v>
      </c>
      <c r="G891" s="6">
        <f>G892</f>
        <v>270</v>
      </c>
    </row>
    <row r="892" spans="1:7" ht="47.25" x14ac:dyDescent="0.25">
      <c r="A892" s="25" t="s">
        <v>148</v>
      </c>
      <c r="B892" s="20" t="s">
        <v>259</v>
      </c>
      <c r="C892" s="20" t="s">
        <v>230</v>
      </c>
      <c r="D892" s="20" t="s">
        <v>982</v>
      </c>
      <c r="E892" s="20" t="s">
        <v>149</v>
      </c>
      <c r="F892" s="6">
        <f>'пр.4.1.ведом.21-22'!G465</f>
        <v>270</v>
      </c>
      <c r="G892" s="6">
        <f>'пр.4.1.ведом.21-22'!H465</f>
        <v>270</v>
      </c>
    </row>
    <row r="893" spans="1:7" s="221" customFormat="1" ht="31.5" x14ac:dyDescent="0.25">
      <c r="A893" s="25" t="s">
        <v>263</v>
      </c>
      <c r="B893" s="20" t="s">
        <v>259</v>
      </c>
      <c r="C893" s="20" t="s">
        <v>230</v>
      </c>
      <c r="D893" s="20" t="s">
        <v>982</v>
      </c>
      <c r="E893" s="20" t="s">
        <v>264</v>
      </c>
      <c r="F893" s="6">
        <f>F894</f>
        <v>210</v>
      </c>
      <c r="G893" s="6">
        <f>G894</f>
        <v>210</v>
      </c>
    </row>
    <row r="894" spans="1:7" s="221" customFormat="1" ht="31.5" x14ac:dyDescent="0.25">
      <c r="A894" s="25" t="s">
        <v>363</v>
      </c>
      <c r="B894" s="20" t="s">
        <v>259</v>
      </c>
      <c r="C894" s="20" t="s">
        <v>230</v>
      </c>
      <c r="D894" s="20" t="s">
        <v>982</v>
      </c>
      <c r="E894" s="20" t="s">
        <v>364</v>
      </c>
      <c r="F894" s="6">
        <f>'пр.4.1.ведом.21-22'!G467</f>
        <v>210</v>
      </c>
      <c r="G894" s="6">
        <f>'пр.4.1.ведом.21-22'!H467</f>
        <v>210</v>
      </c>
    </row>
    <row r="895" spans="1:7" ht="47.25" x14ac:dyDescent="0.25">
      <c r="A895" s="23" t="s">
        <v>376</v>
      </c>
      <c r="B895" s="24" t="s">
        <v>259</v>
      </c>
      <c r="C895" s="24" t="s">
        <v>230</v>
      </c>
      <c r="D895" s="24" t="s">
        <v>377</v>
      </c>
      <c r="E895" s="24"/>
      <c r="F895" s="4">
        <f t="shared" ref="F895:G896" si="66">F896</f>
        <v>250</v>
      </c>
      <c r="G895" s="4">
        <f t="shared" si="66"/>
        <v>250</v>
      </c>
    </row>
    <row r="896" spans="1:7" ht="47.25" x14ac:dyDescent="0.25">
      <c r="A896" s="23" t="s">
        <v>1208</v>
      </c>
      <c r="B896" s="24" t="s">
        <v>259</v>
      </c>
      <c r="C896" s="24" t="s">
        <v>230</v>
      </c>
      <c r="D896" s="24" t="s">
        <v>984</v>
      </c>
      <c r="E896" s="24"/>
      <c r="F896" s="4">
        <f t="shared" si="66"/>
        <v>250</v>
      </c>
      <c r="G896" s="4">
        <f t="shared" si="66"/>
        <v>250</v>
      </c>
    </row>
    <row r="897" spans="1:7" ht="63" x14ac:dyDescent="0.25">
      <c r="A897" s="25" t="s">
        <v>1207</v>
      </c>
      <c r="B897" s="20" t="s">
        <v>259</v>
      </c>
      <c r="C897" s="20" t="s">
        <v>230</v>
      </c>
      <c r="D897" s="20" t="s">
        <v>983</v>
      </c>
      <c r="E897" s="20"/>
      <c r="F897" s="6">
        <f>F898</f>
        <v>250</v>
      </c>
      <c r="G897" s="6">
        <f>G898</f>
        <v>250</v>
      </c>
    </row>
    <row r="898" spans="1:7" ht="31.5" x14ac:dyDescent="0.25">
      <c r="A898" s="25" t="s">
        <v>263</v>
      </c>
      <c r="B898" s="20" t="s">
        <v>259</v>
      </c>
      <c r="C898" s="20" t="s">
        <v>230</v>
      </c>
      <c r="D898" s="20" t="s">
        <v>983</v>
      </c>
      <c r="E898" s="20" t="s">
        <v>264</v>
      </c>
      <c r="F898" s="6">
        <f>F899</f>
        <v>250</v>
      </c>
      <c r="G898" s="6">
        <f>G899</f>
        <v>250</v>
      </c>
    </row>
    <row r="899" spans="1:7" ht="31.5" x14ac:dyDescent="0.25">
      <c r="A899" s="25" t="s">
        <v>363</v>
      </c>
      <c r="B899" s="20" t="s">
        <v>259</v>
      </c>
      <c r="C899" s="20" t="s">
        <v>230</v>
      </c>
      <c r="D899" s="20" t="s">
        <v>983</v>
      </c>
      <c r="E899" s="20" t="s">
        <v>364</v>
      </c>
      <c r="F899" s="6">
        <f>'пр.4.1.ведом.21-22'!G472</f>
        <v>250</v>
      </c>
      <c r="G899" s="6">
        <f>'пр.4.1.ведом.21-22'!H472</f>
        <v>250</v>
      </c>
    </row>
    <row r="900" spans="1:7" ht="78.75" x14ac:dyDescent="0.25">
      <c r="A900" s="23" t="s">
        <v>1451</v>
      </c>
      <c r="B900" s="24" t="s">
        <v>259</v>
      </c>
      <c r="C900" s="24" t="s">
        <v>230</v>
      </c>
      <c r="D900" s="24" t="s">
        <v>269</v>
      </c>
      <c r="E900" s="24"/>
      <c r="F900" s="4">
        <f t="shared" ref="F900:G900" si="67">F901</f>
        <v>5010</v>
      </c>
      <c r="G900" s="4">
        <f t="shared" si="67"/>
        <v>10</v>
      </c>
    </row>
    <row r="901" spans="1:7" ht="63" x14ac:dyDescent="0.25">
      <c r="A901" s="23" t="s">
        <v>929</v>
      </c>
      <c r="B901" s="24" t="s">
        <v>259</v>
      </c>
      <c r="C901" s="24" t="s">
        <v>230</v>
      </c>
      <c r="D901" s="24" t="s">
        <v>927</v>
      </c>
      <c r="E901" s="24"/>
      <c r="F901" s="4">
        <f>F902+F905</f>
        <v>5010</v>
      </c>
      <c r="G901" s="4">
        <f>G902+G905</f>
        <v>10</v>
      </c>
    </row>
    <row r="902" spans="1:7" ht="31.5" x14ac:dyDescent="0.25">
      <c r="A902" s="25" t="s">
        <v>928</v>
      </c>
      <c r="B902" s="20" t="s">
        <v>259</v>
      </c>
      <c r="C902" s="20" t="s">
        <v>230</v>
      </c>
      <c r="D902" s="20" t="s">
        <v>1474</v>
      </c>
      <c r="E902" s="20"/>
      <c r="F902" s="6">
        <f>F903</f>
        <v>10</v>
      </c>
      <c r="G902" s="6">
        <f>G903</f>
        <v>10</v>
      </c>
    </row>
    <row r="903" spans="1:7" ht="31.5" x14ac:dyDescent="0.25">
      <c r="A903" s="25" t="s">
        <v>263</v>
      </c>
      <c r="B903" s="20" t="s">
        <v>259</v>
      </c>
      <c r="C903" s="20" t="s">
        <v>230</v>
      </c>
      <c r="D903" s="20" t="s">
        <v>1474</v>
      </c>
      <c r="E903" s="20" t="s">
        <v>264</v>
      </c>
      <c r="F903" s="6">
        <f>F904</f>
        <v>10</v>
      </c>
      <c r="G903" s="6">
        <f>G904</f>
        <v>10</v>
      </c>
    </row>
    <row r="904" spans="1:7" ht="47.25" x14ac:dyDescent="0.25">
      <c r="A904" s="25" t="s">
        <v>265</v>
      </c>
      <c r="B904" s="20" t="s">
        <v>259</v>
      </c>
      <c r="C904" s="20" t="s">
        <v>230</v>
      </c>
      <c r="D904" s="20" t="s">
        <v>1474</v>
      </c>
      <c r="E904" s="20" t="s">
        <v>266</v>
      </c>
      <c r="F904" s="6">
        <f>'пр.4.1.ведом.21-22'!G202</f>
        <v>10</v>
      </c>
      <c r="G904" s="6">
        <f>'пр.4.1.ведом.21-22'!H202</f>
        <v>10</v>
      </c>
    </row>
    <row r="905" spans="1:7" s="221" customFormat="1" ht="78.75" x14ac:dyDescent="0.25">
      <c r="A905" s="25" t="s">
        <v>1422</v>
      </c>
      <c r="B905" s="20" t="s">
        <v>259</v>
      </c>
      <c r="C905" s="20" t="s">
        <v>230</v>
      </c>
      <c r="D905" s="20" t="s">
        <v>1421</v>
      </c>
      <c r="E905" s="20"/>
      <c r="F905" s="26">
        <f>F906</f>
        <v>5000</v>
      </c>
      <c r="G905" s="26">
        <f>G906</f>
        <v>0</v>
      </c>
    </row>
    <row r="906" spans="1:7" s="221" customFormat="1" ht="31.5" x14ac:dyDescent="0.25">
      <c r="A906" s="25" t="s">
        <v>263</v>
      </c>
      <c r="B906" s="20" t="s">
        <v>259</v>
      </c>
      <c r="C906" s="20" t="s">
        <v>230</v>
      </c>
      <c r="D906" s="20" t="s">
        <v>1421</v>
      </c>
      <c r="E906" s="20" t="s">
        <v>264</v>
      </c>
      <c r="F906" s="26">
        <f>F907</f>
        <v>5000</v>
      </c>
      <c r="G906" s="26">
        <f>G907</f>
        <v>0</v>
      </c>
    </row>
    <row r="907" spans="1:7" s="221" customFormat="1" ht="47.25" x14ac:dyDescent="0.25">
      <c r="A907" s="25" t="s">
        <v>265</v>
      </c>
      <c r="B907" s="20" t="s">
        <v>259</v>
      </c>
      <c r="C907" s="20" t="s">
        <v>230</v>
      </c>
      <c r="D907" s="20" t="s">
        <v>1421</v>
      </c>
      <c r="E907" s="20" t="s">
        <v>266</v>
      </c>
      <c r="F907" s="26">
        <f>'пр.4.1.ведом.21-22'!G205</f>
        <v>5000</v>
      </c>
      <c r="G907" s="26">
        <f>'пр.4.1.ведом.21-22'!H205</f>
        <v>0</v>
      </c>
    </row>
    <row r="908" spans="1:7" ht="31.5" x14ac:dyDescent="0.25">
      <c r="A908" s="23" t="s">
        <v>273</v>
      </c>
      <c r="B908" s="24" t="s">
        <v>259</v>
      </c>
      <c r="C908" s="24" t="s">
        <v>135</v>
      </c>
      <c r="D908" s="24"/>
      <c r="E908" s="24"/>
      <c r="F908" s="4">
        <f>F909+F916</f>
        <v>3708.4</v>
      </c>
      <c r="G908" s="4">
        <f>G909+G916</f>
        <v>3708.4</v>
      </c>
    </row>
    <row r="909" spans="1:7" ht="31.5" x14ac:dyDescent="0.25">
      <c r="A909" s="23" t="s">
        <v>988</v>
      </c>
      <c r="B909" s="24" t="s">
        <v>259</v>
      </c>
      <c r="C909" s="24" t="s">
        <v>135</v>
      </c>
      <c r="D909" s="24" t="s">
        <v>902</v>
      </c>
      <c r="E909" s="24"/>
      <c r="F909" s="4">
        <f>F910</f>
        <v>3621.4</v>
      </c>
      <c r="G909" s="4">
        <f>G910</f>
        <v>3621.4</v>
      </c>
    </row>
    <row r="910" spans="1:7" ht="47.25" x14ac:dyDescent="0.25">
      <c r="A910" s="23" t="s">
        <v>930</v>
      </c>
      <c r="B910" s="24" t="s">
        <v>259</v>
      </c>
      <c r="C910" s="24" t="s">
        <v>135</v>
      </c>
      <c r="D910" s="24" t="s">
        <v>907</v>
      </c>
      <c r="E910" s="24"/>
      <c r="F910" s="4">
        <f>F911</f>
        <v>3621.4</v>
      </c>
      <c r="G910" s="4">
        <f>G911</f>
        <v>3621.4</v>
      </c>
    </row>
    <row r="911" spans="1:7" ht="63" x14ac:dyDescent="0.25">
      <c r="A911" s="31" t="s">
        <v>274</v>
      </c>
      <c r="B911" s="20" t="s">
        <v>259</v>
      </c>
      <c r="C911" s="20" t="s">
        <v>135</v>
      </c>
      <c r="D911" s="20" t="s">
        <v>996</v>
      </c>
      <c r="E911" s="20"/>
      <c r="F911" s="6">
        <f>F912+F914</f>
        <v>3621.4</v>
      </c>
      <c r="G911" s="6">
        <f>G912+G914</f>
        <v>3621.4</v>
      </c>
    </row>
    <row r="912" spans="1:7" ht="94.5" x14ac:dyDescent="0.25">
      <c r="A912" s="25" t="s">
        <v>142</v>
      </c>
      <c r="B912" s="20" t="s">
        <v>259</v>
      </c>
      <c r="C912" s="20" t="s">
        <v>135</v>
      </c>
      <c r="D912" s="20" t="s">
        <v>996</v>
      </c>
      <c r="E912" s="20" t="s">
        <v>143</v>
      </c>
      <c r="F912" s="6">
        <f>F913</f>
        <v>3353.3</v>
      </c>
      <c r="G912" s="6">
        <f>G913</f>
        <v>3353.3</v>
      </c>
    </row>
    <row r="913" spans="1:7" ht="47.25" x14ac:dyDescent="0.25">
      <c r="A913" s="25" t="s">
        <v>144</v>
      </c>
      <c r="B913" s="20" t="s">
        <v>259</v>
      </c>
      <c r="C913" s="20" t="s">
        <v>135</v>
      </c>
      <c r="D913" s="20" t="s">
        <v>996</v>
      </c>
      <c r="E913" s="20" t="s">
        <v>145</v>
      </c>
      <c r="F913" s="6">
        <f>'пр.4.1.ведом.21-22'!G211</f>
        <v>3353.3</v>
      </c>
      <c r="G913" s="6">
        <f>'пр.4.1.ведом.21-22'!H211</f>
        <v>3353.3</v>
      </c>
    </row>
    <row r="914" spans="1:7" ht="31.5" x14ac:dyDescent="0.25">
      <c r="A914" s="25" t="s">
        <v>146</v>
      </c>
      <c r="B914" s="20" t="s">
        <v>259</v>
      </c>
      <c r="C914" s="20" t="s">
        <v>135</v>
      </c>
      <c r="D914" s="20" t="s">
        <v>996</v>
      </c>
      <c r="E914" s="20" t="s">
        <v>147</v>
      </c>
      <c r="F914" s="6">
        <f>F915</f>
        <v>268.10000000000002</v>
      </c>
      <c r="G914" s="6">
        <f>G915</f>
        <v>268.10000000000002</v>
      </c>
    </row>
    <row r="915" spans="1:7" ht="47.25" x14ac:dyDescent="0.25">
      <c r="A915" s="25" t="s">
        <v>148</v>
      </c>
      <c r="B915" s="20" t="s">
        <v>259</v>
      </c>
      <c r="C915" s="20" t="s">
        <v>135</v>
      </c>
      <c r="D915" s="20" t="s">
        <v>996</v>
      </c>
      <c r="E915" s="20" t="s">
        <v>149</v>
      </c>
      <c r="F915" s="6">
        <f>'пр.4.1.ведом.21-22'!G213</f>
        <v>268.10000000000002</v>
      </c>
      <c r="G915" s="6">
        <f>'пр.4.1.ведом.21-22'!H213</f>
        <v>268.10000000000002</v>
      </c>
    </row>
    <row r="916" spans="1:7" ht="15.75" x14ac:dyDescent="0.25">
      <c r="A916" s="23" t="s">
        <v>156</v>
      </c>
      <c r="B916" s="24" t="s">
        <v>259</v>
      </c>
      <c r="C916" s="24" t="s">
        <v>135</v>
      </c>
      <c r="D916" s="24" t="s">
        <v>910</v>
      </c>
      <c r="E916" s="24"/>
      <c r="F916" s="4">
        <f t="shared" ref="F916:G919" si="68">F917</f>
        <v>87</v>
      </c>
      <c r="G916" s="4">
        <f t="shared" si="68"/>
        <v>87</v>
      </c>
    </row>
    <row r="917" spans="1:7" ht="31.5" x14ac:dyDescent="0.25">
      <c r="A917" s="23" t="s">
        <v>914</v>
      </c>
      <c r="B917" s="24" t="s">
        <v>259</v>
      </c>
      <c r="C917" s="24" t="s">
        <v>135</v>
      </c>
      <c r="D917" s="24" t="s">
        <v>909</v>
      </c>
      <c r="E917" s="24"/>
      <c r="F917" s="4">
        <f t="shared" si="68"/>
        <v>87</v>
      </c>
      <c r="G917" s="4">
        <f t="shared" si="68"/>
        <v>87</v>
      </c>
    </row>
    <row r="918" spans="1:7" ht="15.75" x14ac:dyDescent="0.25">
      <c r="A918" s="25" t="s">
        <v>587</v>
      </c>
      <c r="B918" s="20" t="s">
        <v>259</v>
      </c>
      <c r="C918" s="20" t="s">
        <v>135</v>
      </c>
      <c r="D918" s="20" t="s">
        <v>1131</v>
      </c>
      <c r="E918" s="20"/>
      <c r="F918" s="6">
        <f t="shared" si="68"/>
        <v>87</v>
      </c>
      <c r="G918" s="6">
        <f t="shared" si="68"/>
        <v>87</v>
      </c>
    </row>
    <row r="919" spans="1:7" ht="31.5" x14ac:dyDescent="0.25">
      <c r="A919" s="25" t="s">
        <v>146</v>
      </c>
      <c r="B919" s="20" t="s">
        <v>259</v>
      </c>
      <c r="C919" s="20" t="s">
        <v>135</v>
      </c>
      <c r="D919" s="20" t="s">
        <v>1131</v>
      </c>
      <c r="E919" s="20" t="s">
        <v>147</v>
      </c>
      <c r="F919" s="6">
        <f t="shared" si="68"/>
        <v>87</v>
      </c>
      <c r="G919" s="6">
        <f t="shared" si="68"/>
        <v>87</v>
      </c>
    </row>
    <row r="920" spans="1:7" ht="47.25" x14ac:dyDescent="0.25">
      <c r="A920" s="25" t="s">
        <v>148</v>
      </c>
      <c r="B920" s="20" t="s">
        <v>259</v>
      </c>
      <c r="C920" s="20" t="s">
        <v>135</v>
      </c>
      <c r="D920" s="20" t="s">
        <v>1131</v>
      </c>
      <c r="E920" s="20" t="s">
        <v>149</v>
      </c>
      <c r="F920" s="6">
        <f>'пр.4.1.ведом.21-22'!G1058</f>
        <v>87</v>
      </c>
      <c r="G920" s="6">
        <f>'пр.4.1.ведом.21-22'!H1058</f>
        <v>87</v>
      </c>
    </row>
    <row r="921" spans="1:7" ht="15.75" x14ac:dyDescent="0.25">
      <c r="A921" s="41" t="s">
        <v>505</v>
      </c>
      <c r="B921" s="7" t="s">
        <v>506</v>
      </c>
      <c r="C921" s="40"/>
      <c r="D921" s="40"/>
      <c r="E921" s="40"/>
      <c r="F921" s="4">
        <f>F922+F961</f>
        <v>58483.6</v>
      </c>
      <c r="G921" s="4">
        <f>G922+G961</f>
        <v>58483.6</v>
      </c>
    </row>
    <row r="922" spans="1:7" ht="15.75" x14ac:dyDescent="0.25">
      <c r="A922" s="23" t="s">
        <v>507</v>
      </c>
      <c r="B922" s="24" t="s">
        <v>506</v>
      </c>
      <c r="C922" s="24" t="s">
        <v>133</v>
      </c>
      <c r="D922" s="20"/>
      <c r="E922" s="20"/>
      <c r="F922" s="4">
        <f>F923+F956</f>
        <v>46727.6</v>
      </c>
      <c r="G922" s="4">
        <f>G923+G956</f>
        <v>46727.6</v>
      </c>
    </row>
    <row r="923" spans="1:7" ht="63" x14ac:dyDescent="0.25">
      <c r="A923" s="23" t="s">
        <v>1437</v>
      </c>
      <c r="B923" s="24" t="s">
        <v>506</v>
      </c>
      <c r="C923" s="24" t="s">
        <v>133</v>
      </c>
      <c r="D923" s="24" t="s">
        <v>497</v>
      </c>
      <c r="E923" s="24"/>
      <c r="F923" s="4">
        <f t="shared" ref="F923:G923" si="69">F924</f>
        <v>46187.5</v>
      </c>
      <c r="G923" s="4">
        <f t="shared" si="69"/>
        <v>46187.5</v>
      </c>
    </row>
    <row r="924" spans="1:7" ht="47.25" x14ac:dyDescent="0.25">
      <c r="A924" s="23" t="s">
        <v>1452</v>
      </c>
      <c r="B924" s="24" t="s">
        <v>506</v>
      </c>
      <c r="C924" s="24" t="s">
        <v>133</v>
      </c>
      <c r="D924" s="24" t="s">
        <v>509</v>
      </c>
      <c r="E924" s="24"/>
      <c r="F924" s="4">
        <f>F925+F935+F945+F952</f>
        <v>46187.5</v>
      </c>
      <c r="G924" s="4">
        <f>G925+G935+G945+G952</f>
        <v>46187.5</v>
      </c>
    </row>
    <row r="925" spans="1:7" ht="47.25" x14ac:dyDescent="0.25">
      <c r="A925" s="23" t="s">
        <v>1026</v>
      </c>
      <c r="B925" s="24" t="s">
        <v>506</v>
      </c>
      <c r="C925" s="24" t="s">
        <v>133</v>
      </c>
      <c r="D925" s="24" t="s">
        <v>1059</v>
      </c>
      <c r="E925" s="24"/>
      <c r="F925" s="4">
        <f>F926+F929+F932</f>
        <v>44582</v>
      </c>
      <c r="G925" s="4">
        <f>G926+G929+G932</f>
        <v>44582</v>
      </c>
    </row>
    <row r="926" spans="1:7" ht="63" x14ac:dyDescent="0.25">
      <c r="A926" s="25" t="s">
        <v>835</v>
      </c>
      <c r="B926" s="20" t="s">
        <v>506</v>
      </c>
      <c r="C926" s="20" t="s">
        <v>133</v>
      </c>
      <c r="D926" s="20" t="s">
        <v>1069</v>
      </c>
      <c r="E926" s="20"/>
      <c r="F926" s="6">
        <f>F927</f>
        <v>13108</v>
      </c>
      <c r="G926" s="6">
        <f>G927</f>
        <v>13108</v>
      </c>
    </row>
    <row r="927" spans="1:7" ht="47.25" x14ac:dyDescent="0.25">
      <c r="A927" s="25" t="s">
        <v>287</v>
      </c>
      <c r="B927" s="20" t="s">
        <v>506</v>
      </c>
      <c r="C927" s="20" t="s">
        <v>133</v>
      </c>
      <c r="D927" s="20" t="s">
        <v>1069</v>
      </c>
      <c r="E927" s="20" t="s">
        <v>288</v>
      </c>
      <c r="F927" s="6">
        <f>F928</f>
        <v>13108</v>
      </c>
      <c r="G927" s="6">
        <f>G928</f>
        <v>13108</v>
      </c>
    </row>
    <row r="928" spans="1:7" ht="15.75" x14ac:dyDescent="0.25">
      <c r="A928" s="25" t="s">
        <v>289</v>
      </c>
      <c r="B928" s="20" t="s">
        <v>506</v>
      </c>
      <c r="C928" s="20" t="s">
        <v>133</v>
      </c>
      <c r="D928" s="20" t="s">
        <v>1069</v>
      </c>
      <c r="E928" s="20" t="s">
        <v>290</v>
      </c>
      <c r="F928" s="6">
        <f>'пр.4.1.ведом.21-22'!G785</f>
        <v>13108</v>
      </c>
      <c r="G928" s="6">
        <f>'пр.4.1.ведом.21-22'!H785</f>
        <v>13108</v>
      </c>
    </row>
    <row r="929" spans="1:7" ht="47.25" x14ac:dyDescent="0.25">
      <c r="A929" s="25" t="s">
        <v>856</v>
      </c>
      <c r="B929" s="20" t="s">
        <v>506</v>
      </c>
      <c r="C929" s="20" t="s">
        <v>133</v>
      </c>
      <c r="D929" s="20" t="s">
        <v>1070</v>
      </c>
      <c r="E929" s="20"/>
      <c r="F929" s="6">
        <f>F930</f>
        <v>12897</v>
      </c>
      <c r="G929" s="6">
        <f>G930</f>
        <v>12897</v>
      </c>
    </row>
    <row r="930" spans="1:7" ht="47.25" x14ac:dyDescent="0.25">
      <c r="A930" s="25" t="s">
        <v>287</v>
      </c>
      <c r="B930" s="20" t="s">
        <v>506</v>
      </c>
      <c r="C930" s="20" t="s">
        <v>133</v>
      </c>
      <c r="D930" s="20" t="s">
        <v>1070</v>
      </c>
      <c r="E930" s="20" t="s">
        <v>288</v>
      </c>
      <c r="F930" s="6">
        <f>F931</f>
        <v>12897</v>
      </c>
      <c r="G930" s="6">
        <f>G931</f>
        <v>12897</v>
      </c>
    </row>
    <row r="931" spans="1:7" ht="15.75" x14ac:dyDescent="0.25">
      <c r="A931" s="25" t="s">
        <v>289</v>
      </c>
      <c r="B931" s="20" t="s">
        <v>506</v>
      </c>
      <c r="C931" s="20" t="s">
        <v>133</v>
      </c>
      <c r="D931" s="20" t="s">
        <v>1070</v>
      </c>
      <c r="E931" s="20" t="s">
        <v>290</v>
      </c>
      <c r="F931" s="6">
        <f>'пр.4.1.ведом.21-22'!G788</f>
        <v>12897</v>
      </c>
      <c r="G931" s="6">
        <f>'пр.4.1.ведом.21-22'!H788</f>
        <v>12897</v>
      </c>
    </row>
    <row r="932" spans="1:7" ht="63" x14ac:dyDescent="0.25">
      <c r="A932" s="25" t="s">
        <v>857</v>
      </c>
      <c r="B932" s="20" t="s">
        <v>506</v>
      </c>
      <c r="C932" s="20" t="s">
        <v>133</v>
      </c>
      <c r="D932" s="20" t="s">
        <v>1071</v>
      </c>
      <c r="E932" s="20"/>
      <c r="F932" s="6">
        <f>F933</f>
        <v>18577</v>
      </c>
      <c r="G932" s="6">
        <f>G933</f>
        <v>18577</v>
      </c>
    </row>
    <row r="933" spans="1:7" ht="47.25" x14ac:dyDescent="0.25">
      <c r="A933" s="25" t="s">
        <v>287</v>
      </c>
      <c r="B933" s="20" t="s">
        <v>506</v>
      </c>
      <c r="C933" s="20" t="s">
        <v>133</v>
      </c>
      <c r="D933" s="20" t="s">
        <v>1071</v>
      </c>
      <c r="E933" s="20" t="s">
        <v>288</v>
      </c>
      <c r="F933" s="6">
        <f>F934</f>
        <v>18577</v>
      </c>
      <c r="G933" s="6">
        <f>G934</f>
        <v>18577</v>
      </c>
    </row>
    <row r="934" spans="1:7" ht="15.75" x14ac:dyDescent="0.25">
      <c r="A934" s="25" t="s">
        <v>289</v>
      </c>
      <c r="B934" s="20" t="s">
        <v>506</v>
      </c>
      <c r="C934" s="20" t="s">
        <v>133</v>
      </c>
      <c r="D934" s="20" t="s">
        <v>1071</v>
      </c>
      <c r="E934" s="20" t="s">
        <v>290</v>
      </c>
      <c r="F934" s="6">
        <f>'пр.4.1.ведом.21-22'!G791</f>
        <v>18577</v>
      </c>
      <c r="G934" s="6">
        <f>'пр.4.1.ведом.21-22'!H791</f>
        <v>18577</v>
      </c>
    </row>
    <row r="935" spans="1:7" ht="31.5" x14ac:dyDescent="0.25">
      <c r="A935" s="23" t="s">
        <v>1072</v>
      </c>
      <c r="B935" s="24" t="s">
        <v>506</v>
      </c>
      <c r="C935" s="24" t="s">
        <v>133</v>
      </c>
      <c r="D935" s="24" t="s">
        <v>1073</v>
      </c>
      <c r="E935" s="24"/>
      <c r="F935" s="4">
        <f>F936+F939+F942</f>
        <v>36</v>
      </c>
      <c r="G935" s="4">
        <f>G936+G939+G942</f>
        <v>36</v>
      </c>
    </row>
    <row r="936" spans="1:7" ht="47.25" hidden="1" x14ac:dyDescent="0.25">
      <c r="A936" s="25" t="s">
        <v>293</v>
      </c>
      <c r="B936" s="20" t="s">
        <v>506</v>
      </c>
      <c r="C936" s="20" t="s">
        <v>133</v>
      </c>
      <c r="D936" s="20" t="s">
        <v>1077</v>
      </c>
      <c r="E936" s="20"/>
      <c r="F936" s="6">
        <f>'Пр.3 Рд,пр, ЦС,ВР 20'!F966</f>
        <v>0</v>
      </c>
      <c r="G936" s="6">
        <f>'Пр.3 Рд,пр, ЦС,ВР 20'!G966</f>
        <v>0</v>
      </c>
    </row>
    <row r="937" spans="1:7" ht="47.25" hidden="1" x14ac:dyDescent="0.25">
      <c r="A937" s="25" t="s">
        <v>287</v>
      </c>
      <c r="B937" s="20" t="s">
        <v>506</v>
      </c>
      <c r="C937" s="20" t="s">
        <v>133</v>
      </c>
      <c r="D937" s="20" t="s">
        <v>1077</v>
      </c>
      <c r="E937" s="20" t="s">
        <v>288</v>
      </c>
      <c r="F937" s="6">
        <f>'Пр.3 Рд,пр, ЦС,ВР 20'!F967</f>
        <v>0</v>
      </c>
      <c r="G937" s="6">
        <f>'Пр.3 Рд,пр, ЦС,ВР 20'!G967</f>
        <v>0</v>
      </c>
    </row>
    <row r="938" spans="1:7" ht="15.75" hidden="1" x14ac:dyDescent="0.25">
      <c r="A938" s="25" t="s">
        <v>289</v>
      </c>
      <c r="B938" s="20" t="s">
        <v>506</v>
      </c>
      <c r="C938" s="20" t="s">
        <v>133</v>
      </c>
      <c r="D938" s="20" t="s">
        <v>1077</v>
      </c>
      <c r="E938" s="20" t="s">
        <v>290</v>
      </c>
      <c r="F938" s="6">
        <f>'Пр.3 Рд,пр, ЦС,ВР 20'!F968</f>
        <v>0</v>
      </c>
      <c r="G938" s="6">
        <f>'Пр.3 Рд,пр, ЦС,ВР 20'!G968</f>
        <v>0</v>
      </c>
    </row>
    <row r="939" spans="1:7" ht="31.5" hidden="1" x14ac:dyDescent="0.25">
      <c r="A939" s="25" t="s">
        <v>295</v>
      </c>
      <c r="B939" s="20" t="s">
        <v>506</v>
      </c>
      <c r="C939" s="20" t="s">
        <v>133</v>
      </c>
      <c r="D939" s="20" t="s">
        <v>1078</v>
      </c>
      <c r="E939" s="20"/>
      <c r="F939" s="6">
        <f>'Пр.3 Рд,пр, ЦС,ВР 20'!F969</f>
        <v>0</v>
      </c>
      <c r="G939" s="6">
        <f>'Пр.3 Рд,пр, ЦС,ВР 20'!G969</f>
        <v>0</v>
      </c>
    </row>
    <row r="940" spans="1:7" ht="47.25" hidden="1" x14ac:dyDescent="0.25">
      <c r="A940" s="25" t="s">
        <v>287</v>
      </c>
      <c r="B940" s="20" t="s">
        <v>506</v>
      </c>
      <c r="C940" s="20" t="s">
        <v>133</v>
      </c>
      <c r="D940" s="20" t="s">
        <v>1078</v>
      </c>
      <c r="E940" s="20" t="s">
        <v>288</v>
      </c>
      <c r="F940" s="6">
        <f>'Пр.3 Рд,пр, ЦС,ВР 20'!F970</f>
        <v>0</v>
      </c>
      <c r="G940" s="6">
        <f>'Пр.3 Рд,пр, ЦС,ВР 20'!G970</f>
        <v>0</v>
      </c>
    </row>
    <row r="941" spans="1:7" ht="15.75" hidden="1" x14ac:dyDescent="0.25">
      <c r="A941" s="25" t="s">
        <v>289</v>
      </c>
      <c r="B941" s="20" t="s">
        <v>506</v>
      </c>
      <c r="C941" s="20" t="s">
        <v>133</v>
      </c>
      <c r="D941" s="20" t="s">
        <v>1078</v>
      </c>
      <c r="E941" s="20" t="s">
        <v>290</v>
      </c>
      <c r="F941" s="6">
        <f>'Пр.3 Рд,пр, ЦС,ВР 20'!F971</f>
        <v>0</v>
      </c>
      <c r="G941" s="6">
        <f>'Пр.3 Рд,пр, ЦС,ВР 20'!G971</f>
        <v>0</v>
      </c>
    </row>
    <row r="942" spans="1:7" ht="15.75" x14ac:dyDescent="0.25">
      <c r="A942" s="25" t="s">
        <v>874</v>
      </c>
      <c r="B942" s="20" t="s">
        <v>506</v>
      </c>
      <c r="C942" s="20" t="s">
        <v>133</v>
      </c>
      <c r="D942" s="20" t="s">
        <v>1079</v>
      </c>
      <c r="E942" s="20"/>
      <c r="F942" s="6">
        <f>F943</f>
        <v>36</v>
      </c>
      <c r="G942" s="6">
        <f>G943</f>
        <v>36</v>
      </c>
    </row>
    <row r="943" spans="1:7" ht="47.25" x14ac:dyDescent="0.25">
      <c r="A943" s="25" t="s">
        <v>287</v>
      </c>
      <c r="B943" s="20" t="s">
        <v>506</v>
      </c>
      <c r="C943" s="20" t="s">
        <v>133</v>
      </c>
      <c r="D943" s="20" t="s">
        <v>1079</v>
      </c>
      <c r="E943" s="20" t="s">
        <v>288</v>
      </c>
      <c r="F943" s="6">
        <f>F944</f>
        <v>36</v>
      </c>
      <c r="G943" s="6">
        <f>G944</f>
        <v>36</v>
      </c>
    </row>
    <row r="944" spans="1:7" ht="15.75" x14ac:dyDescent="0.25">
      <c r="A944" s="25" t="s">
        <v>289</v>
      </c>
      <c r="B944" s="20" t="s">
        <v>506</v>
      </c>
      <c r="C944" s="20" t="s">
        <v>133</v>
      </c>
      <c r="D944" s="20" t="s">
        <v>1079</v>
      </c>
      <c r="E944" s="20" t="s">
        <v>290</v>
      </c>
      <c r="F944" s="6">
        <f>'пр.4.1.ведом.21-22'!G801</f>
        <v>36</v>
      </c>
      <c r="G944" s="6">
        <f>'пр.4.1.ведом.21-22'!H801</f>
        <v>36</v>
      </c>
    </row>
    <row r="945" spans="1:7" ht="47.25" x14ac:dyDescent="0.25">
      <c r="A945" s="23" t="s">
        <v>1074</v>
      </c>
      <c r="B945" s="24" t="s">
        <v>506</v>
      </c>
      <c r="C945" s="24" t="s">
        <v>133</v>
      </c>
      <c r="D945" s="24" t="s">
        <v>1076</v>
      </c>
      <c r="E945" s="24"/>
      <c r="F945" s="4">
        <f>F946+F949</f>
        <v>756</v>
      </c>
      <c r="G945" s="4">
        <f>G946+G949</f>
        <v>756</v>
      </c>
    </row>
    <row r="946" spans="1:7" ht="31.5" hidden="1" x14ac:dyDescent="0.25">
      <c r="A946" s="25" t="s">
        <v>815</v>
      </c>
      <c r="B946" s="20" t="s">
        <v>506</v>
      </c>
      <c r="C946" s="20" t="s">
        <v>133</v>
      </c>
      <c r="D946" s="20" t="s">
        <v>1080</v>
      </c>
      <c r="E946" s="20"/>
      <c r="F946" s="6">
        <f>'Пр.3 Рд,пр, ЦС,ВР 20'!F976</f>
        <v>0</v>
      </c>
      <c r="G946" s="6">
        <f>'Пр.3 Рд,пр, ЦС,ВР 20'!G976</f>
        <v>0</v>
      </c>
    </row>
    <row r="947" spans="1:7" ht="47.25" hidden="1" x14ac:dyDescent="0.25">
      <c r="A947" s="25" t="s">
        <v>287</v>
      </c>
      <c r="B947" s="20" t="s">
        <v>506</v>
      </c>
      <c r="C947" s="20" t="s">
        <v>133</v>
      </c>
      <c r="D947" s="20" t="s">
        <v>1080</v>
      </c>
      <c r="E947" s="20" t="s">
        <v>288</v>
      </c>
      <c r="F947" s="6">
        <f>'Пр.3 Рд,пр, ЦС,ВР 20'!F977</f>
        <v>0</v>
      </c>
      <c r="G947" s="6">
        <f>'Пр.3 Рд,пр, ЦС,ВР 20'!G977</f>
        <v>0</v>
      </c>
    </row>
    <row r="948" spans="1:7" ht="15.75" hidden="1" x14ac:dyDescent="0.25">
      <c r="A948" s="25" t="s">
        <v>289</v>
      </c>
      <c r="B948" s="20" t="s">
        <v>506</v>
      </c>
      <c r="C948" s="20" t="s">
        <v>133</v>
      </c>
      <c r="D948" s="20" t="s">
        <v>1080</v>
      </c>
      <c r="E948" s="20" t="s">
        <v>290</v>
      </c>
      <c r="F948" s="6">
        <f>'Пр.3 Рд,пр, ЦС,ВР 20'!F978</f>
        <v>0</v>
      </c>
      <c r="G948" s="6">
        <f>'Пр.3 Рд,пр, ЦС,ВР 20'!G978</f>
        <v>0</v>
      </c>
    </row>
    <row r="949" spans="1:7" ht="47.25" x14ac:dyDescent="0.25">
      <c r="A949" s="45" t="s">
        <v>785</v>
      </c>
      <c r="B949" s="20" t="s">
        <v>506</v>
      </c>
      <c r="C949" s="20" t="s">
        <v>133</v>
      </c>
      <c r="D949" s="20" t="s">
        <v>1081</v>
      </c>
      <c r="E949" s="20"/>
      <c r="F949" s="6">
        <f>F950</f>
        <v>756</v>
      </c>
      <c r="G949" s="6">
        <f>G950</f>
        <v>756</v>
      </c>
    </row>
    <row r="950" spans="1:7" ht="47.25" x14ac:dyDescent="0.25">
      <c r="A950" s="31" t="s">
        <v>287</v>
      </c>
      <c r="B950" s="20" t="s">
        <v>506</v>
      </c>
      <c r="C950" s="20" t="s">
        <v>133</v>
      </c>
      <c r="D950" s="20" t="s">
        <v>1081</v>
      </c>
      <c r="E950" s="20" t="s">
        <v>288</v>
      </c>
      <c r="F950" s="6">
        <f>F951</f>
        <v>756</v>
      </c>
      <c r="G950" s="6">
        <f>G951</f>
        <v>756</v>
      </c>
    </row>
    <row r="951" spans="1:7" ht="15.75" x14ac:dyDescent="0.25">
      <c r="A951" s="31" t="s">
        <v>289</v>
      </c>
      <c r="B951" s="20" t="s">
        <v>506</v>
      </c>
      <c r="C951" s="20" t="s">
        <v>133</v>
      </c>
      <c r="D951" s="20" t="s">
        <v>1081</v>
      </c>
      <c r="E951" s="20" t="s">
        <v>290</v>
      </c>
      <c r="F951" s="6">
        <f>'пр.4.1.ведом.21-22'!G808</f>
        <v>756</v>
      </c>
      <c r="G951" s="6">
        <f>'пр.4.1.ведом.21-22'!H808</f>
        <v>756</v>
      </c>
    </row>
    <row r="952" spans="1:7" ht="63" x14ac:dyDescent="0.25">
      <c r="A952" s="23" t="s">
        <v>969</v>
      </c>
      <c r="B952" s="24" t="s">
        <v>506</v>
      </c>
      <c r="C952" s="24" t="s">
        <v>133</v>
      </c>
      <c r="D952" s="24" t="s">
        <v>1082</v>
      </c>
      <c r="E952" s="24"/>
      <c r="F952" s="4">
        <f t="shared" ref="F952:G954" si="70">F953</f>
        <v>813.5</v>
      </c>
      <c r="G952" s="4">
        <f t="shared" si="70"/>
        <v>813.5</v>
      </c>
    </row>
    <row r="953" spans="1:7" ht="121.7" customHeight="1" x14ac:dyDescent="0.25">
      <c r="A953" s="31" t="s">
        <v>308</v>
      </c>
      <c r="B953" s="20" t="s">
        <v>506</v>
      </c>
      <c r="C953" s="20" t="s">
        <v>133</v>
      </c>
      <c r="D953" s="20" t="s">
        <v>1525</v>
      </c>
      <c r="E953" s="20"/>
      <c r="F953" s="6">
        <f t="shared" si="70"/>
        <v>813.5</v>
      </c>
      <c r="G953" s="6">
        <f t="shared" si="70"/>
        <v>813.5</v>
      </c>
    </row>
    <row r="954" spans="1:7" ht="47.25" x14ac:dyDescent="0.25">
      <c r="A954" s="25" t="s">
        <v>287</v>
      </c>
      <c r="B954" s="20" t="s">
        <v>506</v>
      </c>
      <c r="C954" s="20" t="s">
        <v>133</v>
      </c>
      <c r="D954" s="368" t="s">
        <v>1525</v>
      </c>
      <c r="E954" s="20" t="s">
        <v>288</v>
      </c>
      <c r="F954" s="6">
        <f t="shared" si="70"/>
        <v>813.5</v>
      </c>
      <c r="G954" s="6">
        <f t="shared" si="70"/>
        <v>813.5</v>
      </c>
    </row>
    <row r="955" spans="1:7" ht="15.75" x14ac:dyDescent="0.25">
      <c r="A955" s="25" t="s">
        <v>289</v>
      </c>
      <c r="B955" s="20" t="s">
        <v>506</v>
      </c>
      <c r="C955" s="20" t="s">
        <v>133</v>
      </c>
      <c r="D955" s="368" t="s">
        <v>1525</v>
      </c>
      <c r="E955" s="20" t="s">
        <v>290</v>
      </c>
      <c r="F955" s="6">
        <f>'пр.4.1.ведом.21-22'!G812</f>
        <v>813.5</v>
      </c>
      <c r="G955" s="6">
        <f>'пр.4.1.ведом.21-22'!H812</f>
        <v>813.5</v>
      </c>
    </row>
    <row r="956" spans="1:7" ht="78.75" x14ac:dyDescent="0.25">
      <c r="A956" s="41" t="s">
        <v>1429</v>
      </c>
      <c r="B956" s="24" t="s">
        <v>506</v>
      </c>
      <c r="C956" s="24" t="s">
        <v>133</v>
      </c>
      <c r="D956" s="24" t="s">
        <v>726</v>
      </c>
      <c r="E956" s="250"/>
      <c r="F956" s="4">
        <f t="shared" ref="F956:G956" si="71">F957</f>
        <v>540.1</v>
      </c>
      <c r="G956" s="4">
        <f t="shared" si="71"/>
        <v>540.1</v>
      </c>
    </row>
    <row r="957" spans="1:7" ht="63" x14ac:dyDescent="0.25">
      <c r="A957" s="41" t="s">
        <v>947</v>
      </c>
      <c r="B957" s="24" t="s">
        <v>506</v>
      </c>
      <c r="C957" s="24" t="s">
        <v>133</v>
      </c>
      <c r="D957" s="24" t="s">
        <v>945</v>
      </c>
      <c r="E957" s="250"/>
      <c r="F957" s="4">
        <f t="shared" ref="F957:G959" si="72">F958</f>
        <v>540.1</v>
      </c>
      <c r="G957" s="4">
        <f t="shared" si="72"/>
        <v>540.1</v>
      </c>
    </row>
    <row r="958" spans="1:7" ht="47.25" x14ac:dyDescent="0.25">
      <c r="A958" s="99" t="s">
        <v>801</v>
      </c>
      <c r="B958" s="20" t="s">
        <v>506</v>
      </c>
      <c r="C958" s="20" t="s">
        <v>133</v>
      </c>
      <c r="D958" s="20" t="s">
        <v>1025</v>
      </c>
      <c r="E958" s="32"/>
      <c r="F958" s="6">
        <f t="shared" si="72"/>
        <v>540.1</v>
      </c>
      <c r="G958" s="6">
        <f t="shared" si="72"/>
        <v>540.1</v>
      </c>
    </row>
    <row r="959" spans="1:7" ht="47.25" x14ac:dyDescent="0.25">
      <c r="A959" s="29" t="s">
        <v>287</v>
      </c>
      <c r="B959" s="20" t="s">
        <v>506</v>
      </c>
      <c r="C959" s="20" t="s">
        <v>133</v>
      </c>
      <c r="D959" s="20" t="s">
        <v>1025</v>
      </c>
      <c r="E959" s="32" t="s">
        <v>288</v>
      </c>
      <c r="F959" s="6">
        <f t="shared" si="72"/>
        <v>540.1</v>
      </c>
      <c r="G959" s="6">
        <f t="shared" si="72"/>
        <v>540.1</v>
      </c>
    </row>
    <row r="960" spans="1:7" ht="15.75" x14ac:dyDescent="0.25">
      <c r="A960" s="193" t="s">
        <v>289</v>
      </c>
      <c r="B960" s="20" t="s">
        <v>506</v>
      </c>
      <c r="C960" s="20" t="s">
        <v>133</v>
      </c>
      <c r="D960" s="20" t="s">
        <v>1025</v>
      </c>
      <c r="E960" s="32" t="s">
        <v>290</v>
      </c>
      <c r="F960" s="6">
        <f>'пр.4.1.ведом.21-22'!G817</f>
        <v>540.1</v>
      </c>
      <c r="G960" s="6">
        <f>'пр.4.1.ведом.21-22'!H817</f>
        <v>540.1</v>
      </c>
    </row>
    <row r="961" spans="1:7" ht="31.5" x14ac:dyDescent="0.25">
      <c r="A961" s="23" t="s">
        <v>515</v>
      </c>
      <c r="B961" s="24" t="s">
        <v>506</v>
      </c>
      <c r="C961" s="24" t="s">
        <v>249</v>
      </c>
      <c r="D961" s="24"/>
      <c r="E961" s="24"/>
      <c r="F961" s="4">
        <f>F962+F970+F982</f>
        <v>11756</v>
      </c>
      <c r="G961" s="4">
        <f>G962+G970+G982</f>
        <v>11756</v>
      </c>
    </row>
    <row r="962" spans="1:7" ht="31.5" x14ac:dyDescent="0.25">
      <c r="A962" s="23" t="s">
        <v>988</v>
      </c>
      <c r="B962" s="24" t="s">
        <v>506</v>
      </c>
      <c r="C962" s="24" t="s">
        <v>249</v>
      </c>
      <c r="D962" s="24" t="s">
        <v>902</v>
      </c>
      <c r="E962" s="24"/>
      <c r="F962" s="4">
        <f>F963</f>
        <v>4531</v>
      </c>
      <c r="G962" s="4">
        <f>G963</f>
        <v>4531</v>
      </c>
    </row>
    <row r="963" spans="1:7" ht="15.75" x14ac:dyDescent="0.25">
      <c r="A963" s="23" t="s">
        <v>989</v>
      </c>
      <c r="B963" s="24" t="s">
        <v>506</v>
      </c>
      <c r="C963" s="24" t="s">
        <v>249</v>
      </c>
      <c r="D963" s="24" t="s">
        <v>903</v>
      </c>
      <c r="E963" s="24"/>
      <c r="F963" s="4">
        <f>F964+F967</f>
        <v>4531</v>
      </c>
      <c r="G963" s="4">
        <f>G964+G967</f>
        <v>4531</v>
      </c>
    </row>
    <row r="964" spans="1:7" ht="31.5" x14ac:dyDescent="0.25">
      <c r="A964" s="25" t="s">
        <v>965</v>
      </c>
      <c r="B964" s="20" t="s">
        <v>506</v>
      </c>
      <c r="C964" s="20" t="s">
        <v>249</v>
      </c>
      <c r="D964" s="20" t="s">
        <v>904</v>
      </c>
      <c r="E964" s="20"/>
      <c r="F964" s="6">
        <f>F965</f>
        <v>4447</v>
      </c>
      <c r="G964" s="6">
        <f>G965</f>
        <v>4447</v>
      </c>
    </row>
    <row r="965" spans="1:7" ht="94.5" x14ac:dyDescent="0.25">
      <c r="A965" s="25" t="s">
        <v>142</v>
      </c>
      <c r="B965" s="20" t="s">
        <v>506</v>
      </c>
      <c r="C965" s="20" t="s">
        <v>249</v>
      </c>
      <c r="D965" s="20" t="s">
        <v>904</v>
      </c>
      <c r="E965" s="20" t="s">
        <v>143</v>
      </c>
      <c r="F965" s="6">
        <f>F966</f>
        <v>4447</v>
      </c>
      <c r="G965" s="6">
        <f>G966</f>
        <v>4447</v>
      </c>
    </row>
    <row r="966" spans="1:7" ht="47.25" x14ac:dyDescent="0.25">
      <c r="A966" s="25" t="s">
        <v>144</v>
      </c>
      <c r="B966" s="20" t="s">
        <v>506</v>
      </c>
      <c r="C966" s="20" t="s">
        <v>249</v>
      </c>
      <c r="D966" s="20" t="s">
        <v>904</v>
      </c>
      <c r="E966" s="20" t="s">
        <v>145</v>
      </c>
      <c r="F966" s="6">
        <f>'пр.4.1.ведом.21-22'!G823</f>
        <v>4447</v>
      </c>
      <c r="G966" s="6">
        <f>'пр.4.1.ведом.21-22'!H823</f>
        <v>4447</v>
      </c>
    </row>
    <row r="967" spans="1:7" ht="47.25" x14ac:dyDescent="0.25">
      <c r="A967" s="25" t="s">
        <v>883</v>
      </c>
      <c r="B967" s="20" t="s">
        <v>506</v>
      </c>
      <c r="C967" s="20" t="s">
        <v>249</v>
      </c>
      <c r="D967" s="20" t="s">
        <v>906</v>
      </c>
      <c r="E967" s="20"/>
      <c r="F967" s="6">
        <f>F968</f>
        <v>84</v>
      </c>
      <c r="G967" s="6">
        <f>G968</f>
        <v>84</v>
      </c>
    </row>
    <row r="968" spans="1:7" ht="94.5" x14ac:dyDescent="0.25">
      <c r="A968" s="25" t="s">
        <v>142</v>
      </c>
      <c r="B968" s="20" t="s">
        <v>506</v>
      </c>
      <c r="C968" s="20" t="s">
        <v>249</v>
      </c>
      <c r="D968" s="20" t="s">
        <v>906</v>
      </c>
      <c r="E968" s="20" t="s">
        <v>143</v>
      </c>
      <c r="F968" s="6">
        <f>F969</f>
        <v>84</v>
      </c>
      <c r="G968" s="6">
        <f>G969</f>
        <v>84</v>
      </c>
    </row>
    <row r="969" spans="1:7" ht="47.25" x14ac:dyDescent="0.25">
      <c r="A969" s="25" t="s">
        <v>144</v>
      </c>
      <c r="B969" s="20" t="s">
        <v>506</v>
      </c>
      <c r="C969" s="20" t="s">
        <v>249</v>
      </c>
      <c r="D969" s="20" t="s">
        <v>906</v>
      </c>
      <c r="E969" s="20" t="s">
        <v>145</v>
      </c>
      <c r="F969" s="6">
        <f>'пр.4.1.ведом.21-22'!G826</f>
        <v>84</v>
      </c>
      <c r="G969" s="6">
        <f>'пр.4.1.ведом.21-22'!H826</f>
        <v>84</v>
      </c>
    </row>
    <row r="970" spans="1:7" ht="15.75" x14ac:dyDescent="0.25">
      <c r="A970" s="23" t="s">
        <v>156</v>
      </c>
      <c r="B970" s="24" t="s">
        <v>506</v>
      </c>
      <c r="C970" s="24" t="s">
        <v>249</v>
      </c>
      <c r="D970" s="24" t="s">
        <v>910</v>
      </c>
      <c r="E970" s="24"/>
      <c r="F970" s="4">
        <f>F971</f>
        <v>5225</v>
      </c>
      <c r="G970" s="4">
        <f>G971</f>
        <v>5225</v>
      </c>
    </row>
    <row r="971" spans="1:7" ht="47.25" x14ac:dyDescent="0.25">
      <c r="A971" s="23" t="s">
        <v>1000</v>
      </c>
      <c r="B971" s="24" t="s">
        <v>506</v>
      </c>
      <c r="C971" s="24" t="s">
        <v>249</v>
      </c>
      <c r="D971" s="24" t="s">
        <v>985</v>
      </c>
      <c r="E971" s="24"/>
      <c r="F971" s="4">
        <f>F972+F979</f>
        <v>5225</v>
      </c>
      <c r="G971" s="4">
        <f>G972+G979</f>
        <v>5225</v>
      </c>
    </row>
    <row r="972" spans="1:7" ht="31.5" x14ac:dyDescent="0.25">
      <c r="A972" s="25" t="s">
        <v>972</v>
      </c>
      <c r="B972" s="20" t="s">
        <v>506</v>
      </c>
      <c r="C972" s="20" t="s">
        <v>249</v>
      </c>
      <c r="D972" s="20" t="s">
        <v>986</v>
      </c>
      <c r="E972" s="20"/>
      <c r="F972" s="6">
        <f>F975+F977+F973</f>
        <v>5015</v>
      </c>
      <c r="G972" s="6">
        <f>G975+G977+G973</f>
        <v>5015</v>
      </c>
    </row>
    <row r="973" spans="1:7" ht="94.5" x14ac:dyDescent="0.25">
      <c r="A973" s="25" t="s">
        <v>142</v>
      </c>
      <c r="B973" s="20" t="s">
        <v>506</v>
      </c>
      <c r="C973" s="20" t="s">
        <v>249</v>
      </c>
      <c r="D973" s="20" t="s">
        <v>986</v>
      </c>
      <c r="E973" s="20" t="s">
        <v>143</v>
      </c>
      <c r="F973" s="6">
        <f>F974</f>
        <v>4454</v>
      </c>
      <c r="G973" s="6">
        <f>G974</f>
        <v>4454</v>
      </c>
    </row>
    <row r="974" spans="1:7" ht="31.5" x14ac:dyDescent="0.25">
      <c r="A974" s="25" t="s">
        <v>357</v>
      </c>
      <c r="B974" s="20" t="s">
        <v>506</v>
      </c>
      <c r="C974" s="20" t="s">
        <v>249</v>
      </c>
      <c r="D974" s="20" t="s">
        <v>986</v>
      </c>
      <c r="E974" s="20" t="s">
        <v>224</v>
      </c>
      <c r="F974" s="6">
        <f>'пр.4.1.ведом.21-22'!G831</f>
        <v>4454</v>
      </c>
      <c r="G974" s="6">
        <f>'пр.4.1.ведом.21-22'!H831</f>
        <v>4454</v>
      </c>
    </row>
    <row r="975" spans="1:7" ht="31.5" x14ac:dyDescent="0.25">
      <c r="A975" s="25" t="s">
        <v>146</v>
      </c>
      <c r="B975" s="20" t="s">
        <v>506</v>
      </c>
      <c r="C975" s="20" t="s">
        <v>249</v>
      </c>
      <c r="D975" s="20" t="s">
        <v>986</v>
      </c>
      <c r="E975" s="20" t="s">
        <v>147</v>
      </c>
      <c r="F975" s="6">
        <f>F976</f>
        <v>510</v>
      </c>
      <c r="G975" s="6">
        <f>G976</f>
        <v>510</v>
      </c>
    </row>
    <row r="976" spans="1:7" ht="47.25" x14ac:dyDescent="0.25">
      <c r="A976" s="25" t="s">
        <v>148</v>
      </c>
      <c r="B976" s="20" t="s">
        <v>506</v>
      </c>
      <c r="C976" s="20" t="s">
        <v>249</v>
      </c>
      <c r="D976" s="20" t="s">
        <v>986</v>
      </c>
      <c r="E976" s="20" t="s">
        <v>149</v>
      </c>
      <c r="F976" s="6">
        <f>'пр.4.1.ведом.21-22'!G833</f>
        <v>510</v>
      </c>
      <c r="G976" s="6">
        <f>'пр.4.1.ведом.21-22'!H833</f>
        <v>510</v>
      </c>
    </row>
    <row r="977" spans="1:7" ht="15.75" x14ac:dyDescent="0.25">
      <c r="A977" s="25" t="s">
        <v>150</v>
      </c>
      <c r="B977" s="20" t="s">
        <v>506</v>
      </c>
      <c r="C977" s="20" t="s">
        <v>249</v>
      </c>
      <c r="D977" s="20" t="s">
        <v>986</v>
      </c>
      <c r="E977" s="20" t="s">
        <v>160</v>
      </c>
      <c r="F977" s="6">
        <f>F978</f>
        <v>51</v>
      </c>
      <c r="G977" s="6">
        <f>G978</f>
        <v>51</v>
      </c>
    </row>
    <row r="978" spans="1:7" ht="31.5" x14ac:dyDescent="0.25">
      <c r="A978" s="25" t="s">
        <v>583</v>
      </c>
      <c r="B978" s="20" t="s">
        <v>506</v>
      </c>
      <c r="C978" s="20" t="s">
        <v>249</v>
      </c>
      <c r="D978" s="20" t="s">
        <v>986</v>
      </c>
      <c r="E978" s="20" t="s">
        <v>153</v>
      </c>
      <c r="F978" s="6">
        <f>'пр.4.1.ведом.21-22'!G835</f>
        <v>51</v>
      </c>
      <c r="G978" s="6">
        <f>'пр.4.1.ведом.21-22'!H835</f>
        <v>51</v>
      </c>
    </row>
    <row r="979" spans="1:7" ht="47.25" x14ac:dyDescent="0.25">
      <c r="A979" s="25" t="s">
        <v>883</v>
      </c>
      <c r="B979" s="20" t="s">
        <v>506</v>
      </c>
      <c r="C979" s="20" t="s">
        <v>249</v>
      </c>
      <c r="D979" s="20" t="s">
        <v>987</v>
      </c>
      <c r="E979" s="20"/>
      <c r="F979" s="6">
        <f>F980</f>
        <v>210</v>
      </c>
      <c r="G979" s="6">
        <f>G980</f>
        <v>210</v>
      </c>
    </row>
    <row r="980" spans="1:7" ht="94.5" x14ac:dyDescent="0.25">
      <c r="A980" s="25" t="s">
        <v>142</v>
      </c>
      <c r="B980" s="20" t="s">
        <v>506</v>
      </c>
      <c r="C980" s="20" t="s">
        <v>249</v>
      </c>
      <c r="D980" s="20" t="s">
        <v>987</v>
      </c>
      <c r="E980" s="20" t="s">
        <v>143</v>
      </c>
      <c r="F980" s="6">
        <f>F981</f>
        <v>210</v>
      </c>
      <c r="G980" s="6">
        <f>G981</f>
        <v>210</v>
      </c>
    </row>
    <row r="981" spans="1:7" ht="47.25" x14ac:dyDescent="0.25">
      <c r="A981" s="25" t="s">
        <v>144</v>
      </c>
      <c r="B981" s="20" t="s">
        <v>506</v>
      </c>
      <c r="C981" s="20" t="s">
        <v>249</v>
      </c>
      <c r="D981" s="20" t="s">
        <v>987</v>
      </c>
      <c r="E981" s="20" t="s">
        <v>145</v>
      </c>
      <c r="F981" s="6">
        <f>'пр.4.1.ведом.21-22'!G838</f>
        <v>210</v>
      </c>
      <c r="G981" s="6">
        <f>'пр.4.1.ведом.21-22'!H838</f>
        <v>210</v>
      </c>
    </row>
    <row r="982" spans="1:7" ht="63" x14ac:dyDescent="0.25">
      <c r="A982" s="41" t="s">
        <v>1437</v>
      </c>
      <c r="B982" s="24" t="s">
        <v>506</v>
      </c>
      <c r="C982" s="24" t="s">
        <v>249</v>
      </c>
      <c r="D982" s="7" t="s">
        <v>497</v>
      </c>
      <c r="E982" s="24"/>
      <c r="F982" s="4">
        <f t="shared" ref="F982:G984" si="73">F983</f>
        <v>2000</v>
      </c>
      <c r="G982" s="4">
        <f t="shared" si="73"/>
        <v>2000</v>
      </c>
    </row>
    <row r="983" spans="1:7" ht="47.25" x14ac:dyDescent="0.25">
      <c r="A983" s="58" t="s">
        <v>1453</v>
      </c>
      <c r="B983" s="24" t="s">
        <v>506</v>
      </c>
      <c r="C983" s="24" t="s">
        <v>249</v>
      </c>
      <c r="D983" s="7" t="s">
        <v>517</v>
      </c>
      <c r="E983" s="24"/>
      <c r="F983" s="4">
        <f t="shared" si="73"/>
        <v>2000</v>
      </c>
      <c r="G983" s="4">
        <f t="shared" si="73"/>
        <v>2000</v>
      </c>
    </row>
    <row r="984" spans="1:7" ht="47.25" x14ac:dyDescent="0.25">
      <c r="A984" s="58" t="s">
        <v>1084</v>
      </c>
      <c r="B984" s="24" t="s">
        <v>506</v>
      </c>
      <c r="C984" s="24" t="s">
        <v>249</v>
      </c>
      <c r="D984" s="7" t="s">
        <v>1085</v>
      </c>
      <c r="E984" s="24"/>
      <c r="F984" s="4">
        <f t="shared" si="73"/>
        <v>2000</v>
      </c>
      <c r="G984" s="4">
        <f t="shared" si="73"/>
        <v>2000</v>
      </c>
    </row>
    <row r="985" spans="1:7" ht="31.5" x14ac:dyDescent="0.25">
      <c r="A985" s="29" t="s">
        <v>1086</v>
      </c>
      <c r="B985" s="20" t="s">
        <v>506</v>
      </c>
      <c r="C985" s="20" t="s">
        <v>249</v>
      </c>
      <c r="D985" s="40" t="s">
        <v>1236</v>
      </c>
      <c r="E985" s="20"/>
      <c r="F985" s="6">
        <f>F986+F988</f>
        <v>2000</v>
      </c>
      <c r="G985" s="6">
        <f>G986+G988</f>
        <v>2000</v>
      </c>
    </row>
    <row r="986" spans="1:7" ht="94.5" x14ac:dyDescent="0.25">
      <c r="A986" s="25" t="s">
        <v>142</v>
      </c>
      <c r="B986" s="20" t="s">
        <v>506</v>
      </c>
      <c r="C986" s="20" t="s">
        <v>249</v>
      </c>
      <c r="D986" s="40" t="s">
        <v>1236</v>
      </c>
      <c r="E986" s="20" t="s">
        <v>143</v>
      </c>
      <c r="F986" s="6">
        <f>F987</f>
        <v>1500</v>
      </c>
      <c r="G986" s="6">
        <f>G987</f>
        <v>1500</v>
      </c>
    </row>
    <row r="987" spans="1:7" ht="31.5" x14ac:dyDescent="0.25">
      <c r="A987" s="25" t="s">
        <v>357</v>
      </c>
      <c r="B987" s="20" t="s">
        <v>506</v>
      </c>
      <c r="C987" s="20" t="s">
        <v>249</v>
      </c>
      <c r="D987" s="40" t="s">
        <v>1236</v>
      </c>
      <c r="E987" s="20" t="s">
        <v>224</v>
      </c>
      <c r="F987" s="6">
        <f>'пр.4.1.ведом.21-22'!G844</f>
        <v>1500</v>
      </c>
      <c r="G987" s="6">
        <f>'пр.4.1.ведом.21-22'!H844</f>
        <v>1500</v>
      </c>
    </row>
    <row r="988" spans="1:7" ht="31.5" x14ac:dyDescent="0.25">
      <c r="A988" s="29" t="s">
        <v>146</v>
      </c>
      <c r="B988" s="20" t="s">
        <v>506</v>
      </c>
      <c r="C988" s="20" t="s">
        <v>249</v>
      </c>
      <c r="D988" s="40" t="s">
        <v>1236</v>
      </c>
      <c r="E988" s="20" t="s">
        <v>147</v>
      </c>
      <c r="F988" s="6">
        <f>F989</f>
        <v>500</v>
      </c>
      <c r="G988" s="6">
        <f>G989</f>
        <v>500</v>
      </c>
    </row>
    <row r="989" spans="1:7" ht="47.25" x14ac:dyDescent="0.25">
      <c r="A989" s="29" t="s">
        <v>148</v>
      </c>
      <c r="B989" s="20" t="s">
        <v>506</v>
      </c>
      <c r="C989" s="20" t="s">
        <v>249</v>
      </c>
      <c r="D989" s="40" t="s">
        <v>1236</v>
      </c>
      <c r="E989" s="20" t="s">
        <v>149</v>
      </c>
      <c r="F989" s="6">
        <f>'пр.4.1.ведом.21-22'!G846</f>
        <v>500</v>
      </c>
      <c r="G989" s="6">
        <f>'пр.4.1.ведом.21-22'!H846</f>
        <v>500</v>
      </c>
    </row>
    <row r="990" spans="1:7" ht="15.75" x14ac:dyDescent="0.25">
      <c r="A990" s="41" t="s">
        <v>597</v>
      </c>
      <c r="B990" s="7" t="s">
        <v>253</v>
      </c>
      <c r="C990" s="40"/>
      <c r="D990" s="40"/>
      <c r="E990" s="40"/>
      <c r="F990" s="4">
        <f t="shared" ref="F990:G990" si="74">F991</f>
        <v>5479</v>
      </c>
      <c r="G990" s="4">
        <f t="shared" si="74"/>
        <v>5479</v>
      </c>
    </row>
    <row r="991" spans="1:7" ht="15.75" x14ac:dyDescent="0.25">
      <c r="A991" s="41" t="s">
        <v>598</v>
      </c>
      <c r="B991" s="7" t="s">
        <v>253</v>
      </c>
      <c r="C991" s="7" t="s">
        <v>228</v>
      </c>
      <c r="D991" s="7"/>
      <c r="E991" s="7"/>
      <c r="F991" s="4">
        <f>F992+F1004</f>
        <v>5479</v>
      </c>
      <c r="G991" s="4">
        <f>G992+G1004</f>
        <v>5479</v>
      </c>
    </row>
    <row r="992" spans="1:7" ht="15.75" x14ac:dyDescent="0.25">
      <c r="A992" s="23" t="s">
        <v>156</v>
      </c>
      <c r="B992" s="24" t="s">
        <v>253</v>
      </c>
      <c r="C992" s="24" t="s">
        <v>228</v>
      </c>
      <c r="D992" s="24" t="s">
        <v>910</v>
      </c>
      <c r="E992" s="24"/>
      <c r="F992" s="4">
        <f>F993</f>
        <v>5419</v>
      </c>
      <c r="G992" s="4">
        <f>G993</f>
        <v>5419</v>
      </c>
    </row>
    <row r="993" spans="1:7" ht="15.75" x14ac:dyDescent="0.25">
      <c r="A993" s="23" t="s">
        <v>1088</v>
      </c>
      <c r="B993" s="24" t="s">
        <v>253</v>
      </c>
      <c r="C993" s="24" t="s">
        <v>228</v>
      </c>
      <c r="D993" s="24" t="s">
        <v>1087</v>
      </c>
      <c r="E993" s="24"/>
      <c r="F993" s="4">
        <f>F994+F1001</f>
        <v>5419</v>
      </c>
      <c r="G993" s="4">
        <f>G994+G1001</f>
        <v>5419</v>
      </c>
    </row>
    <row r="994" spans="1:7" ht="31.5" x14ac:dyDescent="0.25">
      <c r="A994" s="25" t="s">
        <v>832</v>
      </c>
      <c r="B994" s="20" t="s">
        <v>253</v>
      </c>
      <c r="C994" s="20" t="s">
        <v>228</v>
      </c>
      <c r="D994" s="20" t="s">
        <v>1089</v>
      </c>
      <c r="E994" s="20"/>
      <c r="F994" s="6">
        <f>F995+F997+F999</f>
        <v>5209</v>
      </c>
      <c r="G994" s="6">
        <f>G995+G997+G999</f>
        <v>5209</v>
      </c>
    </row>
    <row r="995" spans="1:7" ht="94.5" x14ac:dyDescent="0.25">
      <c r="A995" s="25" t="s">
        <v>142</v>
      </c>
      <c r="B995" s="20" t="s">
        <v>253</v>
      </c>
      <c r="C995" s="20" t="s">
        <v>228</v>
      </c>
      <c r="D995" s="20" t="s">
        <v>1089</v>
      </c>
      <c r="E995" s="20" t="s">
        <v>143</v>
      </c>
      <c r="F995" s="6">
        <f>F996</f>
        <v>4500</v>
      </c>
      <c r="G995" s="6">
        <f>G996</f>
        <v>4500</v>
      </c>
    </row>
    <row r="996" spans="1:7" ht="31.5" x14ac:dyDescent="0.25">
      <c r="A996" s="25" t="s">
        <v>223</v>
      </c>
      <c r="B996" s="20" t="s">
        <v>253</v>
      </c>
      <c r="C996" s="20" t="s">
        <v>228</v>
      </c>
      <c r="D996" s="20" t="s">
        <v>1089</v>
      </c>
      <c r="E996" s="20" t="s">
        <v>224</v>
      </c>
      <c r="F996" s="6">
        <f>'пр.4.1.ведом.21-22'!G479</f>
        <v>4500</v>
      </c>
      <c r="G996" s="6">
        <f>'пр.4.1.ведом.21-22'!H479</f>
        <v>4500</v>
      </c>
    </row>
    <row r="997" spans="1:7" ht="31.5" x14ac:dyDescent="0.25">
      <c r="A997" s="25" t="s">
        <v>146</v>
      </c>
      <c r="B997" s="20" t="s">
        <v>253</v>
      </c>
      <c r="C997" s="20" t="s">
        <v>228</v>
      </c>
      <c r="D997" s="20" t="s">
        <v>1089</v>
      </c>
      <c r="E997" s="20" t="s">
        <v>147</v>
      </c>
      <c r="F997" s="6">
        <f>F998</f>
        <v>659</v>
      </c>
      <c r="G997" s="6">
        <f>G998</f>
        <v>659</v>
      </c>
    </row>
    <row r="998" spans="1:7" ht="47.25" x14ac:dyDescent="0.25">
      <c r="A998" s="25" t="s">
        <v>148</v>
      </c>
      <c r="B998" s="20" t="s">
        <v>253</v>
      </c>
      <c r="C998" s="20" t="s">
        <v>228</v>
      </c>
      <c r="D998" s="20" t="s">
        <v>1089</v>
      </c>
      <c r="E998" s="20" t="s">
        <v>149</v>
      </c>
      <c r="F998" s="6">
        <f>'пр.4.1.ведом.21-22'!G481</f>
        <v>659</v>
      </c>
      <c r="G998" s="6">
        <f>'пр.4.1.ведом.21-22'!H481</f>
        <v>659</v>
      </c>
    </row>
    <row r="999" spans="1:7" ht="15.75" x14ac:dyDescent="0.25">
      <c r="A999" s="25" t="s">
        <v>150</v>
      </c>
      <c r="B999" s="20" t="s">
        <v>253</v>
      </c>
      <c r="C999" s="20" t="s">
        <v>228</v>
      </c>
      <c r="D999" s="20" t="s">
        <v>1089</v>
      </c>
      <c r="E999" s="20" t="s">
        <v>160</v>
      </c>
      <c r="F999" s="6">
        <f>F1000</f>
        <v>50</v>
      </c>
      <c r="G999" s="6">
        <f>G1000</f>
        <v>50</v>
      </c>
    </row>
    <row r="1000" spans="1:7" ht="24.75" customHeight="1" x14ac:dyDescent="0.25">
      <c r="A1000" s="25" t="s">
        <v>583</v>
      </c>
      <c r="B1000" s="20" t="s">
        <v>253</v>
      </c>
      <c r="C1000" s="20" t="s">
        <v>228</v>
      </c>
      <c r="D1000" s="20" t="s">
        <v>1089</v>
      </c>
      <c r="E1000" s="20" t="s">
        <v>153</v>
      </c>
      <c r="F1000" s="6">
        <f>'пр.4.1.ведом.21-22'!G483</f>
        <v>50</v>
      </c>
      <c r="G1000" s="6">
        <f>'пр.4.1.ведом.21-22'!H483</f>
        <v>50</v>
      </c>
    </row>
    <row r="1001" spans="1:7" ht="47.25" x14ac:dyDescent="0.25">
      <c r="A1001" s="25" t="s">
        <v>883</v>
      </c>
      <c r="B1001" s="20" t="s">
        <v>253</v>
      </c>
      <c r="C1001" s="20" t="s">
        <v>228</v>
      </c>
      <c r="D1001" s="20" t="s">
        <v>1090</v>
      </c>
      <c r="E1001" s="20"/>
      <c r="F1001" s="6">
        <f>F1002</f>
        <v>210</v>
      </c>
      <c r="G1001" s="6">
        <f>G1002</f>
        <v>210</v>
      </c>
    </row>
    <row r="1002" spans="1:7" ht="94.5" x14ac:dyDescent="0.25">
      <c r="A1002" s="25" t="s">
        <v>142</v>
      </c>
      <c r="B1002" s="20" t="s">
        <v>253</v>
      </c>
      <c r="C1002" s="20" t="s">
        <v>228</v>
      </c>
      <c r="D1002" s="20" t="s">
        <v>1090</v>
      </c>
      <c r="E1002" s="20" t="s">
        <v>143</v>
      </c>
      <c r="F1002" s="6">
        <f>F1003</f>
        <v>210</v>
      </c>
      <c r="G1002" s="6">
        <f>G1003</f>
        <v>210</v>
      </c>
    </row>
    <row r="1003" spans="1:7" ht="47.25" x14ac:dyDescent="0.25">
      <c r="A1003" s="25" t="s">
        <v>144</v>
      </c>
      <c r="B1003" s="20" t="s">
        <v>253</v>
      </c>
      <c r="C1003" s="20" t="s">
        <v>228</v>
      </c>
      <c r="D1003" s="20" t="s">
        <v>1090</v>
      </c>
      <c r="E1003" s="20" t="s">
        <v>224</v>
      </c>
      <c r="F1003" s="6">
        <f>'пр.4.1.ведом.21-22'!G486</f>
        <v>210</v>
      </c>
      <c r="G1003" s="6">
        <f>'пр.4.1.ведом.21-22'!H486</f>
        <v>210</v>
      </c>
    </row>
    <row r="1004" spans="1:7" ht="78.75" x14ac:dyDescent="0.25">
      <c r="A1004" s="41" t="s">
        <v>1429</v>
      </c>
      <c r="B1004" s="24" t="s">
        <v>253</v>
      </c>
      <c r="C1004" s="24" t="s">
        <v>228</v>
      </c>
      <c r="D1004" s="24" t="s">
        <v>726</v>
      </c>
      <c r="E1004" s="250"/>
      <c r="F1004" s="4">
        <f t="shared" ref="F1004:G1007" si="75">F1005</f>
        <v>60</v>
      </c>
      <c r="G1004" s="4">
        <f t="shared" si="75"/>
        <v>60</v>
      </c>
    </row>
    <row r="1005" spans="1:7" ht="63" x14ac:dyDescent="0.25">
      <c r="A1005" s="41" t="s">
        <v>947</v>
      </c>
      <c r="B1005" s="24" t="s">
        <v>253</v>
      </c>
      <c r="C1005" s="24" t="s">
        <v>228</v>
      </c>
      <c r="D1005" s="24" t="s">
        <v>945</v>
      </c>
      <c r="E1005" s="250"/>
      <c r="F1005" s="4">
        <f t="shared" si="75"/>
        <v>60</v>
      </c>
      <c r="G1005" s="4">
        <f t="shared" si="75"/>
        <v>60</v>
      </c>
    </row>
    <row r="1006" spans="1:7" ht="47.25" x14ac:dyDescent="0.25">
      <c r="A1006" s="99" t="s">
        <v>1155</v>
      </c>
      <c r="B1006" s="20" t="s">
        <v>253</v>
      </c>
      <c r="C1006" s="20" t="s">
        <v>228</v>
      </c>
      <c r="D1006" s="20" t="s">
        <v>946</v>
      </c>
      <c r="E1006" s="32"/>
      <c r="F1006" s="6">
        <f t="shared" si="75"/>
        <v>60</v>
      </c>
      <c r="G1006" s="6">
        <f t="shared" si="75"/>
        <v>60</v>
      </c>
    </row>
    <row r="1007" spans="1:7" ht="31.5" x14ac:dyDescent="0.25">
      <c r="A1007" s="25" t="s">
        <v>146</v>
      </c>
      <c r="B1007" s="20" t="s">
        <v>253</v>
      </c>
      <c r="C1007" s="20" t="s">
        <v>228</v>
      </c>
      <c r="D1007" s="20" t="s">
        <v>946</v>
      </c>
      <c r="E1007" s="32" t="s">
        <v>147</v>
      </c>
      <c r="F1007" s="6">
        <f t="shared" si="75"/>
        <v>60</v>
      </c>
      <c r="G1007" s="6">
        <f t="shared" si="75"/>
        <v>60</v>
      </c>
    </row>
    <row r="1008" spans="1:7" ht="47.25" x14ac:dyDescent="0.25">
      <c r="A1008" s="25" t="s">
        <v>148</v>
      </c>
      <c r="B1008" s="20" t="s">
        <v>253</v>
      </c>
      <c r="C1008" s="20" t="s">
        <v>228</v>
      </c>
      <c r="D1008" s="20" t="s">
        <v>946</v>
      </c>
      <c r="E1008" s="32" t="s">
        <v>149</v>
      </c>
      <c r="F1008" s="6">
        <f>'пр.4.1.ведом.21-22'!G491</f>
        <v>60</v>
      </c>
      <c r="G1008" s="6">
        <f>'пр.4.1.ведом.21-22'!H491</f>
        <v>60</v>
      </c>
    </row>
    <row r="1009" spans="1:7" ht="15.75" x14ac:dyDescent="0.25">
      <c r="A1009" s="61" t="s">
        <v>602</v>
      </c>
      <c r="B1009" s="7"/>
      <c r="C1009" s="7"/>
      <c r="D1009" s="7"/>
      <c r="E1009" s="7"/>
      <c r="F1009" s="342">
        <f>F8+F222+F241+F316+F479+F762+F921+F990+F865</f>
        <v>729449.03200000001</v>
      </c>
      <c r="G1009" s="342">
        <f>G8+G222+G241+G316+G479+G762+G921+G990+G865</f>
        <v>733196.22</v>
      </c>
    </row>
    <row r="1010" spans="1:7" ht="15.75" hidden="1" x14ac:dyDescent="0.25">
      <c r="A1010" s="221"/>
      <c r="B1010" s="221"/>
      <c r="C1010" s="221"/>
      <c r="D1010" s="221"/>
      <c r="E1010" s="221"/>
      <c r="F1010" s="4">
        <f>'пр.4.1.ведом.21-22'!G1102</f>
        <v>729449.03200000001</v>
      </c>
      <c r="G1010" s="4">
        <f>'пр.4.1.ведом.21-22'!H1102</f>
        <v>733196.22</v>
      </c>
    </row>
    <row r="1011" spans="1:7" ht="15.75" hidden="1" x14ac:dyDescent="0.25">
      <c r="A1011" s="221"/>
      <c r="B1011" s="221"/>
      <c r="C1011" s="221"/>
      <c r="D1011" s="221"/>
      <c r="E1011" s="221"/>
      <c r="F1011" s="4">
        <f>'Пр.3 Рд,пр, ЦС,ВР 20'!F1055</f>
        <v>0</v>
      </c>
      <c r="G1011" s="4">
        <f t="shared" ref="G1011" si="76">F1011</f>
        <v>0</v>
      </c>
    </row>
    <row r="1013" spans="1:7" hidden="1" x14ac:dyDescent="0.25">
      <c r="F1013" s="22">
        <f>'пр.4.1.ведом.21-22'!G1102</f>
        <v>729449.03200000001</v>
      </c>
      <c r="G1013" s="22">
        <f>'пр.4.1.ведом.21-22'!H1102</f>
        <v>733196.22</v>
      </c>
    </row>
    <row r="1014" spans="1:7" hidden="1" x14ac:dyDescent="0.25"/>
    <row r="1015" spans="1:7" hidden="1" x14ac:dyDescent="0.25">
      <c r="F1015" s="22">
        <f>F1013-F1009</f>
        <v>0</v>
      </c>
      <c r="G1015" s="22">
        <f>G1013-G1009</f>
        <v>0</v>
      </c>
    </row>
    <row r="1016" spans="1:7" hidden="1" x14ac:dyDescent="0.25"/>
  </sheetData>
  <mergeCells count="4">
    <mergeCell ref="A5:G5"/>
    <mergeCell ref="F3:G3"/>
    <mergeCell ref="F2:G2"/>
    <mergeCell ref="F1:G1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0"/>
  <sheetViews>
    <sheetView view="pageBreakPreview" topLeftCell="A19" zoomScaleNormal="100" zoomScaleSheetLayoutView="100" workbookViewId="0">
      <selection activeCell="T1108" sqref="T1108"/>
    </sheetView>
  </sheetViews>
  <sheetFormatPr defaultColWidth="9.140625" defaultRowHeight="15" x14ac:dyDescent="0.25"/>
  <cols>
    <col min="1" max="1" width="62.28515625" style="362" customWidth="1"/>
    <col min="2" max="2" width="7" style="362" customWidth="1"/>
    <col min="3" max="3" width="4.28515625" style="362" customWidth="1"/>
    <col min="4" max="4" width="4.85546875" style="362" customWidth="1"/>
    <col min="5" max="5" width="15.42578125" style="362" customWidth="1"/>
    <col min="6" max="6" width="5.7109375" style="362" customWidth="1"/>
    <col min="7" max="7" width="13.7109375" style="362" customWidth="1"/>
    <col min="8" max="8" width="12.85546875" style="209" hidden="1" customWidth="1"/>
    <col min="9" max="9" width="14.28515625" style="209" hidden="1" customWidth="1"/>
    <col min="10" max="11" width="10" style="1" bestFit="1" customWidth="1"/>
    <col min="12" max="16384" width="9.140625" style="1"/>
  </cols>
  <sheetData>
    <row r="1" spans="1:9" ht="18.75" x14ac:dyDescent="0.3">
      <c r="A1" s="63"/>
      <c r="B1" s="63"/>
      <c r="C1" s="63"/>
      <c r="D1" s="63"/>
      <c r="E1" s="401" t="s">
        <v>1550</v>
      </c>
      <c r="F1" s="401"/>
      <c r="G1" s="401"/>
      <c r="H1" s="199"/>
      <c r="I1" s="199" t="s">
        <v>631</v>
      </c>
    </row>
    <row r="2" spans="1:9" ht="18.75" x14ac:dyDescent="0.3">
      <c r="A2" s="63"/>
      <c r="B2" s="63"/>
      <c r="C2" s="63"/>
      <c r="D2" s="63"/>
      <c r="E2" s="401" t="s">
        <v>1549</v>
      </c>
      <c r="F2" s="401"/>
      <c r="G2" s="401"/>
      <c r="H2" s="199"/>
      <c r="I2" s="199" t="s">
        <v>0</v>
      </c>
    </row>
    <row r="3" spans="1:9" ht="15.75" x14ac:dyDescent="0.25">
      <c r="A3" s="131"/>
      <c r="B3" s="131"/>
      <c r="C3" s="131"/>
      <c r="D3" s="131"/>
      <c r="E3" s="401" t="s">
        <v>1548</v>
      </c>
      <c r="F3" s="401"/>
      <c r="G3" s="401"/>
      <c r="H3" s="222"/>
      <c r="I3" s="222"/>
    </row>
    <row r="4" spans="1:9" s="222" customFormat="1" ht="15.75" x14ac:dyDescent="0.25">
      <c r="A4" s="385"/>
      <c r="B4" s="385"/>
      <c r="C4" s="385"/>
      <c r="D4" s="385"/>
      <c r="E4" s="385"/>
      <c r="F4" s="385"/>
      <c r="G4" s="130"/>
    </row>
    <row r="5" spans="1:9" ht="15.75" customHeight="1" x14ac:dyDescent="0.25">
      <c r="A5" s="413" t="s">
        <v>1191</v>
      </c>
      <c r="B5" s="413"/>
      <c r="C5" s="413"/>
      <c r="D5" s="413"/>
      <c r="E5" s="413"/>
      <c r="F5" s="413"/>
      <c r="G5" s="413"/>
      <c r="H5" s="413"/>
      <c r="I5" s="413"/>
    </row>
    <row r="6" spans="1:9" ht="15.75" x14ac:dyDescent="0.25">
      <c r="A6" s="384"/>
      <c r="B6" s="384"/>
      <c r="C6" s="384"/>
      <c r="D6" s="384"/>
      <c r="E6" s="384"/>
      <c r="F6" s="384"/>
      <c r="H6" s="222"/>
      <c r="I6" s="222"/>
    </row>
    <row r="7" spans="1:9" ht="15.75" x14ac:dyDescent="0.25">
      <c r="A7" s="13"/>
      <c r="B7" s="13"/>
      <c r="C7" s="13"/>
      <c r="D7" s="13"/>
      <c r="E7" s="13"/>
      <c r="F7" s="13"/>
      <c r="G7" s="195" t="s">
        <v>1</v>
      </c>
      <c r="H7" s="195"/>
      <c r="I7" s="195"/>
    </row>
    <row r="8" spans="1:9" ht="47.25" x14ac:dyDescent="0.25">
      <c r="A8" s="382" t="s">
        <v>125</v>
      </c>
      <c r="B8" s="382" t="s">
        <v>126</v>
      </c>
      <c r="C8" s="15" t="s">
        <v>127</v>
      </c>
      <c r="D8" s="15" t="s">
        <v>128</v>
      </c>
      <c r="E8" s="15" t="s">
        <v>129</v>
      </c>
      <c r="F8" s="15" t="s">
        <v>130</v>
      </c>
      <c r="G8" s="180" t="s">
        <v>1192</v>
      </c>
      <c r="H8" s="180" t="s">
        <v>1193</v>
      </c>
      <c r="I8" s="180" t="s">
        <v>1194</v>
      </c>
    </row>
    <row r="9" spans="1:9" ht="31.5" x14ac:dyDescent="0.25">
      <c r="A9" s="367" t="s">
        <v>131</v>
      </c>
      <c r="B9" s="367">
        <v>901</v>
      </c>
      <c r="C9" s="368"/>
      <c r="D9" s="368"/>
      <c r="E9" s="368"/>
      <c r="F9" s="368"/>
      <c r="G9" s="369">
        <f>G10</f>
        <v>13492.1</v>
      </c>
      <c r="H9" s="21">
        <f t="shared" ref="H9:I10" si="0">H10</f>
        <v>13519.9</v>
      </c>
      <c r="I9" s="21">
        <f t="shared" si="0"/>
        <v>13519.9</v>
      </c>
    </row>
    <row r="10" spans="1:9" ht="15.75" x14ac:dyDescent="0.25">
      <c r="A10" s="370" t="s">
        <v>132</v>
      </c>
      <c r="B10" s="367">
        <v>901</v>
      </c>
      <c r="C10" s="371" t="s">
        <v>133</v>
      </c>
      <c r="D10" s="368"/>
      <c r="E10" s="368"/>
      <c r="F10" s="368"/>
      <c r="G10" s="369">
        <f>G11</f>
        <v>13492.1</v>
      </c>
      <c r="H10" s="21">
        <f t="shared" si="0"/>
        <v>13519.9</v>
      </c>
      <c r="I10" s="21">
        <f t="shared" si="0"/>
        <v>13519.9</v>
      </c>
    </row>
    <row r="11" spans="1:9" ht="47.25" x14ac:dyDescent="0.25">
      <c r="A11" s="370" t="s">
        <v>134</v>
      </c>
      <c r="B11" s="367">
        <v>901</v>
      </c>
      <c r="C11" s="371" t="s">
        <v>133</v>
      </c>
      <c r="D11" s="371" t="s">
        <v>135</v>
      </c>
      <c r="E11" s="371"/>
      <c r="F11" s="371"/>
      <c r="G11" s="369">
        <f>G12</f>
        <v>13492.1</v>
      </c>
      <c r="H11" s="21">
        <f t="shared" ref="H11:I12" si="1">H12</f>
        <v>13519.9</v>
      </c>
      <c r="I11" s="21">
        <f t="shared" si="1"/>
        <v>13519.9</v>
      </c>
    </row>
    <row r="12" spans="1:9" ht="31.5" x14ac:dyDescent="0.25">
      <c r="A12" s="370" t="s">
        <v>988</v>
      </c>
      <c r="B12" s="367">
        <v>901</v>
      </c>
      <c r="C12" s="371" t="s">
        <v>133</v>
      </c>
      <c r="D12" s="371" t="s">
        <v>135</v>
      </c>
      <c r="E12" s="371" t="s">
        <v>902</v>
      </c>
      <c r="F12" s="371"/>
      <c r="G12" s="369">
        <f>G13</f>
        <v>13492.1</v>
      </c>
      <c r="H12" s="21">
        <f t="shared" si="1"/>
        <v>13519.9</v>
      </c>
      <c r="I12" s="21">
        <f t="shared" si="1"/>
        <v>13519.9</v>
      </c>
    </row>
    <row r="13" spans="1:9" ht="15.75" x14ac:dyDescent="0.25">
      <c r="A13" s="370" t="s">
        <v>989</v>
      </c>
      <c r="B13" s="367">
        <v>901</v>
      </c>
      <c r="C13" s="371" t="s">
        <v>133</v>
      </c>
      <c r="D13" s="371" t="s">
        <v>135</v>
      </c>
      <c r="E13" s="371" t="s">
        <v>903</v>
      </c>
      <c r="F13" s="371"/>
      <c r="G13" s="369">
        <f>G14+G21</f>
        <v>13492.1</v>
      </c>
      <c r="H13" s="21">
        <f>H14+H21</f>
        <v>13519.9</v>
      </c>
      <c r="I13" s="21">
        <f>I14+I21</f>
        <v>13519.9</v>
      </c>
    </row>
    <row r="14" spans="1:9" ht="31.5" x14ac:dyDescent="0.25">
      <c r="A14" s="372" t="s">
        <v>965</v>
      </c>
      <c r="B14" s="366">
        <v>901</v>
      </c>
      <c r="C14" s="368" t="s">
        <v>133</v>
      </c>
      <c r="D14" s="368" t="s">
        <v>135</v>
      </c>
      <c r="E14" s="368" t="s">
        <v>904</v>
      </c>
      <c r="F14" s="368"/>
      <c r="G14" s="373">
        <f>G15+G17+G19</f>
        <v>13198.1</v>
      </c>
      <c r="H14" s="26">
        <f t="shared" ref="H14:I14" si="2">H15+H17+H19</f>
        <v>13175.9</v>
      </c>
      <c r="I14" s="26">
        <f t="shared" si="2"/>
        <v>13175.9</v>
      </c>
    </row>
    <row r="15" spans="1:9" ht="63" x14ac:dyDescent="0.25">
      <c r="A15" s="372" t="s">
        <v>142</v>
      </c>
      <c r="B15" s="366">
        <v>901</v>
      </c>
      <c r="C15" s="368" t="s">
        <v>133</v>
      </c>
      <c r="D15" s="368" t="s">
        <v>135</v>
      </c>
      <c r="E15" s="368" t="s">
        <v>904</v>
      </c>
      <c r="F15" s="368" t="s">
        <v>143</v>
      </c>
      <c r="G15" s="373">
        <f>G16</f>
        <v>12193.1</v>
      </c>
      <c r="H15" s="26">
        <f t="shared" ref="H15:I15" si="3">H16</f>
        <v>11970.1</v>
      </c>
      <c r="I15" s="26">
        <f t="shared" si="3"/>
        <v>11970.1</v>
      </c>
    </row>
    <row r="16" spans="1:9" ht="31.5" x14ac:dyDescent="0.25">
      <c r="A16" s="372" t="s">
        <v>144</v>
      </c>
      <c r="B16" s="366">
        <v>901</v>
      </c>
      <c r="C16" s="368" t="s">
        <v>133</v>
      </c>
      <c r="D16" s="368" t="s">
        <v>135</v>
      </c>
      <c r="E16" s="368" t="s">
        <v>904</v>
      </c>
      <c r="F16" s="368" t="s">
        <v>145</v>
      </c>
      <c r="G16" s="374">
        <f>11575+588+30.1</f>
        <v>12193.1</v>
      </c>
      <c r="H16" s="27">
        <f t="shared" ref="H16:I16" si="4">12308+1239.7-1013.6-220-344</f>
        <v>11970.1</v>
      </c>
      <c r="I16" s="27">
        <f t="shared" si="4"/>
        <v>11970.1</v>
      </c>
    </row>
    <row r="17" spans="1:9" ht="31.5" x14ac:dyDescent="0.25">
      <c r="A17" s="372" t="s">
        <v>146</v>
      </c>
      <c r="B17" s="366">
        <v>901</v>
      </c>
      <c r="C17" s="368" t="s">
        <v>133</v>
      </c>
      <c r="D17" s="368" t="s">
        <v>135</v>
      </c>
      <c r="E17" s="368" t="s">
        <v>904</v>
      </c>
      <c r="F17" s="368" t="s">
        <v>147</v>
      </c>
      <c r="G17" s="373">
        <f>G18</f>
        <v>977</v>
      </c>
      <c r="H17" s="26">
        <f t="shared" ref="H17:I17" si="5">H18</f>
        <v>1177.8</v>
      </c>
      <c r="I17" s="26">
        <f t="shared" si="5"/>
        <v>1177.8</v>
      </c>
    </row>
    <row r="18" spans="1:9" ht="31.5" x14ac:dyDescent="0.25">
      <c r="A18" s="372" t="s">
        <v>148</v>
      </c>
      <c r="B18" s="366">
        <v>901</v>
      </c>
      <c r="C18" s="368" t="s">
        <v>133</v>
      </c>
      <c r="D18" s="368" t="s">
        <v>135</v>
      </c>
      <c r="E18" s="368" t="s">
        <v>904</v>
      </c>
      <c r="F18" s="368" t="s">
        <v>149</v>
      </c>
      <c r="G18" s="374">
        <f>1177.8-0.8-200</f>
        <v>977</v>
      </c>
      <c r="H18" s="27">
        <v>1177.8</v>
      </c>
      <c r="I18" s="27">
        <v>1177.8</v>
      </c>
    </row>
    <row r="19" spans="1:9" ht="15.75" x14ac:dyDescent="0.25">
      <c r="A19" s="372" t="s">
        <v>150</v>
      </c>
      <c r="B19" s="366">
        <v>901</v>
      </c>
      <c r="C19" s="368" t="s">
        <v>133</v>
      </c>
      <c r="D19" s="368" t="s">
        <v>135</v>
      </c>
      <c r="E19" s="368" t="s">
        <v>904</v>
      </c>
      <c r="F19" s="368" t="s">
        <v>151</v>
      </c>
      <c r="G19" s="373">
        <f>G20</f>
        <v>28</v>
      </c>
      <c r="H19" s="26">
        <f t="shared" ref="H19:I19" si="6">H20</f>
        <v>28</v>
      </c>
      <c r="I19" s="26">
        <f t="shared" si="6"/>
        <v>28</v>
      </c>
    </row>
    <row r="20" spans="1:9" ht="15.75" x14ac:dyDescent="0.25">
      <c r="A20" s="372" t="s">
        <v>583</v>
      </c>
      <c r="B20" s="366">
        <v>901</v>
      </c>
      <c r="C20" s="368" t="s">
        <v>133</v>
      </c>
      <c r="D20" s="368" t="s">
        <v>135</v>
      </c>
      <c r="E20" s="368" t="s">
        <v>904</v>
      </c>
      <c r="F20" s="368" t="s">
        <v>153</v>
      </c>
      <c r="G20" s="373">
        <v>28</v>
      </c>
      <c r="H20" s="26">
        <v>28</v>
      </c>
      <c r="I20" s="26">
        <v>28</v>
      </c>
    </row>
    <row r="21" spans="1:9" s="222" customFormat="1" ht="31.5" x14ac:dyDescent="0.25">
      <c r="A21" s="372" t="s">
        <v>883</v>
      </c>
      <c r="B21" s="366">
        <v>901</v>
      </c>
      <c r="C21" s="368" t="s">
        <v>133</v>
      </c>
      <c r="D21" s="368" t="s">
        <v>135</v>
      </c>
      <c r="E21" s="368" t="s">
        <v>906</v>
      </c>
      <c r="F21" s="368"/>
      <c r="G21" s="373">
        <f>G22</f>
        <v>294</v>
      </c>
      <c r="H21" s="26">
        <f t="shared" ref="H21:I22" si="7">H22</f>
        <v>344</v>
      </c>
      <c r="I21" s="26">
        <f t="shared" si="7"/>
        <v>344</v>
      </c>
    </row>
    <row r="22" spans="1:9" s="222" customFormat="1" ht="63" x14ac:dyDescent="0.25">
      <c r="A22" s="372" t="s">
        <v>142</v>
      </c>
      <c r="B22" s="366">
        <v>901</v>
      </c>
      <c r="C22" s="368" t="s">
        <v>133</v>
      </c>
      <c r="D22" s="368" t="s">
        <v>135</v>
      </c>
      <c r="E22" s="368" t="s">
        <v>906</v>
      </c>
      <c r="F22" s="368" t="s">
        <v>143</v>
      </c>
      <c r="G22" s="373">
        <f>G23</f>
        <v>294</v>
      </c>
      <c r="H22" s="26">
        <f t="shared" si="7"/>
        <v>344</v>
      </c>
      <c r="I22" s="26">
        <f t="shared" si="7"/>
        <v>344</v>
      </c>
    </row>
    <row r="23" spans="1:9" s="222" customFormat="1" ht="31.5" x14ac:dyDescent="0.25">
      <c r="A23" s="372" t="s">
        <v>144</v>
      </c>
      <c r="B23" s="366">
        <v>901</v>
      </c>
      <c r="C23" s="368" t="s">
        <v>133</v>
      </c>
      <c r="D23" s="368" t="s">
        <v>135</v>
      </c>
      <c r="E23" s="368" t="s">
        <v>906</v>
      </c>
      <c r="F23" s="368" t="s">
        <v>145</v>
      </c>
      <c r="G23" s="373">
        <v>294</v>
      </c>
      <c r="H23" s="26">
        <v>344</v>
      </c>
      <c r="I23" s="26">
        <v>344</v>
      </c>
    </row>
    <row r="24" spans="1:9" ht="15.75" x14ac:dyDescent="0.25">
      <c r="A24" s="367" t="s">
        <v>163</v>
      </c>
      <c r="B24" s="367">
        <v>902</v>
      </c>
      <c r="C24" s="368"/>
      <c r="D24" s="368"/>
      <c r="E24" s="368"/>
      <c r="F24" s="368"/>
      <c r="G24" s="369">
        <f>G25+G140+G159+G189+G133</f>
        <v>83743.98</v>
      </c>
      <c r="H24" s="21" t="e">
        <f>H25+H140+H159+H189+H133</f>
        <v>#REF!</v>
      </c>
      <c r="I24" s="21" t="e">
        <f>I25+I140+I159+I189+I133</f>
        <v>#REF!</v>
      </c>
    </row>
    <row r="25" spans="1:9" ht="15.75" x14ac:dyDescent="0.25">
      <c r="A25" s="370" t="s">
        <v>132</v>
      </c>
      <c r="B25" s="367">
        <v>902</v>
      </c>
      <c r="C25" s="371" t="s">
        <v>133</v>
      </c>
      <c r="D25" s="368"/>
      <c r="E25" s="368"/>
      <c r="F25" s="368"/>
      <c r="G25" s="369">
        <f>G26+G86+G103+G95</f>
        <v>62049.179999999993</v>
      </c>
      <c r="H25" s="21" t="e">
        <f>H26+H86+H103</f>
        <v>#REF!</v>
      </c>
      <c r="I25" s="21" t="e">
        <f>I26+I86+I103</f>
        <v>#REF!</v>
      </c>
    </row>
    <row r="26" spans="1:9" ht="63" x14ac:dyDescent="0.25">
      <c r="A26" s="370" t="s">
        <v>164</v>
      </c>
      <c r="B26" s="367">
        <v>902</v>
      </c>
      <c r="C26" s="371" t="s">
        <v>133</v>
      </c>
      <c r="D26" s="371" t="s">
        <v>165</v>
      </c>
      <c r="E26" s="371"/>
      <c r="F26" s="371"/>
      <c r="G26" s="369">
        <f>G27+G68</f>
        <v>53985.7</v>
      </c>
      <c r="H26" s="21" t="e">
        <f>H27+H68</f>
        <v>#REF!</v>
      </c>
      <c r="I26" s="21" t="e">
        <f>I27+I68</f>
        <v>#REF!</v>
      </c>
    </row>
    <row r="27" spans="1:9" ht="31.5" x14ac:dyDescent="0.25">
      <c r="A27" s="370" t="s">
        <v>988</v>
      </c>
      <c r="B27" s="367">
        <v>902</v>
      </c>
      <c r="C27" s="371" t="s">
        <v>133</v>
      </c>
      <c r="D27" s="371" t="s">
        <v>165</v>
      </c>
      <c r="E27" s="371" t="s">
        <v>902</v>
      </c>
      <c r="F27" s="371"/>
      <c r="G27" s="44">
        <f>G28+G44</f>
        <v>53462.7</v>
      </c>
      <c r="H27" s="44" t="e">
        <f t="shared" ref="H27:I27" si="8">H28+H44</f>
        <v>#REF!</v>
      </c>
      <c r="I27" s="44" t="e">
        <f t="shared" si="8"/>
        <v>#REF!</v>
      </c>
    </row>
    <row r="28" spans="1:9" s="222" customFormat="1" ht="15.75" x14ac:dyDescent="0.25">
      <c r="A28" s="370" t="s">
        <v>989</v>
      </c>
      <c r="B28" s="367">
        <v>902</v>
      </c>
      <c r="C28" s="371" t="s">
        <v>133</v>
      </c>
      <c r="D28" s="371" t="s">
        <v>165</v>
      </c>
      <c r="E28" s="371" t="s">
        <v>903</v>
      </c>
      <c r="F28" s="371"/>
      <c r="G28" s="44">
        <f>G29+G38+G41</f>
        <v>50210.1</v>
      </c>
      <c r="H28" s="44">
        <f t="shared" ref="H28:I28" si="9">H29+H38+H41</f>
        <v>52627.600000000006</v>
      </c>
      <c r="I28" s="44">
        <f t="shared" si="9"/>
        <v>52627.600000000006</v>
      </c>
    </row>
    <row r="29" spans="1:9" ht="31.5" x14ac:dyDescent="0.25">
      <c r="A29" s="372" t="s">
        <v>965</v>
      </c>
      <c r="B29" s="366">
        <v>902</v>
      </c>
      <c r="C29" s="368" t="s">
        <v>133</v>
      </c>
      <c r="D29" s="368" t="s">
        <v>165</v>
      </c>
      <c r="E29" s="368" t="s">
        <v>904</v>
      </c>
      <c r="F29" s="368"/>
      <c r="G29" s="373">
        <f>G30+G32+G36+G34</f>
        <v>45651.9</v>
      </c>
      <c r="H29" s="26">
        <f t="shared" ref="H29:I29" si="10">H30+H32+H36+H34</f>
        <v>48369.4</v>
      </c>
      <c r="I29" s="26">
        <f t="shared" si="10"/>
        <v>48369.4</v>
      </c>
    </row>
    <row r="30" spans="1:9" ht="63" x14ac:dyDescent="0.25">
      <c r="A30" s="372" t="s">
        <v>142</v>
      </c>
      <c r="B30" s="366">
        <v>902</v>
      </c>
      <c r="C30" s="368" t="s">
        <v>133</v>
      </c>
      <c r="D30" s="368" t="s">
        <v>165</v>
      </c>
      <c r="E30" s="368" t="s">
        <v>904</v>
      </c>
      <c r="F30" s="368" t="s">
        <v>143</v>
      </c>
      <c r="G30" s="373">
        <f>G31</f>
        <v>39664.9</v>
      </c>
      <c r="H30" s="26">
        <f t="shared" ref="H30:I30" si="11">H31</f>
        <v>40277.1</v>
      </c>
      <c r="I30" s="26">
        <f t="shared" si="11"/>
        <v>40277.1</v>
      </c>
    </row>
    <row r="31" spans="1:9" ht="31.5" x14ac:dyDescent="0.25">
      <c r="A31" s="372" t="s">
        <v>144</v>
      </c>
      <c r="B31" s="366">
        <v>902</v>
      </c>
      <c r="C31" s="368" t="s">
        <v>133</v>
      </c>
      <c r="D31" s="368" t="s">
        <v>165</v>
      </c>
      <c r="E31" s="368" t="s">
        <v>904</v>
      </c>
      <c r="F31" s="368" t="s">
        <v>145</v>
      </c>
      <c r="G31" s="374">
        <f>37513+1908+243.9</f>
        <v>39664.9</v>
      </c>
      <c r="H31" s="27">
        <f t="shared" ref="H31:I31" si="12">36100.2+3727.9+2269.4-1820.4</f>
        <v>40277.1</v>
      </c>
      <c r="I31" s="27">
        <f t="shared" si="12"/>
        <v>40277.1</v>
      </c>
    </row>
    <row r="32" spans="1:9" ht="31.5" x14ac:dyDescent="0.25">
      <c r="A32" s="372" t="s">
        <v>146</v>
      </c>
      <c r="B32" s="366">
        <v>902</v>
      </c>
      <c r="C32" s="368" t="s">
        <v>133</v>
      </c>
      <c r="D32" s="368" t="s">
        <v>165</v>
      </c>
      <c r="E32" s="368" t="s">
        <v>904</v>
      </c>
      <c r="F32" s="368" t="s">
        <v>147</v>
      </c>
      <c r="G32" s="373">
        <f>G33</f>
        <v>5912</v>
      </c>
      <c r="H32" s="26">
        <f t="shared" ref="H32:I32" si="13">H33</f>
        <v>7262</v>
      </c>
      <c r="I32" s="26">
        <f t="shared" si="13"/>
        <v>7262</v>
      </c>
    </row>
    <row r="33" spans="1:9" ht="33.75" customHeight="1" x14ac:dyDescent="0.25">
      <c r="A33" s="372" t="s">
        <v>148</v>
      </c>
      <c r="B33" s="366">
        <v>902</v>
      </c>
      <c r="C33" s="368" t="s">
        <v>133</v>
      </c>
      <c r="D33" s="368" t="s">
        <v>165</v>
      </c>
      <c r="E33" s="368" t="s">
        <v>904</v>
      </c>
      <c r="F33" s="368" t="s">
        <v>149</v>
      </c>
      <c r="G33" s="374">
        <f>6647+615-1000-1200+500+350</f>
        <v>5912</v>
      </c>
      <c r="H33" s="27">
        <f t="shared" ref="H33:I33" si="14">6647+615</f>
        <v>7262</v>
      </c>
      <c r="I33" s="27">
        <f t="shared" si="14"/>
        <v>7262</v>
      </c>
    </row>
    <row r="34" spans="1:9" s="222" customFormat="1" ht="15.75" hidden="1" x14ac:dyDescent="0.25">
      <c r="A34" s="372" t="s">
        <v>263</v>
      </c>
      <c r="B34" s="366">
        <v>902</v>
      </c>
      <c r="C34" s="368" t="s">
        <v>133</v>
      </c>
      <c r="D34" s="368" t="s">
        <v>165</v>
      </c>
      <c r="E34" s="368" t="s">
        <v>904</v>
      </c>
      <c r="F34" s="368" t="s">
        <v>264</v>
      </c>
      <c r="G34" s="374">
        <f>G35</f>
        <v>0</v>
      </c>
      <c r="H34" s="27">
        <f t="shared" ref="H34:I34" si="15">H35</f>
        <v>755</v>
      </c>
      <c r="I34" s="27">
        <f t="shared" si="15"/>
        <v>755</v>
      </c>
    </row>
    <row r="35" spans="1:9" s="222" customFormat="1" ht="31.5" hidden="1" x14ac:dyDescent="0.25">
      <c r="A35" s="372" t="s">
        <v>265</v>
      </c>
      <c r="B35" s="366">
        <v>902</v>
      </c>
      <c r="C35" s="368" t="s">
        <v>133</v>
      </c>
      <c r="D35" s="368" t="s">
        <v>165</v>
      </c>
      <c r="E35" s="368" t="s">
        <v>904</v>
      </c>
      <c r="F35" s="368" t="s">
        <v>266</v>
      </c>
      <c r="G35" s="374">
        <f>755-755</f>
        <v>0</v>
      </c>
      <c r="H35" s="27">
        <v>755</v>
      </c>
      <c r="I35" s="27">
        <v>755</v>
      </c>
    </row>
    <row r="36" spans="1:9" ht="15.75" x14ac:dyDescent="0.25">
      <c r="A36" s="372" t="s">
        <v>150</v>
      </c>
      <c r="B36" s="366">
        <v>902</v>
      </c>
      <c r="C36" s="368" t="s">
        <v>133</v>
      </c>
      <c r="D36" s="368" t="s">
        <v>165</v>
      </c>
      <c r="E36" s="368" t="s">
        <v>904</v>
      </c>
      <c r="F36" s="368" t="s">
        <v>160</v>
      </c>
      <c r="G36" s="373">
        <f>G37</f>
        <v>75.000000000000014</v>
      </c>
      <c r="H36" s="26">
        <f t="shared" ref="H36:I36" si="16">H37</f>
        <v>75.300000000000011</v>
      </c>
      <c r="I36" s="26">
        <f t="shared" si="16"/>
        <v>75.300000000000011</v>
      </c>
    </row>
    <row r="37" spans="1:9" ht="15.75" x14ac:dyDescent="0.25">
      <c r="A37" s="372" t="s">
        <v>583</v>
      </c>
      <c r="B37" s="366">
        <v>902</v>
      </c>
      <c r="C37" s="368" t="s">
        <v>133</v>
      </c>
      <c r="D37" s="368" t="s">
        <v>165</v>
      </c>
      <c r="E37" s="368" t="s">
        <v>904</v>
      </c>
      <c r="F37" s="368" t="s">
        <v>153</v>
      </c>
      <c r="G37" s="374">
        <f>219.3-144-0.3</f>
        <v>75.000000000000014</v>
      </c>
      <c r="H37" s="27">
        <f t="shared" ref="H37:I37" si="17">219.3-144</f>
        <v>75.300000000000011</v>
      </c>
      <c r="I37" s="27">
        <f t="shared" si="17"/>
        <v>75.300000000000011</v>
      </c>
    </row>
    <row r="38" spans="1:9" s="222" customFormat="1" ht="31.5" x14ac:dyDescent="0.25">
      <c r="A38" s="372" t="s">
        <v>884</v>
      </c>
      <c r="B38" s="366">
        <v>902</v>
      </c>
      <c r="C38" s="368" t="s">
        <v>133</v>
      </c>
      <c r="D38" s="368" t="s">
        <v>165</v>
      </c>
      <c r="E38" s="368" t="s">
        <v>905</v>
      </c>
      <c r="F38" s="368"/>
      <c r="G38" s="374">
        <f>G39</f>
        <v>3004.2</v>
      </c>
      <c r="H38" s="27">
        <f t="shared" ref="H38:I39" si="18">H39</f>
        <v>2437.8000000000002</v>
      </c>
      <c r="I38" s="27">
        <f t="shared" si="18"/>
        <v>2437.8000000000002</v>
      </c>
    </row>
    <row r="39" spans="1:9" s="222" customFormat="1" ht="63" x14ac:dyDescent="0.25">
      <c r="A39" s="372" t="s">
        <v>142</v>
      </c>
      <c r="B39" s="366">
        <v>902</v>
      </c>
      <c r="C39" s="368" t="s">
        <v>133</v>
      </c>
      <c r="D39" s="368" t="s">
        <v>165</v>
      </c>
      <c r="E39" s="368" t="s">
        <v>905</v>
      </c>
      <c r="F39" s="368" t="s">
        <v>143</v>
      </c>
      <c r="G39" s="374">
        <f>G40</f>
        <v>3004.2</v>
      </c>
      <c r="H39" s="27">
        <f t="shared" si="18"/>
        <v>2437.8000000000002</v>
      </c>
      <c r="I39" s="27">
        <f t="shared" si="18"/>
        <v>2437.8000000000002</v>
      </c>
    </row>
    <row r="40" spans="1:9" s="222" customFormat="1" ht="31.5" x14ac:dyDescent="0.25">
      <c r="A40" s="372" t="s">
        <v>144</v>
      </c>
      <c r="B40" s="366">
        <v>902</v>
      </c>
      <c r="C40" s="368" t="s">
        <v>133</v>
      </c>
      <c r="D40" s="368" t="s">
        <v>165</v>
      </c>
      <c r="E40" s="368" t="s">
        <v>905</v>
      </c>
      <c r="F40" s="368" t="s">
        <v>145</v>
      </c>
      <c r="G40" s="374">
        <f>2962+42.2</f>
        <v>3004.2</v>
      </c>
      <c r="H40" s="27">
        <f t="shared" ref="H40:I40" si="19">2553.5-63.7-95.5+43.5</f>
        <v>2437.8000000000002</v>
      </c>
      <c r="I40" s="27">
        <f t="shared" si="19"/>
        <v>2437.8000000000002</v>
      </c>
    </row>
    <row r="41" spans="1:9" s="222" customFormat="1" ht="31.5" x14ac:dyDescent="0.25">
      <c r="A41" s="372" t="s">
        <v>883</v>
      </c>
      <c r="B41" s="366">
        <v>902</v>
      </c>
      <c r="C41" s="368" t="s">
        <v>133</v>
      </c>
      <c r="D41" s="368" t="s">
        <v>165</v>
      </c>
      <c r="E41" s="368" t="s">
        <v>906</v>
      </c>
      <c r="F41" s="368"/>
      <c r="G41" s="373">
        <f>G42</f>
        <v>1554</v>
      </c>
      <c r="H41" s="26">
        <f t="shared" ref="H41:I42" si="20">H42</f>
        <v>1820.4</v>
      </c>
      <c r="I41" s="26">
        <f t="shared" si="20"/>
        <v>1820.4</v>
      </c>
    </row>
    <row r="42" spans="1:9" s="222" customFormat="1" ht="63" x14ac:dyDescent="0.25">
      <c r="A42" s="372" t="s">
        <v>142</v>
      </c>
      <c r="B42" s="366">
        <v>902</v>
      </c>
      <c r="C42" s="368" t="s">
        <v>133</v>
      </c>
      <c r="D42" s="368" t="s">
        <v>165</v>
      </c>
      <c r="E42" s="368" t="s">
        <v>906</v>
      </c>
      <c r="F42" s="368" t="s">
        <v>143</v>
      </c>
      <c r="G42" s="373">
        <f>G43</f>
        <v>1554</v>
      </c>
      <c r="H42" s="26">
        <f t="shared" si="20"/>
        <v>1820.4</v>
      </c>
      <c r="I42" s="26">
        <f t="shared" si="20"/>
        <v>1820.4</v>
      </c>
    </row>
    <row r="43" spans="1:9" s="222" customFormat="1" ht="31.5" x14ac:dyDescent="0.25">
      <c r="A43" s="372" t="s">
        <v>144</v>
      </c>
      <c r="B43" s="366">
        <v>902</v>
      </c>
      <c r="C43" s="368" t="s">
        <v>133</v>
      </c>
      <c r="D43" s="368" t="s">
        <v>165</v>
      </c>
      <c r="E43" s="368" t="s">
        <v>906</v>
      </c>
      <c r="F43" s="368" t="s">
        <v>145</v>
      </c>
      <c r="G43" s="373">
        <v>1554</v>
      </c>
      <c r="H43" s="26">
        <v>1820.4</v>
      </c>
      <c r="I43" s="26">
        <v>1820.4</v>
      </c>
    </row>
    <row r="44" spans="1:9" s="222" customFormat="1" ht="31.5" x14ac:dyDescent="0.25">
      <c r="A44" s="370" t="s">
        <v>930</v>
      </c>
      <c r="B44" s="367">
        <v>902</v>
      </c>
      <c r="C44" s="371" t="s">
        <v>133</v>
      </c>
      <c r="D44" s="371" t="s">
        <v>165</v>
      </c>
      <c r="E44" s="371" t="s">
        <v>907</v>
      </c>
      <c r="F44" s="371"/>
      <c r="G44" s="369">
        <f>G45+G53+G58+G63+G48</f>
        <v>3252.6</v>
      </c>
      <c r="H44" s="21" t="e">
        <f>H45+H53+H58+H63</f>
        <v>#REF!</v>
      </c>
      <c r="I44" s="21" t="e">
        <f>I45+I53+I58+I63</f>
        <v>#REF!</v>
      </c>
    </row>
    <row r="45" spans="1:9" s="222" customFormat="1" ht="35.450000000000003" customHeight="1" x14ac:dyDescent="0.25">
      <c r="A45" s="372" t="s">
        <v>800</v>
      </c>
      <c r="B45" s="366">
        <v>902</v>
      </c>
      <c r="C45" s="368" t="s">
        <v>133</v>
      </c>
      <c r="D45" s="368" t="s">
        <v>165</v>
      </c>
      <c r="E45" s="368" t="s">
        <v>990</v>
      </c>
      <c r="F45" s="371"/>
      <c r="G45" s="373">
        <f>G46</f>
        <v>6</v>
      </c>
      <c r="H45" s="26" t="e">
        <f>#REF!+H46</f>
        <v>#REF!</v>
      </c>
      <c r="I45" s="26" t="e">
        <f>#REF!+I46</f>
        <v>#REF!</v>
      </c>
    </row>
    <row r="46" spans="1:9" s="222" customFormat="1" ht="31.5" x14ac:dyDescent="0.25">
      <c r="A46" s="372" t="s">
        <v>146</v>
      </c>
      <c r="B46" s="366">
        <v>902</v>
      </c>
      <c r="C46" s="368" t="s">
        <v>133</v>
      </c>
      <c r="D46" s="368" t="s">
        <v>165</v>
      </c>
      <c r="E46" s="368" t="s">
        <v>990</v>
      </c>
      <c r="F46" s="368" t="s">
        <v>147</v>
      </c>
      <c r="G46" s="373">
        <f>G47</f>
        <v>6</v>
      </c>
      <c r="H46" s="26">
        <f t="shared" ref="H46:I46" si="21">H47</f>
        <v>0</v>
      </c>
      <c r="I46" s="26">
        <f t="shared" si="21"/>
        <v>0</v>
      </c>
    </row>
    <row r="47" spans="1:9" s="222" customFormat="1" ht="31.5" x14ac:dyDescent="0.25">
      <c r="A47" s="372" t="s">
        <v>148</v>
      </c>
      <c r="B47" s="366">
        <v>902</v>
      </c>
      <c r="C47" s="368" t="s">
        <v>133</v>
      </c>
      <c r="D47" s="368" t="s">
        <v>165</v>
      </c>
      <c r="E47" s="368" t="s">
        <v>990</v>
      </c>
      <c r="F47" s="368" t="s">
        <v>149</v>
      </c>
      <c r="G47" s="373">
        <v>6</v>
      </c>
      <c r="H47" s="26">
        <v>0</v>
      </c>
      <c r="I47" s="26">
        <v>0</v>
      </c>
    </row>
    <row r="48" spans="1:9" s="222" customFormat="1" ht="47.25" x14ac:dyDescent="0.25">
      <c r="A48" s="31" t="s">
        <v>1420</v>
      </c>
      <c r="B48" s="366">
        <v>902</v>
      </c>
      <c r="C48" s="368" t="s">
        <v>133</v>
      </c>
      <c r="D48" s="368" t="s">
        <v>165</v>
      </c>
      <c r="E48" s="368" t="s">
        <v>1419</v>
      </c>
      <c r="F48" s="368"/>
      <c r="G48" s="373">
        <f>G49+G51</f>
        <v>92.6</v>
      </c>
      <c r="H48" s="26"/>
      <c r="I48" s="26"/>
    </row>
    <row r="49" spans="1:9" s="222" customFormat="1" ht="63" x14ac:dyDescent="0.25">
      <c r="A49" s="372" t="s">
        <v>142</v>
      </c>
      <c r="B49" s="366">
        <v>902</v>
      </c>
      <c r="C49" s="368" t="s">
        <v>133</v>
      </c>
      <c r="D49" s="368" t="s">
        <v>165</v>
      </c>
      <c r="E49" s="368" t="s">
        <v>1419</v>
      </c>
      <c r="F49" s="368" t="s">
        <v>143</v>
      </c>
      <c r="G49" s="373">
        <f>G50</f>
        <v>0</v>
      </c>
      <c r="H49" s="26"/>
      <c r="I49" s="26"/>
    </row>
    <row r="50" spans="1:9" s="222" customFormat="1" ht="31.5" x14ac:dyDescent="0.25">
      <c r="A50" s="372" t="s">
        <v>144</v>
      </c>
      <c r="B50" s="366">
        <v>902</v>
      </c>
      <c r="C50" s="368" t="s">
        <v>133</v>
      </c>
      <c r="D50" s="368" t="s">
        <v>165</v>
      </c>
      <c r="E50" s="368" t="s">
        <v>1419</v>
      </c>
      <c r="F50" s="368" t="s">
        <v>145</v>
      </c>
      <c r="G50" s="373">
        <f>92.6-92.6</f>
        <v>0</v>
      </c>
      <c r="H50" s="26"/>
      <c r="I50" s="26"/>
    </row>
    <row r="51" spans="1:9" s="362" customFormat="1" ht="31.5" x14ac:dyDescent="0.25">
      <c r="A51" s="372" t="s">
        <v>146</v>
      </c>
      <c r="B51" s="366">
        <v>902</v>
      </c>
      <c r="C51" s="368" t="s">
        <v>133</v>
      </c>
      <c r="D51" s="368" t="s">
        <v>165</v>
      </c>
      <c r="E51" s="368" t="s">
        <v>1419</v>
      </c>
      <c r="F51" s="368" t="s">
        <v>147</v>
      </c>
      <c r="G51" s="373">
        <f>G52</f>
        <v>92.6</v>
      </c>
      <c r="H51" s="373"/>
      <c r="I51" s="373"/>
    </row>
    <row r="52" spans="1:9" s="362" customFormat="1" ht="31.5" x14ac:dyDescent="0.25">
      <c r="A52" s="372" t="s">
        <v>148</v>
      </c>
      <c r="B52" s="366">
        <v>902</v>
      </c>
      <c r="C52" s="368" t="s">
        <v>133</v>
      </c>
      <c r="D52" s="368" t="s">
        <v>165</v>
      </c>
      <c r="E52" s="368" t="s">
        <v>1419</v>
      </c>
      <c r="F52" s="368" t="s">
        <v>149</v>
      </c>
      <c r="G52" s="373">
        <v>92.6</v>
      </c>
      <c r="H52" s="373"/>
      <c r="I52" s="373"/>
    </row>
    <row r="53" spans="1:9" s="222" customFormat="1" ht="47.25" x14ac:dyDescent="0.25">
      <c r="A53" s="31" t="s">
        <v>204</v>
      </c>
      <c r="B53" s="366">
        <v>902</v>
      </c>
      <c r="C53" s="368" t="s">
        <v>133</v>
      </c>
      <c r="D53" s="368" t="s">
        <v>165</v>
      </c>
      <c r="E53" s="368" t="s">
        <v>991</v>
      </c>
      <c r="F53" s="368"/>
      <c r="G53" s="373">
        <f>G54+G56</f>
        <v>604.80000000000007</v>
      </c>
      <c r="H53" s="26">
        <f t="shared" ref="H53:I53" si="22">H54+H56</f>
        <v>715.9</v>
      </c>
      <c r="I53" s="26">
        <f t="shared" si="22"/>
        <v>715.9</v>
      </c>
    </row>
    <row r="54" spans="1:9" s="222" customFormat="1" ht="63" x14ac:dyDescent="0.25">
      <c r="A54" s="372" t="s">
        <v>142</v>
      </c>
      <c r="B54" s="366">
        <v>902</v>
      </c>
      <c r="C54" s="368" t="s">
        <v>133</v>
      </c>
      <c r="D54" s="368" t="s">
        <v>165</v>
      </c>
      <c r="E54" s="368" t="s">
        <v>991</v>
      </c>
      <c r="F54" s="368" t="s">
        <v>143</v>
      </c>
      <c r="G54" s="373">
        <f>G55</f>
        <v>528.70000000000005</v>
      </c>
      <c r="H54" s="26">
        <f t="shared" ref="H54:I54" si="23">H55</f>
        <v>503.2</v>
      </c>
      <c r="I54" s="26">
        <f t="shared" si="23"/>
        <v>503.2</v>
      </c>
    </row>
    <row r="55" spans="1:9" s="222" customFormat="1" ht="31.5" x14ac:dyDescent="0.25">
      <c r="A55" s="372" t="s">
        <v>144</v>
      </c>
      <c r="B55" s="366">
        <v>902</v>
      </c>
      <c r="C55" s="368" t="s">
        <v>133</v>
      </c>
      <c r="D55" s="368" t="s">
        <v>165</v>
      </c>
      <c r="E55" s="368" t="s">
        <v>991</v>
      </c>
      <c r="F55" s="368" t="s">
        <v>145</v>
      </c>
      <c r="G55" s="373">
        <f>715.9-223+10.3+25.5</f>
        <v>528.70000000000005</v>
      </c>
      <c r="H55" s="26">
        <f t="shared" ref="H55:I55" si="24">715.9-223+10.3</f>
        <v>503.2</v>
      </c>
      <c r="I55" s="26">
        <f t="shared" si="24"/>
        <v>503.2</v>
      </c>
    </row>
    <row r="56" spans="1:9" s="222" customFormat="1" ht="31.5" x14ac:dyDescent="0.25">
      <c r="A56" s="372" t="s">
        <v>146</v>
      </c>
      <c r="B56" s="366">
        <v>902</v>
      </c>
      <c r="C56" s="368" t="s">
        <v>133</v>
      </c>
      <c r="D56" s="368" t="s">
        <v>165</v>
      </c>
      <c r="E56" s="368" t="s">
        <v>991</v>
      </c>
      <c r="F56" s="368" t="s">
        <v>147</v>
      </c>
      <c r="G56" s="373">
        <f>G57</f>
        <v>76.099999999999994</v>
      </c>
      <c r="H56" s="26">
        <f t="shared" ref="H56:I56" si="25">H57</f>
        <v>212.7</v>
      </c>
      <c r="I56" s="26">
        <f t="shared" si="25"/>
        <v>212.7</v>
      </c>
    </row>
    <row r="57" spans="1:9" s="222" customFormat="1" ht="31.5" x14ac:dyDescent="0.25">
      <c r="A57" s="372" t="s">
        <v>148</v>
      </c>
      <c r="B57" s="366">
        <v>902</v>
      </c>
      <c r="C57" s="368" t="s">
        <v>133</v>
      </c>
      <c r="D57" s="368" t="s">
        <v>165</v>
      </c>
      <c r="E57" s="368" t="s">
        <v>991</v>
      </c>
      <c r="F57" s="368" t="s">
        <v>149</v>
      </c>
      <c r="G57" s="373">
        <v>76.099999999999994</v>
      </c>
      <c r="H57" s="26">
        <f t="shared" ref="H57:I57" si="26">223-20.7+20.7-10.3</f>
        <v>212.7</v>
      </c>
      <c r="I57" s="26">
        <f t="shared" si="26"/>
        <v>212.7</v>
      </c>
    </row>
    <row r="58" spans="1:9" s="222" customFormat="1" ht="47.25" x14ac:dyDescent="0.25">
      <c r="A58" s="31" t="s">
        <v>209</v>
      </c>
      <c r="B58" s="366">
        <v>902</v>
      </c>
      <c r="C58" s="368" t="s">
        <v>133</v>
      </c>
      <c r="D58" s="368" t="s">
        <v>165</v>
      </c>
      <c r="E58" s="368" t="s">
        <v>1195</v>
      </c>
      <c r="F58" s="368"/>
      <c r="G58" s="373">
        <f>G59+G61</f>
        <v>1433.3</v>
      </c>
      <c r="H58" s="26">
        <f t="shared" ref="H58:I58" si="27">H59+H61</f>
        <v>1333.1</v>
      </c>
      <c r="I58" s="26">
        <f t="shared" si="27"/>
        <v>1333.1</v>
      </c>
    </row>
    <row r="59" spans="1:9" s="222" customFormat="1" ht="63" x14ac:dyDescent="0.25">
      <c r="A59" s="372" t="s">
        <v>142</v>
      </c>
      <c r="B59" s="366">
        <v>902</v>
      </c>
      <c r="C59" s="368" t="s">
        <v>133</v>
      </c>
      <c r="D59" s="368" t="s">
        <v>165</v>
      </c>
      <c r="E59" s="368" t="s">
        <v>1195</v>
      </c>
      <c r="F59" s="368" t="s">
        <v>143</v>
      </c>
      <c r="G59" s="373">
        <f>G60</f>
        <v>1372.1</v>
      </c>
      <c r="H59" s="26">
        <f t="shared" ref="H59:I59" si="28">H60</f>
        <v>1271.8999999999999</v>
      </c>
      <c r="I59" s="26">
        <f t="shared" si="28"/>
        <v>1271.8999999999999</v>
      </c>
    </row>
    <row r="60" spans="1:9" s="222" customFormat="1" ht="31.5" x14ac:dyDescent="0.25">
      <c r="A60" s="372" t="s">
        <v>144</v>
      </c>
      <c r="B60" s="366">
        <v>902</v>
      </c>
      <c r="C60" s="368" t="s">
        <v>133</v>
      </c>
      <c r="D60" s="368" t="s">
        <v>165</v>
      </c>
      <c r="E60" s="368" t="s">
        <v>1195</v>
      </c>
      <c r="F60" s="368" t="s">
        <v>145</v>
      </c>
      <c r="G60" s="373">
        <f>1333.1-39.7-21.5+100.2</f>
        <v>1372.1</v>
      </c>
      <c r="H60" s="26">
        <f t="shared" ref="H60:I60" si="29">1333.1-39.7-21.5</f>
        <v>1271.8999999999999</v>
      </c>
      <c r="I60" s="26">
        <f t="shared" si="29"/>
        <v>1271.8999999999999</v>
      </c>
    </row>
    <row r="61" spans="1:9" s="222" customFormat="1" ht="31.5" x14ac:dyDescent="0.25">
      <c r="A61" s="372" t="s">
        <v>146</v>
      </c>
      <c r="B61" s="366">
        <v>902</v>
      </c>
      <c r="C61" s="368" t="s">
        <v>133</v>
      </c>
      <c r="D61" s="368" t="s">
        <v>165</v>
      </c>
      <c r="E61" s="368" t="s">
        <v>1195</v>
      </c>
      <c r="F61" s="368" t="s">
        <v>147</v>
      </c>
      <c r="G61" s="373">
        <f>G62</f>
        <v>61.2</v>
      </c>
      <c r="H61" s="26">
        <f t="shared" ref="H61:I61" si="30">H62</f>
        <v>61.2</v>
      </c>
      <c r="I61" s="26">
        <f t="shared" si="30"/>
        <v>61.2</v>
      </c>
    </row>
    <row r="62" spans="1:9" s="222" customFormat="1" ht="31.5" x14ac:dyDescent="0.25">
      <c r="A62" s="372" t="s">
        <v>148</v>
      </c>
      <c r="B62" s="366">
        <v>902</v>
      </c>
      <c r="C62" s="368" t="s">
        <v>133</v>
      </c>
      <c r="D62" s="368" t="s">
        <v>165</v>
      </c>
      <c r="E62" s="368" t="s">
        <v>1195</v>
      </c>
      <c r="F62" s="368" t="s">
        <v>149</v>
      </c>
      <c r="G62" s="373">
        <f>156.9-116.5-0.7+21.5</f>
        <v>61.2</v>
      </c>
      <c r="H62" s="26">
        <f t="shared" ref="H62:I62" si="31">156.9-116.5-0.7+21.5</f>
        <v>61.2</v>
      </c>
      <c r="I62" s="26">
        <f t="shared" si="31"/>
        <v>61.2</v>
      </c>
    </row>
    <row r="63" spans="1:9" s="222" customFormat="1" ht="31.5" x14ac:dyDescent="0.25">
      <c r="A63" s="31" t="s">
        <v>211</v>
      </c>
      <c r="B63" s="366">
        <v>902</v>
      </c>
      <c r="C63" s="368" t="s">
        <v>133</v>
      </c>
      <c r="D63" s="368" t="s">
        <v>165</v>
      </c>
      <c r="E63" s="368" t="s">
        <v>992</v>
      </c>
      <c r="F63" s="368"/>
      <c r="G63" s="373">
        <f>G64+G66</f>
        <v>1115.9000000000001</v>
      </c>
      <c r="H63" s="26">
        <f t="shared" ref="H63:I63" si="32">H64+H66</f>
        <v>1106.2</v>
      </c>
      <c r="I63" s="26">
        <f t="shared" si="32"/>
        <v>1106.2</v>
      </c>
    </row>
    <row r="64" spans="1:9" s="222" customFormat="1" ht="63" x14ac:dyDescent="0.25">
      <c r="A64" s="372" t="s">
        <v>142</v>
      </c>
      <c r="B64" s="366">
        <v>902</v>
      </c>
      <c r="C64" s="368" t="s">
        <v>133</v>
      </c>
      <c r="D64" s="368" t="s">
        <v>165</v>
      </c>
      <c r="E64" s="368" t="s">
        <v>992</v>
      </c>
      <c r="F64" s="368" t="s">
        <v>143</v>
      </c>
      <c r="G64" s="373">
        <f>G65</f>
        <v>1081.9000000000001</v>
      </c>
      <c r="H64" s="26">
        <f t="shared" ref="H64:I64" si="33">H65</f>
        <v>1026.5</v>
      </c>
      <c r="I64" s="26">
        <f t="shared" si="33"/>
        <v>1026.5</v>
      </c>
    </row>
    <row r="65" spans="1:9" s="222" customFormat="1" ht="31.5" x14ac:dyDescent="0.25">
      <c r="A65" s="372" t="s">
        <v>144</v>
      </c>
      <c r="B65" s="366">
        <v>902</v>
      </c>
      <c r="C65" s="368" t="s">
        <v>133</v>
      </c>
      <c r="D65" s="368" t="s">
        <v>165</v>
      </c>
      <c r="E65" s="368" t="s">
        <v>992</v>
      </c>
      <c r="F65" s="368" t="s">
        <v>145</v>
      </c>
      <c r="G65" s="373">
        <f>1026.5+55.4</f>
        <v>1081.9000000000001</v>
      </c>
      <c r="H65" s="26">
        <f t="shared" ref="H65:I65" si="34">1537-463.9-47.6+17.7-16.7</f>
        <v>1026.5</v>
      </c>
      <c r="I65" s="26">
        <f t="shared" si="34"/>
        <v>1026.5</v>
      </c>
    </row>
    <row r="66" spans="1:9" s="222" customFormat="1" ht="31.5" x14ac:dyDescent="0.25">
      <c r="A66" s="372" t="s">
        <v>213</v>
      </c>
      <c r="B66" s="366">
        <v>902</v>
      </c>
      <c r="C66" s="368" t="s">
        <v>133</v>
      </c>
      <c r="D66" s="368" t="s">
        <v>165</v>
      </c>
      <c r="E66" s="368" t="s">
        <v>992</v>
      </c>
      <c r="F66" s="368" t="s">
        <v>147</v>
      </c>
      <c r="G66" s="373">
        <f>G67</f>
        <v>34.000000000000007</v>
      </c>
      <c r="H66" s="26">
        <f t="shared" ref="H66:I66" si="35">H67</f>
        <v>79.7</v>
      </c>
      <c r="I66" s="26">
        <f t="shared" si="35"/>
        <v>79.7</v>
      </c>
    </row>
    <row r="67" spans="1:9" s="222" customFormat="1" ht="31.5" x14ac:dyDescent="0.25">
      <c r="A67" s="372" t="s">
        <v>148</v>
      </c>
      <c r="B67" s="366">
        <v>902</v>
      </c>
      <c r="C67" s="368" t="s">
        <v>133</v>
      </c>
      <c r="D67" s="368" t="s">
        <v>165</v>
      </c>
      <c r="E67" s="368" t="s">
        <v>992</v>
      </c>
      <c r="F67" s="368" t="s">
        <v>149</v>
      </c>
      <c r="G67" s="373">
        <f>89.4-55.4</f>
        <v>34.000000000000007</v>
      </c>
      <c r="H67" s="26">
        <f t="shared" ref="H67:I67" si="36">33.1+47.6-17.7+16.7</f>
        <v>79.7</v>
      </c>
      <c r="I67" s="26">
        <f t="shared" si="36"/>
        <v>79.7</v>
      </c>
    </row>
    <row r="68" spans="1:9" s="222" customFormat="1" ht="47.25" x14ac:dyDescent="0.25">
      <c r="A68" s="370" t="s">
        <v>818</v>
      </c>
      <c r="B68" s="367">
        <v>902</v>
      </c>
      <c r="C68" s="371" t="s">
        <v>133</v>
      </c>
      <c r="D68" s="371" t="s">
        <v>165</v>
      </c>
      <c r="E68" s="371" t="s">
        <v>177</v>
      </c>
      <c r="F68" s="371"/>
      <c r="G68" s="369">
        <f>G69+G73+G79</f>
        <v>523</v>
      </c>
      <c r="H68" s="21">
        <f t="shared" ref="H68:I68" si="37">H69+H73+H79</f>
        <v>780.5</v>
      </c>
      <c r="I68" s="21">
        <f t="shared" si="37"/>
        <v>780.5</v>
      </c>
    </row>
    <row r="69" spans="1:9" s="222" customFormat="1" ht="47.25" x14ac:dyDescent="0.25">
      <c r="A69" s="248" t="s">
        <v>1153</v>
      </c>
      <c r="B69" s="367">
        <v>902</v>
      </c>
      <c r="C69" s="371" t="s">
        <v>133</v>
      </c>
      <c r="D69" s="371" t="s">
        <v>165</v>
      </c>
      <c r="E69" s="364" t="s">
        <v>893</v>
      </c>
      <c r="F69" s="371"/>
      <c r="G69" s="369">
        <f>G70</f>
        <v>446</v>
      </c>
      <c r="H69" s="21">
        <f t="shared" ref="H69:I71" si="38">H70</f>
        <v>491</v>
      </c>
      <c r="I69" s="21">
        <f t="shared" si="38"/>
        <v>491</v>
      </c>
    </row>
    <row r="70" spans="1:9" s="222" customFormat="1" ht="31.5" x14ac:dyDescent="0.25">
      <c r="A70" s="375" t="s">
        <v>1152</v>
      </c>
      <c r="B70" s="366">
        <v>902</v>
      </c>
      <c r="C70" s="368" t="s">
        <v>133</v>
      </c>
      <c r="D70" s="368" t="s">
        <v>165</v>
      </c>
      <c r="E70" s="376" t="s">
        <v>885</v>
      </c>
      <c r="F70" s="368"/>
      <c r="G70" s="373">
        <f>G71</f>
        <v>446</v>
      </c>
      <c r="H70" s="26">
        <f t="shared" si="38"/>
        <v>491</v>
      </c>
      <c r="I70" s="26">
        <f t="shared" si="38"/>
        <v>491</v>
      </c>
    </row>
    <row r="71" spans="1:9" s="222" customFormat="1" ht="31.5" x14ac:dyDescent="0.25">
      <c r="A71" s="372" t="s">
        <v>146</v>
      </c>
      <c r="B71" s="366">
        <v>902</v>
      </c>
      <c r="C71" s="368" t="s">
        <v>133</v>
      </c>
      <c r="D71" s="368" t="s">
        <v>165</v>
      </c>
      <c r="E71" s="376" t="s">
        <v>885</v>
      </c>
      <c r="F71" s="368" t="s">
        <v>147</v>
      </c>
      <c r="G71" s="373">
        <f>G72</f>
        <v>446</v>
      </c>
      <c r="H71" s="26">
        <f t="shared" si="38"/>
        <v>491</v>
      </c>
      <c r="I71" s="26">
        <f t="shared" si="38"/>
        <v>491</v>
      </c>
    </row>
    <row r="72" spans="1:9" s="222" customFormat="1" ht="31.5" x14ac:dyDescent="0.25">
      <c r="A72" s="372" t="s">
        <v>148</v>
      </c>
      <c r="B72" s="366">
        <v>902</v>
      </c>
      <c r="C72" s="368" t="s">
        <v>133</v>
      </c>
      <c r="D72" s="368" t="s">
        <v>165</v>
      </c>
      <c r="E72" s="376" t="s">
        <v>885</v>
      </c>
      <c r="F72" s="368" t="s">
        <v>149</v>
      </c>
      <c r="G72" s="373">
        <v>446</v>
      </c>
      <c r="H72" s="26">
        <f t="shared" ref="H72:I72" si="39">428.1+62.9</f>
        <v>491</v>
      </c>
      <c r="I72" s="26">
        <f t="shared" si="39"/>
        <v>491</v>
      </c>
    </row>
    <row r="73" spans="1:9" s="222" customFormat="1" ht="63" x14ac:dyDescent="0.25">
      <c r="A73" s="247" t="s">
        <v>887</v>
      </c>
      <c r="B73" s="367">
        <v>902</v>
      </c>
      <c r="C73" s="371" t="s">
        <v>133</v>
      </c>
      <c r="D73" s="371" t="s">
        <v>165</v>
      </c>
      <c r="E73" s="364" t="s">
        <v>894</v>
      </c>
      <c r="F73" s="371"/>
      <c r="G73" s="369">
        <f>G74</f>
        <v>76.5</v>
      </c>
      <c r="H73" s="21">
        <f t="shared" ref="H73:I73" si="40">H74</f>
        <v>249</v>
      </c>
      <c r="I73" s="21">
        <f t="shared" si="40"/>
        <v>249</v>
      </c>
    </row>
    <row r="74" spans="1:9" s="222" customFormat="1" ht="47.25" x14ac:dyDescent="0.25">
      <c r="A74" s="178" t="s">
        <v>180</v>
      </c>
      <c r="B74" s="366">
        <v>902</v>
      </c>
      <c r="C74" s="368" t="s">
        <v>133</v>
      </c>
      <c r="D74" s="368" t="s">
        <v>165</v>
      </c>
      <c r="E74" s="376" t="s">
        <v>886</v>
      </c>
      <c r="F74" s="368"/>
      <c r="G74" s="373">
        <f>G75+G77</f>
        <v>76.5</v>
      </c>
      <c r="H74" s="26">
        <f t="shared" ref="H74:I74" si="41">H75+H77</f>
        <v>249</v>
      </c>
      <c r="I74" s="26">
        <f t="shared" si="41"/>
        <v>249</v>
      </c>
    </row>
    <row r="75" spans="1:9" s="222" customFormat="1" ht="63" x14ac:dyDescent="0.25">
      <c r="A75" s="372" t="s">
        <v>142</v>
      </c>
      <c r="B75" s="366">
        <v>902</v>
      </c>
      <c r="C75" s="368" t="s">
        <v>133</v>
      </c>
      <c r="D75" s="368" t="s">
        <v>165</v>
      </c>
      <c r="E75" s="376" t="s">
        <v>886</v>
      </c>
      <c r="F75" s="368" t="s">
        <v>143</v>
      </c>
      <c r="G75" s="373">
        <f>G76</f>
        <v>37</v>
      </c>
      <c r="H75" s="26">
        <f t="shared" ref="H75:I75" si="42">H76</f>
        <v>159.69999999999999</v>
      </c>
      <c r="I75" s="26">
        <f t="shared" si="42"/>
        <v>159.69999999999999</v>
      </c>
    </row>
    <row r="76" spans="1:9" s="222" customFormat="1" ht="31.5" x14ac:dyDescent="0.25">
      <c r="A76" s="372" t="s">
        <v>144</v>
      </c>
      <c r="B76" s="366">
        <v>902</v>
      </c>
      <c r="C76" s="368" t="s">
        <v>133</v>
      </c>
      <c r="D76" s="368" t="s">
        <v>165</v>
      </c>
      <c r="E76" s="376" t="s">
        <v>886</v>
      </c>
      <c r="F76" s="368" t="s">
        <v>145</v>
      </c>
      <c r="G76" s="373">
        <v>37</v>
      </c>
      <c r="H76" s="26">
        <v>159.69999999999999</v>
      </c>
      <c r="I76" s="26">
        <v>159.69999999999999</v>
      </c>
    </row>
    <row r="77" spans="1:9" s="222" customFormat="1" ht="31.5" x14ac:dyDescent="0.25">
      <c r="A77" s="372" t="s">
        <v>146</v>
      </c>
      <c r="B77" s="366">
        <v>902</v>
      </c>
      <c r="C77" s="368" t="s">
        <v>133</v>
      </c>
      <c r="D77" s="368" t="s">
        <v>165</v>
      </c>
      <c r="E77" s="376" t="s">
        <v>886</v>
      </c>
      <c r="F77" s="368" t="s">
        <v>147</v>
      </c>
      <c r="G77" s="373">
        <f>G78</f>
        <v>39.5</v>
      </c>
      <c r="H77" s="26">
        <f t="shared" ref="H77:I77" si="43">H78</f>
        <v>89.300000000000011</v>
      </c>
      <c r="I77" s="26">
        <f t="shared" si="43"/>
        <v>89.300000000000011</v>
      </c>
    </row>
    <row r="78" spans="1:9" s="222" customFormat="1" ht="31.5" x14ac:dyDescent="0.25">
      <c r="A78" s="372" t="s">
        <v>148</v>
      </c>
      <c r="B78" s="366">
        <v>902</v>
      </c>
      <c r="C78" s="368" t="s">
        <v>133</v>
      </c>
      <c r="D78" s="368" t="s">
        <v>165</v>
      </c>
      <c r="E78" s="376" t="s">
        <v>886</v>
      </c>
      <c r="F78" s="368" t="s">
        <v>149</v>
      </c>
      <c r="G78" s="373">
        <f>40-0.5</f>
        <v>39.5</v>
      </c>
      <c r="H78" s="26">
        <f t="shared" ref="H78:I78" si="44">65.2+24.6-0.5</f>
        <v>89.300000000000011</v>
      </c>
      <c r="I78" s="26">
        <f t="shared" si="44"/>
        <v>89.300000000000011</v>
      </c>
    </row>
    <row r="79" spans="1:9" s="222" customFormat="1" ht="51" customHeight="1" x14ac:dyDescent="0.25">
      <c r="A79" s="249" t="s">
        <v>1154</v>
      </c>
      <c r="B79" s="367">
        <v>902</v>
      </c>
      <c r="C79" s="371" t="s">
        <v>133</v>
      </c>
      <c r="D79" s="371" t="s">
        <v>165</v>
      </c>
      <c r="E79" s="364" t="s">
        <v>895</v>
      </c>
      <c r="F79" s="371"/>
      <c r="G79" s="369">
        <f>G80+G83</f>
        <v>0.5</v>
      </c>
      <c r="H79" s="21">
        <f t="shared" ref="H79:I79" si="45">H80+H83</f>
        <v>40.5</v>
      </c>
      <c r="I79" s="21">
        <f t="shared" si="45"/>
        <v>40.5</v>
      </c>
    </row>
    <row r="80" spans="1:9" s="222" customFormat="1" ht="31.5" x14ac:dyDescent="0.25">
      <c r="A80" s="33" t="s">
        <v>1297</v>
      </c>
      <c r="B80" s="366">
        <v>902</v>
      </c>
      <c r="C80" s="368" t="s">
        <v>133</v>
      </c>
      <c r="D80" s="368" t="s">
        <v>165</v>
      </c>
      <c r="E80" s="376" t="s">
        <v>888</v>
      </c>
      <c r="F80" s="368"/>
      <c r="G80" s="373">
        <f>G81</f>
        <v>0.5</v>
      </c>
      <c r="H80" s="26">
        <f t="shared" ref="H80:I81" si="46">H81</f>
        <v>0.5</v>
      </c>
      <c r="I80" s="26">
        <f t="shared" si="46"/>
        <v>0.5</v>
      </c>
    </row>
    <row r="81" spans="1:9" s="222" customFormat="1" ht="31.5" x14ac:dyDescent="0.25">
      <c r="A81" s="372" t="s">
        <v>146</v>
      </c>
      <c r="B81" s="366">
        <v>902</v>
      </c>
      <c r="C81" s="368" t="s">
        <v>133</v>
      </c>
      <c r="D81" s="368" t="s">
        <v>165</v>
      </c>
      <c r="E81" s="376" t="s">
        <v>888</v>
      </c>
      <c r="F81" s="368" t="s">
        <v>147</v>
      </c>
      <c r="G81" s="373">
        <f>G82</f>
        <v>0.5</v>
      </c>
      <c r="H81" s="26">
        <f t="shared" si="46"/>
        <v>0.5</v>
      </c>
      <c r="I81" s="26">
        <f t="shared" si="46"/>
        <v>0.5</v>
      </c>
    </row>
    <row r="82" spans="1:9" s="222" customFormat="1" ht="31.5" x14ac:dyDescent="0.25">
      <c r="A82" s="372" t="s">
        <v>148</v>
      </c>
      <c r="B82" s="366">
        <v>902</v>
      </c>
      <c r="C82" s="368" t="s">
        <v>133</v>
      </c>
      <c r="D82" s="368" t="s">
        <v>165</v>
      </c>
      <c r="E82" s="376" t="s">
        <v>888</v>
      </c>
      <c r="F82" s="368" t="s">
        <v>149</v>
      </c>
      <c r="G82" s="373">
        <v>0.5</v>
      </c>
      <c r="H82" s="26">
        <v>0.5</v>
      </c>
      <c r="I82" s="26">
        <v>0.5</v>
      </c>
    </row>
    <row r="83" spans="1:9" s="222" customFormat="1" ht="31.5" hidden="1" x14ac:dyDescent="0.25">
      <c r="A83" s="33" t="s">
        <v>206</v>
      </c>
      <c r="B83" s="366">
        <v>902</v>
      </c>
      <c r="C83" s="368" t="s">
        <v>133</v>
      </c>
      <c r="D83" s="368" t="s">
        <v>165</v>
      </c>
      <c r="E83" s="368" t="s">
        <v>889</v>
      </c>
      <c r="F83" s="368"/>
      <c r="G83" s="373">
        <f>G84</f>
        <v>0</v>
      </c>
      <c r="H83" s="26">
        <f t="shared" ref="H83:I84" si="47">H84</f>
        <v>40</v>
      </c>
      <c r="I83" s="26">
        <f t="shared" si="47"/>
        <v>40</v>
      </c>
    </row>
    <row r="84" spans="1:9" s="222" customFormat="1" ht="31.5" hidden="1" x14ac:dyDescent="0.25">
      <c r="A84" s="372" t="s">
        <v>146</v>
      </c>
      <c r="B84" s="366">
        <v>902</v>
      </c>
      <c r="C84" s="368" t="s">
        <v>133</v>
      </c>
      <c r="D84" s="368" t="s">
        <v>165</v>
      </c>
      <c r="E84" s="368" t="s">
        <v>889</v>
      </c>
      <c r="F84" s="368" t="s">
        <v>147</v>
      </c>
      <c r="G84" s="373">
        <f>G85</f>
        <v>0</v>
      </c>
      <c r="H84" s="26">
        <f t="shared" si="47"/>
        <v>40</v>
      </c>
      <c r="I84" s="26">
        <f t="shared" si="47"/>
        <v>40</v>
      </c>
    </row>
    <row r="85" spans="1:9" s="222" customFormat="1" ht="31.5" hidden="1" x14ac:dyDescent="0.25">
      <c r="A85" s="372" t="s">
        <v>148</v>
      </c>
      <c r="B85" s="366">
        <v>902</v>
      </c>
      <c r="C85" s="368" t="s">
        <v>133</v>
      </c>
      <c r="D85" s="368" t="s">
        <v>165</v>
      </c>
      <c r="E85" s="368" t="s">
        <v>889</v>
      </c>
      <c r="F85" s="368" t="s">
        <v>149</v>
      </c>
      <c r="G85" s="373">
        <v>0</v>
      </c>
      <c r="H85" s="26">
        <v>40</v>
      </c>
      <c r="I85" s="26">
        <v>40</v>
      </c>
    </row>
    <row r="86" spans="1:9" ht="47.25" x14ac:dyDescent="0.25">
      <c r="A86" s="370" t="s">
        <v>134</v>
      </c>
      <c r="B86" s="367">
        <v>902</v>
      </c>
      <c r="C86" s="371" t="s">
        <v>133</v>
      </c>
      <c r="D86" s="371" t="s">
        <v>135</v>
      </c>
      <c r="E86" s="371"/>
      <c r="F86" s="368"/>
      <c r="G86" s="369">
        <f>G87</f>
        <v>995</v>
      </c>
      <c r="H86" s="21">
        <f t="shared" ref="H86:I87" si="48">H87</f>
        <v>2238.5</v>
      </c>
      <c r="I86" s="21">
        <f t="shared" si="48"/>
        <v>2238.5</v>
      </c>
    </row>
    <row r="87" spans="1:9" ht="39.200000000000003" customHeight="1" x14ac:dyDescent="0.25">
      <c r="A87" s="370" t="s">
        <v>988</v>
      </c>
      <c r="B87" s="367">
        <v>902</v>
      </c>
      <c r="C87" s="371" t="s">
        <v>133</v>
      </c>
      <c r="D87" s="371" t="s">
        <v>135</v>
      </c>
      <c r="E87" s="371" t="s">
        <v>902</v>
      </c>
      <c r="F87" s="371"/>
      <c r="G87" s="369">
        <f>G88</f>
        <v>995</v>
      </c>
      <c r="H87" s="21">
        <f t="shared" si="48"/>
        <v>2238.5</v>
      </c>
      <c r="I87" s="21">
        <f t="shared" si="48"/>
        <v>2238.5</v>
      </c>
    </row>
    <row r="88" spans="1:9" ht="15.75" x14ac:dyDescent="0.25">
      <c r="A88" s="370" t="s">
        <v>989</v>
      </c>
      <c r="B88" s="367">
        <v>902</v>
      </c>
      <c r="C88" s="371" t="s">
        <v>133</v>
      </c>
      <c r="D88" s="371" t="s">
        <v>135</v>
      </c>
      <c r="E88" s="371" t="s">
        <v>903</v>
      </c>
      <c r="F88" s="371"/>
      <c r="G88" s="369">
        <f>G89+G92</f>
        <v>995</v>
      </c>
      <c r="H88" s="21">
        <f t="shared" ref="H88:I88" si="49">H89+H92</f>
        <v>2238.5</v>
      </c>
      <c r="I88" s="21">
        <f t="shared" si="49"/>
        <v>2238.5</v>
      </c>
    </row>
    <row r="89" spans="1:9" ht="31.5" x14ac:dyDescent="0.25">
      <c r="A89" s="372" t="s">
        <v>965</v>
      </c>
      <c r="B89" s="366">
        <v>902</v>
      </c>
      <c r="C89" s="368" t="s">
        <v>133</v>
      </c>
      <c r="D89" s="368" t="s">
        <v>135</v>
      </c>
      <c r="E89" s="368" t="s">
        <v>904</v>
      </c>
      <c r="F89" s="368"/>
      <c r="G89" s="373">
        <f>G90</f>
        <v>954</v>
      </c>
      <c r="H89" s="26">
        <f t="shared" ref="H89:I89" si="50">H90+H92</f>
        <v>2238.5</v>
      </c>
      <c r="I89" s="26">
        <f t="shared" si="50"/>
        <v>2238.5</v>
      </c>
    </row>
    <row r="90" spans="1:9" ht="63" x14ac:dyDescent="0.25">
      <c r="A90" s="372" t="s">
        <v>142</v>
      </c>
      <c r="B90" s="366">
        <v>902</v>
      </c>
      <c r="C90" s="368" t="s">
        <v>133</v>
      </c>
      <c r="D90" s="368" t="s">
        <v>135</v>
      </c>
      <c r="E90" s="368" t="s">
        <v>904</v>
      </c>
      <c r="F90" s="368" t="s">
        <v>143</v>
      </c>
      <c r="G90" s="373">
        <f>G91</f>
        <v>954</v>
      </c>
      <c r="H90" s="26">
        <f t="shared" ref="H90:I90" si="51">H91</f>
        <v>2238.5</v>
      </c>
      <c r="I90" s="26">
        <f t="shared" si="51"/>
        <v>2238.5</v>
      </c>
    </row>
    <row r="91" spans="1:9" ht="31.5" x14ac:dyDescent="0.25">
      <c r="A91" s="372" t="s">
        <v>144</v>
      </c>
      <c r="B91" s="366">
        <v>902</v>
      </c>
      <c r="C91" s="368" t="s">
        <v>133</v>
      </c>
      <c r="D91" s="368" t="s">
        <v>135</v>
      </c>
      <c r="E91" s="368" t="s">
        <v>904</v>
      </c>
      <c r="F91" s="368" t="s">
        <v>145</v>
      </c>
      <c r="G91" s="374">
        <f>899+55</f>
        <v>954</v>
      </c>
      <c r="H91" s="27">
        <v>2238.5</v>
      </c>
      <c r="I91" s="27">
        <v>2238.5</v>
      </c>
    </row>
    <row r="92" spans="1:9" ht="31.7" customHeight="1" x14ac:dyDescent="0.25">
      <c r="A92" s="372" t="s">
        <v>883</v>
      </c>
      <c r="B92" s="366">
        <v>902</v>
      </c>
      <c r="C92" s="368" t="s">
        <v>133</v>
      </c>
      <c r="D92" s="368" t="s">
        <v>135</v>
      </c>
      <c r="E92" s="368" t="s">
        <v>906</v>
      </c>
      <c r="F92" s="368"/>
      <c r="G92" s="373">
        <f>G93</f>
        <v>41</v>
      </c>
      <c r="H92" s="26">
        <f t="shared" ref="H92:I93" si="52">H93</f>
        <v>0</v>
      </c>
      <c r="I92" s="26">
        <f t="shared" si="52"/>
        <v>0</v>
      </c>
    </row>
    <row r="93" spans="1:9" s="222" customFormat="1" ht="31.7" customHeight="1" x14ac:dyDescent="0.25">
      <c r="A93" s="372" t="s">
        <v>142</v>
      </c>
      <c r="B93" s="366">
        <v>902</v>
      </c>
      <c r="C93" s="368" t="s">
        <v>133</v>
      </c>
      <c r="D93" s="368" t="s">
        <v>135</v>
      </c>
      <c r="E93" s="368" t="s">
        <v>906</v>
      </c>
      <c r="F93" s="368" t="s">
        <v>143</v>
      </c>
      <c r="G93" s="373">
        <f>G94</f>
        <v>41</v>
      </c>
      <c r="H93" s="26">
        <f t="shared" si="52"/>
        <v>0</v>
      </c>
      <c r="I93" s="26">
        <f t="shared" si="52"/>
        <v>0</v>
      </c>
    </row>
    <row r="94" spans="1:9" ht="34.5" customHeight="1" x14ac:dyDescent="0.25">
      <c r="A94" s="372" t="s">
        <v>144</v>
      </c>
      <c r="B94" s="366">
        <v>902</v>
      </c>
      <c r="C94" s="368" t="s">
        <v>133</v>
      </c>
      <c r="D94" s="368" t="s">
        <v>135</v>
      </c>
      <c r="E94" s="368" t="s">
        <v>906</v>
      </c>
      <c r="F94" s="368" t="s">
        <v>145</v>
      </c>
      <c r="G94" s="373">
        <v>41</v>
      </c>
      <c r="H94" s="26"/>
      <c r="I94" s="26"/>
    </row>
    <row r="95" spans="1:9" s="222" customFormat="1" ht="17.45" customHeight="1" x14ac:dyDescent="0.25">
      <c r="A95" s="370" t="s">
        <v>1373</v>
      </c>
      <c r="B95" s="367">
        <v>902</v>
      </c>
      <c r="C95" s="371" t="s">
        <v>133</v>
      </c>
      <c r="D95" s="371" t="s">
        <v>279</v>
      </c>
      <c r="E95" s="371"/>
      <c r="F95" s="368"/>
      <c r="G95" s="369">
        <f>G96</f>
        <v>158.38</v>
      </c>
      <c r="H95" s="26"/>
      <c r="I95" s="26"/>
    </row>
    <row r="96" spans="1:9" s="222" customFormat="1" ht="21.75" customHeight="1" x14ac:dyDescent="0.25">
      <c r="A96" s="370" t="s">
        <v>156</v>
      </c>
      <c r="B96" s="367">
        <v>902</v>
      </c>
      <c r="C96" s="371" t="s">
        <v>133</v>
      </c>
      <c r="D96" s="371" t="s">
        <v>279</v>
      </c>
      <c r="E96" s="371" t="s">
        <v>910</v>
      </c>
      <c r="F96" s="368"/>
      <c r="G96" s="369">
        <f>G97</f>
        <v>158.38</v>
      </c>
      <c r="H96" s="26"/>
      <c r="I96" s="26"/>
    </row>
    <row r="97" spans="1:9" s="222" customFormat="1" ht="34.5" customHeight="1" x14ac:dyDescent="0.25">
      <c r="A97" s="370" t="s">
        <v>914</v>
      </c>
      <c r="B97" s="367">
        <v>902</v>
      </c>
      <c r="C97" s="371" t="s">
        <v>133</v>
      </c>
      <c r="D97" s="371" t="s">
        <v>279</v>
      </c>
      <c r="E97" s="371" t="s">
        <v>909</v>
      </c>
      <c r="F97" s="368"/>
      <c r="G97" s="369">
        <f>G98</f>
        <v>158.38</v>
      </c>
      <c r="H97" s="26"/>
      <c r="I97" s="26"/>
    </row>
    <row r="98" spans="1:9" s="222" customFormat="1" ht="18" customHeight="1" x14ac:dyDescent="0.25">
      <c r="A98" s="45" t="s">
        <v>214</v>
      </c>
      <c r="B98" s="366">
        <v>902</v>
      </c>
      <c r="C98" s="368" t="s">
        <v>133</v>
      </c>
      <c r="D98" s="368" t="s">
        <v>279</v>
      </c>
      <c r="E98" s="368" t="s">
        <v>1372</v>
      </c>
      <c r="F98" s="368"/>
      <c r="G98" s="373">
        <f>G99+G101</f>
        <v>158.38</v>
      </c>
      <c r="H98" s="26"/>
      <c r="I98" s="26"/>
    </row>
    <row r="99" spans="1:9" s="222" customFormat="1" ht="69.75" customHeight="1" x14ac:dyDescent="0.25">
      <c r="A99" s="372" t="s">
        <v>142</v>
      </c>
      <c r="B99" s="366">
        <v>902</v>
      </c>
      <c r="C99" s="368" t="s">
        <v>133</v>
      </c>
      <c r="D99" s="368" t="s">
        <v>279</v>
      </c>
      <c r="E99" s="368" t="s">
        <v>1372</v>
      </c>
      <c r="F99" s="368" t="s">
        <v>143</v>
      </c>
      <c r="G99" s="373">
        <f>G100</f>
        <v>158.38</v>
      </c>
      <c r="H99" s="26"/>
      <c r="I99" s="26"/>
    </row>
    <row r="100" spans="1:9" s="222" customFormat="1" ht="34.5" customHeight="1" x14ac:dyDescent="0.25">
      <c r="A100" s="372" t="s">
        <v>144</v>
      </c>
      <c r="B100" s="366">
        <v>902</v>
      </c>
      <c r="C100" s="368" t="s">
        <v>133</v>
      </c>
      <c r="D100" s="368" t="s">
        <v>279</v>
      </c>
      <c r="E100" s="368" t="s">
        <v>1372</v>
      </c>
      <c r="F100" s="368" t="s">
        <v>145</v>
      </c>
      <c r="G100" s="373">
        <v>158.38</v>
      </c>
      <c r="H100" s="26"/>
      <c r="I100" s="26"/>
    </row>
    <row r="101" spans="1:9" s="222" customFormat="1" ht="34.5" hidden="1" customHeight="1" x14ac:dyDescent="0.25">
      <c r="A101" s="372" t="s">
        <v>213</v>
      </c>
      <c r="B101" s="366">
        <v>902</v>
      </c>
      <c r="C101" s="368" t="s">
        <v>133</v>
      </c>
      <c r="D101" s="368" t="s">
        <v>279</v>
      </c>
      <c r="E101" s="368" t="s">
        <v>1372</v>
      </c>
      <c r="F101" s="368" t="s">
        <v>147</v>
      </c>
      <c r="G101" s="373">
        <f>G102</f>
        <v>0</v>
      </c>
      <c r="H101" s="26"/>
      <c r="I101" s="26"/>
    </row>
    <row r="102" spans="1:9" s="222" customFormat="1" ht="34.5" hidden="1" customHeight="1" x14ac:dyDescent="0.25">
      <c r="A102" s="372" t="s">
        <v>148</v>
      </c>
      <c r="B102" s="366">
        <v>902</v>
      </c>
      <c r="C102" s="368" t="s">
        <v>133</v>
      </c>
      <c r="D102" s="368" t="s">
        <v>279</v>
      </c>
      <c r="E102" s="368" t="s">
        <v>1372</v>
      </c>
      <c r="F102" s="368" t="s">
        <v>149</v>
      </c>
      <c r="G102" s="373">
        <v>0</v>
      </c>
      <c r="H102" s="26"/>
      <c r="I102" s="26"/>
    </row>
    <row r="103" spans="1:9" ht="15.75" x14ac:dyDescent="0.25">
      <c r="A103" s="370" t="s">
        <v>154</v>
      </c>
      <c r="B103" s="367">
        <v>902</v>
      </c>
      <c r="C103" s="371" t="s">
        <v>133</v>
      </c>
      <c r="D103" s="371" t="s">
        <v>155</v>
      </c>
      <c r="E103" s="371"/>
      <c r="F103" s="371"/>
      <c r="G103" s="369">
        <f>G114+G123+G104+G128</f>
        <v>6910.1</v>
      </c>
      <c r="H103" s="21">
        <f t="shared" ref="H103:I103" si="53">H114+H123+H104+H128</f>
        <v>5732.6</v>
      </c>
      <c r="I103" s="21">
        <f t="shared" si="53"/>
        <v>5732.6</v>
      </c>
    </row>
    <row r="104" spans="1:9" s="222" customFormat="1" ht="19.5" customHeight="1" x14ac:dyDescent="0.25">
      <c r="A104" s="370" t="s">
        <v>156</v>
      </c>
      <c r="B104" s="367">
        <v>902</v>
      </c>
      <c r="C104" s="371" t="s">
        <v>133</v>
      </c>
      <c r="D104" s="371" t="s">
        <v>155</v>
      </c>
      <c r="E104" s="371" t="s">
        <v>910</v>
      </c>
      <c r="F104" s="371"/>
      <c r="G104" s="369">
        <f>G105</f>
        <v>6757.1</v>
      </c>
      <c r="H104" s="21">
        <f t="shared" ref="H104:I104" si="54">H105</f>
        <v>5612.6</v>
      </c>
      <c r="I104" s="21">
        <f t="shared" si="54"/>
        <v>5612.6</v>
      </c>
    </row>
    <row r="105" spans="1:9" s="222" customFormat="1" ht="34.5" customHeight="1" x14ac:dyDescent="0.25">
      <c r="A105" s="370" t="s">
        <v>993</v>
      </c>
      <c r="B105" s="367">
        <v>902</v>
      </c>
      <c r="C105" s="371" t="s">
        <v>133</v>
      </c>
      <c r="D105" s="371" t="s">
        <v>155</v>
      </c>
      <c r="E105" s="371" t="s">
        <v>911</v>
      </c>
      <c r="F105" s="371"/>
      <c r="G105" s="369">
        <f>G106+G111</f>
        <v>6757.1</v>
      </c>
      <c r="H105" s="21">
        <f t="shared" ref="H105:I105" si="55">H106+H111</f>
        <v>5612.6</v>
      </c>
      <c r="I105" s="21">
        <f t="shared" si="55"/>
        <v>5612.6</v>
      </c>
    </row>
    <row r="106" spans="1:9" s="222" customFormat="1" ht="21.75" customHeight="1" x14ac:dyDescent="0.25">
      <c r="A106" s="372" t="s">
        <v>999</v>
      </c>
      <c r="B106" s="366">
        <v>902</v>
      </c>
      <c r="C106" s="368" t="s">
        <v>133</v>
      </c>
      <c r="D106" s="368" t="s">
        <v>155</v>
      </c>
      <c r="E106" s="368" t="s">
        <v>912</v>
      </c>
      <c r="F106" s="368"/>
      <c r="G106" s="373">
        <f>G107+G109</f>
        <v>6631.1</v>
      </c>
      <c r="H106" s="26">
        <f t="shared" ref="H106:I106" si="56">H107+H109</f>
        <v>5612.6</v>
      </c>
      <c r="I106" s="26">
        <f t="shared" si="56"/>
        <v>5612.6</v>
      </c>
    </row>
    <row r="107" spans="1:9" s="222" customFormat="1" ht="66.75" customHeight="1" x14ac:dyDescent="0.25">
      <c r="A107" s="372" t="s">
        <v>142</v>
      </c>
      <c r="B107" s="366">
        <v>902</v>
      </c>
      <c r="C107" s="368" t="s">
        <v>133</v>
      </c>
      <c r="D107" s="368" t="s">
        <v>155</v>
      </c>
      <c r="E107" s="368" t="s">
        <v>912</v>
      </c>
      <c r="F107" s="368" t="s">
        <v>143</v>
      </c>
      <c r="G107" s="373">
        <f>G108</f>
        <v>5420.1</v>
      </c>
      <c r="H107" s="26">
        <f t="shared" ref="H107:I107" si="57">H108</f>
        <v>4401.6000000000004</v>
      </c>
      <c r="I107" s="26">
        <f t="shared" si="57"/>
        <v>4401.6000000000004</v>
      </c>
    </row>
    <row r="108" spans="1:9" s="222" customFormat="1" ht="20.25" customHeight="1" x14ac:dyDescent="0.25">
      <c r="A108" s="372" t="s">
        <v>223</v>
      </c>
      <c r="B108" s="366">
        <v>902</v>
      </c>
      <c r="C108" s="368" t="s">
        <v>133</v>
      </c>
      <c r="D108" s="368" t="s">
        <v>155</v>
      </c>
      <c r="E108" s="368" t="s">
        <v>912</v>
      </c>
      <c r="F108" s="368" t="s">
        <v>224</v>
      </c>
      <c r="G108" s="374">
        <f>5343+77.1</f>
        <v>5420.1</v>
      </c>
      <c r="H108" s="27">
        <f t="shared" ref="H108:I108" si="58">5183-256.4-735.3+210.3</f>
        <v>4401.6000000000004</v>
      </c>
      <c r="I108" s="27">
        <f t="shared" si="58"/>
        <v>4401.6000000000004</v>
      </c>
    </row>
    <row r="109" spans="1:9" s="222" customFormat="1" ht="39.200000000000003" customHeight="1" x14ac:dyDescent="0.25">
      <c r="A109" s="372" t="s">
        <v>213</v>
      </c>
      <c r="B109" s="366">
        <v>902</v>
      </c>
      <c r="C109" s="368" t="s">
        <v>133</v>
      </c>
      <c r="D109" s="368" t="s">
        <v>155</v>
      </c>
      <c r="E109" s="368" t="s">
        <v>912</v>
      </c>
      <c r="F109" s="368" t="s">
        <v>147</v>
      </c>
      <c r="G109" s="373">
        <f>G110</f>
        <v>1211</v>
      </c>
      <c r="H109" s="26">
        <f t="shared" ref="H109:I109" si="59">H110</f>
        <v>1211</v>
      </c>
      <c r="I109" s="26">
        <f t="shared" si="59"/>
        <v>1211</v>
      </c>
    </row>
    <row r="110" spans="1:9" s="222" customFormat="1" ht="39.200000000000003" customHeight="1" x14ac:dyDescent="0.25">
      <c r="A110" s="372" t="s">
        <v>148</v>
      </c>
      <c r="B110" s="366">
        <v>902</v>
      </c>
      <c r="C110" s="368" t="s">
        <v>133</v>
      </c>
      <c r="D110" s="368" t="s">
        <v>155</v>
      </c>
      <c r="E110" s="368" t="s">
        <v>912</v>
      </c>
      <c r="F110" s="368" t="s">
        <v>149</v>
      </c>
      <c r="G110" s="374">
        <f>1174.7+113.8-77.5</f>
        <v>1211</v>
      </c>
      <c r="H110" s="27">
        <f t="shared" ref="H110:I110" si="60">1174.7+113.8-77.5</f>
        <v>1211</v>
      </c>
      <c r="I110" s="27">
        <f t="shared" si="60"/>
        <v>1211</v>
      </c>
    </row>
    <row r="111" spans="1:9" s="222" customFormat="1" ht="28.5" customHeight="1" x14ac:dyDescent="0.25">
      <c r="A111" s="372" t="s">
        <v>883</v>
      </c>
      <c r="B111" s="366">
        <v>902</v>
      </c>
      <c r="C111" s="368" t="s">
        <v>133</v>
      </c>
      <c r="D111" s="368" t="s">
        <v>155</v>
      </c>
      <c r="E111" s="368" t="s">
        <v>913</v>
      </c>
      <c r="F111" s="368"/>
      <c r="G111" s="373">
        <f>G112</f>
        <v>126</v>
      </c>
      <c r="H111" s="26">
        <f t="shared" ref="H111:I112" si="61">H112</f>
        <v>0</v>
      </c>
      <c r="I111" s="26">
        <f t="shared" si="61"/>
        <v>0</v>
      </c>
    </row>
    <row r="112" spans="1:9" s="222" customFormat="1" ht="63" customHeight="1" x14ac:dyDescent="0.25">
      <c r="A112" s="372" t="s">
        <v>142</v>
      </c>
      <c r="B112" s="366">
        <v>902</v>
      </c>
      <c r="C112" s="368" t="s">
        <v>133</v>
      </c>
      <c r="D112" s="368" t="s">
        <v>155</v>
      </c>
      <c r="E112" s="368" t="s">
        <v>913</v>
      </c>
      <c r="F112" s="368" t="s">
        <v>143</v>
      </c>
      <c r="G112" s="373">
        <f>G113</f>
        <v>126</v>
      </c>
      <c r="H112" s="26">
        <f t="shared" si="61"/>
        <v>0</v>
      </c>
      <c r="I112" s="26">
        <f t="shared" si="61"/>
        <v>0</v>
      </c>
    </row>
    <row r="113" spans="1:9" s="222" customFormat="1" ht="23.25" customHeight="1" x14ac:dyDescent="0.25">
      <c r="A113" s="372" t="s">
        <v>223</v>
      </c>
      <c r="B113" s="366">
        <v>902</v>
      </c>
      <c r="C113" s="368" t="s">
        <v>133</v>
      </c>
      <c r="D113" s="368" t="s">
        <v>155</v>
      </c>
      <c r="E113" s="368" t="s">
        <v>913</v>
      </c>
      <c r="F113" s="368" t="s">
        <v>224</v>
      </c>
      <c r="G113" s="373">
        <v>126</v>
      </c>
      <c r="H113" s="26"/>
      <c r="I113" s="26"/>
    </row>
    <row r="114" spans="1:9" ht="47.25" x14ac:dyDescent="0.25">
      <c r="A114" s="41" t="s">
        <v>1183</v>
      </c>
      <c r="B114" s="367">
        <v>902</v>
      </c>
      <c r="C114" s="371" t="s">
        <v>133</v>
      </c>
      <c r="D114" s="371" t="s">
        <v>155</v>
      </c>
      <c r="E114" s="371" t="s">
        <v>726</v>
      </c>
      <c r="F114" s="250"/>
      <c r="G114" s="369">
        <f>G115+G119</f>
        <v>43</v>
      </c>
      <c r="H114" s="21">
        <f t="shared" ref="H114:I114" si="62">H115+H119</f>
        <v>40</v>
      </c>
      <c r="I114" s="21">
        <f t="shared" si="62"/>
        <v>40</v>
      </c>
    </row>
    <row r="115" spans="1:9" s="222" customFormat="1" ht="47.25" customHeight="1" x14ac:dyDescent="0.25">
      <c r="A115" s="238" t="s">
        <v>890</v>
      </c>
      <c r="B115" s="367">
        <v>902</v>
      </c>
      <c r="C115" s="371" t="s">
        <v>133</v>
      </c>
      <c r="D115" s="371" t="s">
        <v>155</v>
      </c>
      <c r="E115" s="371" t="s">
        <v>896</v>
      </c>
      <c r="F115" s="250"/>
      <c r="G115" s="369">
        <f>G116</f>
        <v>28</v>
      </c>
      <c r="H115" s="21">
        <f t="shared" ref="H115:I117" si="63">H116</f>
        <v>25</v>
      </c>
      <c r="I115" s="21">
        <f t="shared" si="63"/>
        <v>25</v>
      </c>
    </row>
    <row r="116" spans="1:9" ht="36.75" customHeight="1" x14ac:dyDescent="0.25">
      <c r="A116" s="99" t="s">
        <v>797</v>
      </c>
      <c r="B116" s="366">
        <v>902</v>
      </c>
      <c r="C116" s="368" t="s">
        <v>133</v>
      </c>
      <c r="D116" s="368" t="s">
        <v>155</v>
      </c>
      <c r="E116" s="368" t="s">
        <v>891</v>
      </c>
      <c r="F116" s="32"/>
      <c r="G116" s="373">
        <f>G117</f>
        <v>28</v>
      </c>
      <c r="H116" s="26">
        <f t="shared" si="63"/>
        <v>25</v>
      </c>
      <c r="I116" s="26">
        <f t="shared" si="63"/>
        <v>25</v>
      </c>
    </row>
    <row r="117" spans="1:9" ht="31.5" x14ac:dyDescent="0.25">
      <c r="A117" s="372" t="s">
        <v>146</v>
      </c>
      <c r="B117" s="366">
        <v>902</v>
      </c>
      <c r="C117" s="368" t="s">
        <v>133</v>
      </c>
      <c r="D117" s="368" t="s">
        <v>155</v>
      </c>
      <c r="E117" s="368" t="s">
        <v>891</v>
      </c>
      <c r="F117" s="32" t="s">
        <v>147</v>
      </c>
      <c r="G117" s="373">
        <f>G118</f>
        <v>28</v>
      </c>
      <c r="H117" s="26">
        <f t="shared" si="63"/>
        <v>25</v>
      </c>
      <c r="I117" s="26">
        <f t="shared" si="63"/>
        <v>25</v>
      </c>
    </row>
    <row r="118" spans="1:9" ht="31.5" x14ac:dyDescent="0.25">
      <c r="A118" s="372" t="s">
        <v>148</v>
      </c>
      <c r="B118" s="366">
        <v>902</v>
      </c>
      <c r="C118" s="368" t="s">
        <v>133</v>
      </c>
      <c r="D118" s="368" t="s">
        <v>155</v>
      </c>
      <c r="E118" s="368" t="s">
        <v>891</v>
      </c>
      <c r="F118" s="32" t="s">
        <v>149</v>
      </c>
      <c r="G118" s="373">
        <v>28</v>
      </c>
      <c r="H118" s="26">
        <v>25</v>
      </c>
      <c r="I118" s="26">
        <v>25</v>
      </c>
    </row>
    <row r="119" spans="1:9" s="222" customFormat="1" ht="34.5" customHeight="1" x14ac:dyDescent="0.25">
      <c r="A119" s="239" t="s">
        <v>1186</v>
      </c>
      <c r="B119" s="367">
        <v>902</v>
      </c>
      <c r="C119" s="371" t="s">
        <v>133</v>
      </c>
      <c r="D119" s="371" t="s">
        <v>155</v>
      </c>
      <c r="E119" s="371" t="s">
        <v>897</v>
      </c>
      <c r="F119" s="250"/>
      <c r="G119" s="369">
        <f>G120</f>
        <v>15</v>
      </c>
      <c r="H119" s="21">
        <f t="shared" ref="H119:I121" si="64">H120</f>
        <v>15</v>
      </c>
      <c r="I119" s="21">
        <f t="shared" si="64"/>
        <v>15</v>
      </c>
    </row>
    <row r="120" spans="1:9" ht="39.200000000000003" customHeight="1" x14ac:dyDescent="0.25">
      <c r="A120" s="99" t="s">
        <v>798</v>
      </c>
      <c r="B120" s="366">
        <v>902</v>
      </c>
      <c r="C120" s="368" t="s">
        <v>133</v>
      </c>
      <c r="D120" s="368" t="s">
        <v>155</v>
      </c>
      <c r="E120" s="368" t="s">
        <v>892</v>
      </c>
      <c r="F120" s="32"/>
      <c r="G120" s="373">
        <f>G121</f>
        <v>15</v>
      </c>
      <c r="H120" s="26">
        <f t="shared" si="64"/>
        <v>15</v>
      </c>
      <c r="I120" s="26">
        <f t="shared" si="64"/>
        <v>15</v>
      </c>
    </row>
    <row r="121" spans="1:9" ht="31.7" customHeight="1" x14ac:dyDescent="0.25">
      <c r="A121" s="372" t="s">
        <v>146</v>
      </c>
      <c r="B121" s="366">
        <v>902</v>
      </c>
      <c r="C121" s="368" t="s">
        <v>133</v>
      </c>
      <c r="D121" s="368" t="s">
        <v>155</v>
      </c>
      <c r="E121" s="368" t="s">
        <v>892</v>
      </c>
      <c r="F121" s="32" t="s">
        <v>147</v>
      </c>
      <c r="G121" s="373">
        <f>G122</f>
        <v>15</v>
      </c>
      <c r="H121" s="26">
        <f t="shared" si="64"/>
        <v>15</v>
      </c>
      <c r="I121" s="26">
        <f t="shared" si="64"/>
        <v>15</v>
      </c>
    </row>
    <row r="122" spans="1:9" ht="32.25" customHeight="1" x14ac:dyDescent="0.25">
      <c r="A122" s="372" t="s">
        <v>148</v>
      </c>
      <c r="B122" s="366">
        <v>902</v>
      </c>
      <c r="C122" s="368" t="s">
        <v>133</v>
      </c>
      <c r="D122" s="368" t="s">
        <v>155</v>
      </c>
      <c r="E122" s="368" t="s">
        <v>892</v>
      </c>
      <c r="F122" s="32" t="s">
        <v>149</v>
      </c>
      <c r="G122" s="373">
        <v>15</v>
      </c>
      <c r="H122" s="26">
        <v>15</v>
      </c>
      <c r="I122" s="26">
        <v>15</v>
      </c>
    </row>
    <row r="123" spans="1:9" ht="68.25" customHeight="1" x14ac:dyDescent="0.25">
      <c r="A123" s="41" t="s">
        <v>1182</v>
      </c>
      <c r="B123" s="367">
        <v>902</v>
      </c>
      <c r="C123" s="8" t="s">
        <v>133</v>
      </c>
      <c r="D123" s="8" t="s">
        <v>155</v>
      </c>
      <c r="E123" s="384" t="s">
        <v>859</v>
      </c>
      <c r="F123" s="8"/>
      <c r="G123" s="369">
        <f>G125</f>
        <v>30</v>
      </c>
      <c r="H123" s="21">
        <f t="shared" ref="H123:I123" si="65">H125</f>
        <v>20</v>
      </c>
      <c r="I123" s="21">
        <f t="shared" si="65"/>
        <v>20</v>
      </c>
    </row>
    <row r="124" spans="1:9" s="222" customFormat="1" ht="35.450000000000003" customHeight="1" x14ac:dyDescent="0.25">
      <c r="A124" s="240" t="s">
        <v>898</v>
      </c>
      <c r="B124" s="367">
        <v>902</v>
      </c>
      <c r="C124" s="8" t="s">
        <v>133</v>
      </c>
      <c r="D124" s="8" t="s">
        <v>155</v>
      </c>
      <c r="E124" s="210" t="s">
        <v>1262</v>
      </c>
      <c r="F124" s="8"/>
      <c r="G124" s="369">
        <f>G125</f>
        <v>30</v>
      </c>
      <c r="H124" s="21">
        <f t="shared" ref="H124:I126" si="66">H125</f>
        <v>20</v>
      </c>
      <c r="I124" s="21">
        <f t="shared" si="66"/>
        <v>20</v>
      </c>
    </row>
    <row r="125" spans="1:9" ht="31.7" customHeight="1" x14ac:dyDescent="0.25">
      <c r="A125" s="98" t="s">
        <v>186</v>
      </c>
      <c r="B125" s="366">
        <v>902</v>
      </c>
      <c r="C125" s="9" t="s">
        <v>133</v>
      </c>
      <c r="D125" s="9" t="s">
        <v>155</v>
      </c>
      <c r="E125" s="363" t="s">
        <v>899</v>
      </c>
      <c r="F125" s="9"/>
      <c r="G125" s="373">
        <f>G126</f>
        <v>30</v>
      </c>
      <c r="H125" s="26">
        <f t="shared" si="66"/>
        <v>20</v>
      </c>
      <c r="I125" s="26">
        <f t="shared" si="66"/>
        <v>20</v>
      </c>
    </row>
    <row r="126" spans="1:9" ht="35.450000000000003" customHeight="1" x14ac:dyDescent="0.25">
      <c r="A126" s="372" t="s">
        <v>146</v>
      </c>
      <c r="B126" s="366">
        <v>902</v>
      </c>
      <c r="C126" s="9" t="s">
        <v>133</v>
      </c>
      <c r="D126" s="9" t="s">
        <v>155</v>
      </c>
      <c r="E126" s="363" t="s">
        <v>899</v>
      </c>
      <c r="F126" s="9" t="s">
        <v>147</v>
      </c>
      <c r="G126" s="373">
        <f>G127</f>
        <v>30</v>
      </c>
      <c r="H126" s="26">
        <f t="shared" si="66"/>
        <v>20</v>
      </c>
      <c r="I126" s="26">
        <f t="shared" si="66"/>
        <v>20</v>
      </c>
    </row>
    <row r="127" spans="1:9" ht="33" customHeight="1" x14ac:dyDescent="0.25">
      <c r="A127" s="372" t="s">
        <v>148</v>
      </c>
      <c r="B127" s="366">
        <v>902</v>
      </c>
      <c r="C127" s="9" t="s">
        <v>133</v>
      </c>
      <c r="D127" s="9" t="s">
        <v>155</v>
      </c>
      <c r="E127" s="363" t="s">
        <v>899</v>
      </c>
      <c r="F127" s="9" t="s">
        <v>149</v>
      </c>
      <c r="G127" s="373">
        <v>30</v>
      </c>
      <c r="H127" s="26">
        <v>20</v>
      </c>
      <c r="I127" s="26">
        <v>20</v>
      </c>
    </row>
    <row r="128" spans="1:9" s="222" customFormat="1" ht="63" x14ac:dyDescent="0.25">
      <c r="A128" s="41" t="s">
        <v>1184</v>
      </c>
      <c r="B128" s="367">
        <v>902</v>
      </c>
      <c r="C128" s="8" t="s">
        <v>133</v>
      </c>
      <c r="D128" s="8" t="s">
        <v>155</v>
      </c>
      <c r="E128" s="210" t="s">
        <v>860</v>
      </c>
      <c r="F128" s="8"/>
      <c r="G128" s="369">
        <f>G130</f>
        <v>80</v>
      </c>
      <c r="H128" s="21">
        <f t="shared" ref="H128:I128" si="67">H130</f>
        <v>60</v>
      </c>
      <c r="I128" s="21">
        <f t="shared" si="67"/>
        <v>60</v>
      </c>
    </row>
    <row r="129" spans="1:9" s="222" customFormat="1" ht="31.5" x14ac:dyDescent="0.25">
      <c r="A129" s="58" t="s">
        <v>900</v>
      </c>
      <c r="B129" s="367">
        <v>902</v>
      </c>
      <c r="C129" s="8" t="s">
        <v>133</v>
      </c>
      <c r="D129" s="8" t="s">
        <v>155</v>
      </c>
      <c r="E129" s="210" t="s">
        <v>908</v>
      </c>
      <c r="F129" s="8"/>
      <c r="G129" s="369">
        <f>G130</f>
        <v>80</v>
      </c>
      <c r="H129" s="21">
        <f t="shared" ref="H129:I131" si="68">H130</f>
        <v>60</v>
      </c>
      <c r="I129" s="21">
        <f t="shared" si="68"/>
        <v>60</v>
      </c>
    </row>
    <row r="130" spans="1:9" s="222" customFormat="1" ht="15.75" x14ac:dyDescent="0.25">
      <c r="A130" s="45" t="s">
        <v>865</v>
      </c>
      <c r="B130" s="366">
        <v>902</v>
      </c>
      <c r="C130" s="9" t="s">
        <v>133</v>
      </c>
      <c r="D130" s="9" t="s">
        <v>155</v>
      </c>
      <c r="E130" s="363" t="s">
        <v>901</v>
      </c>
      <c r="F130" s="9"/>
      <c r="G130" s="373">
        <f>G131</f>
        <v>80</v>
      </c>
      <c r="H130" s="26">
        <f t="shared" si="68"/>
        <v>60</v>
      </c>
      <c r="I130" s="26">
        <f t="shared" si="68"/>
        <v>60</v>
      </c>
    </row>
    <row r="131" spans="1:9" s="222" customFormat="1" ht="31.5" x14ac:dyDescent="0.25">
      <c r="A131" s="372" t="s">
        <v>146</v>
      </c>
      <c r="B131" s="366">
        <v>902</v>
      </c>
      <c r="C131" s="9" t="s">
        <v>133</v>
      </c>
      <c r="D131" s="9" t="s">
        <v>155</v>
      </c>
      <c r="E131" s="363" t="s">
        <v>901</v>
      </c>
      <c r="F131" s="9" t="s">
        <v>147</v>
      </c>
      <c r="G131" s="373">
        <f>G132</f>
        <v>80</v>
      </c>
      <c r="H131" s="26">
        <f t="shared" si="68"/>
        <v>60</v>
      </c>
      <c r="I131" s="26">
        <f t="shared" si="68"/>
        <v>60</v>
      </c>
    </row>
    <row r="132" spans="1:9" s="222" customFormat="1" ht="31.5" x14ac:dyDescent="0.25">
      <c r="A132" s="372" t="s">
        <v>148</v>
      </c>
      <c r="B132" s="366">
        <v>902</v>
      </c>
      <c r="C132" s="9" t="s">
        <v>133</v>
      </c>
      <c r="D132" s="9" t="s">
        <v>155</v>
      </c>
      <c r="E132" s="363" t="s">
        <v>901</v>
      </c>
      <c r="F132" s="9" t="s">
        <v>149</v>
      </c>
      <c r="G132" s="373">
        <v>80</v>
      </c>
      <c r="H132" s="26">
        <v>60</v>
      </c>
      <c r="I132" s="26">
        <v>60</v>
      </c>
    </row>
    <row r="133" spans="1:9" ht="15.75" hidden="1" customHeight="1" x14ac:dyDescent="0.25">
      <c r="A133" s="370" t="s">
        <v>227</v>
      </c>
      <c r="B133" s="367">
        <v>902</v>
      </c>
      <c r="C133" s="371" t="s">
        <v>228</v>
      </c>
      <c r="D133" s="371"/>
      <c r="E133" s="371"/>
      <c r="F133" s="371"/>
      <c r="G133" s="369">
        <f t="shared" ref="G133:I138" si="69">G134</f>
        <v>0</v>
      </c>
      <c r="H133" s="21">
        <f t="shared" si="69"/>
        <v>0</v>
      </c>
      <c r="I133" s="21">
        <f t="shared" si="69"/>
        <v>0</v>
      </c>
    </row>
    <row r="134" spans="1:9" ht="20.25" hidden="1" customHeight="1" x14ac:dyDescent="0.25">
      <c r="A134" s="370" t="s">
        <v>233</v>
      </c>
      <c r="B134" s="367">
        <v>902</v>
      </c>
      <c r="C134" s="371" t="s">
        <v>228</v>
      </c>
      <c r="D134" s="371" t="s">
        <v>234</v>
      </c>
      <c r="E134" s="371"/>
      <c r="F134" s="371"/>
      <c r="G134" s="369">
        <f t="shared" si="69"/>
        <v>0</v>
      </c>
      <c r="H134" s="21">
        <f t="shared" si="69"/>
        <v>0</v>
      </c>
      <c r="I134" s="21">
        <f t="shared" si="69"/>
        <v>0</v>
      </c>
    </row>
    <row r="135" spans="1:9" ht="15.75" hidden="1" customHeight="1" x14ac:dyDescent="0.25">
      <c r="A135" s="370" t="s">
        <v>156</v>
      </c>
      <c r="B135" s="367">
        <v>902</v>
      </c>
      <c r="C135" s="371" t="s">
        <v>228</v>
      </c>
      <c r="D135" s="371" t="s">
        <v>234</v>
      </c>
      <c r="E135" s="371" t="s">
        <v>910</v>
      </c>
      <c r="F135" s="371"/>
      <c r="G135" s="369">
        <f t="shared" si="69"/>
        <v>0</v>
      </c>
      <c r="H135" s="21">
        <f t="shared" si="69"/>
        <v>0</v>
      </c>
      <c r="I135" s="21">
        <f t="shared" si="69"/>
        <v>0</v>
      </c>
    </row>
    <row r="136" spans="1:9" ht="33.75" hidden="1" customHeight="1" x14ac:dyDescent="0.25">
      <c r="A136" s="370" t="s">
        <v>914</v>
      </c>
      <c r="B136" s="367">
        <v>902</v>
      </c>
      <c r="C136" s="371" t="s">
        <v>228</v>
      </c>
      <c r="D136" s="371" t="s">
        <v>234</v>
      </c>
      <c r="E136" s="371" t="s">
        <v>909</v>
      </c>
      <c r="F136" s="371"/>
      <c r="G136" s="369">
        <f t="shared" si="69"/>
        <v>0</v>
      </c>
      <c r="H136" s="21">
        <f t="shared" si="69"/>
        <v>0</v>
      </c>
      <c r="I136" s="21">
        <f t="shared" si="69"/>
        <v>0</v>
      </c>
    </row>
    <row r="137" spans="1:9" ht="15.75" hidden="1" customHeight="1" x14ac:dyDescent="0.25">
      <c r="A137" s="372" t="s">
        <v>235</v>
      </c>
      <c r="B137" s="366">
        <v>902</v>
      </c>
      <c r="C137" s="368" t="s">
        <v>228</v>
      </c>
      <c r="D137" s="368" t="s">
        <v>234</v>
      </c>
      <c r="E137" s="368" t="s">
        <v>915</v>
      </c>
      <c r="F137" s="368"/>
      <c r="G137" s="373">
        <f t="shared" si="69"/>
        <v>0</v>
      </c>
      <c r="H137" s="26">
        <f t="shared" si="69"/>
        <v>0</v>
      </c>
      <c r="I137" s="26">
        <f t="shared" si="69"/>
        <v>0</v>
      </c>
    </row>
    <row r="138" spans="1:9" ht="33.75" hidden="1" customHeight="1" x14ac:dyDescent="0.25">
      <c r="A138" s="372" t="s">
        <v>213</v>
      </c>
      <c r="B138" s="366">
        <v>902</v>
      </c>
      <c r="C138" s="368" t="s">
        <v>228</v>
      </c>
      <c r="D138" s="368" t="s">
        <v>234</v>
      </c>
      <c r="E138" s="368" t="s">
        <v>915</v>
      </c>
      <c r="F138" s="368" t="s">
        <v>147</v>
      </c>
      <c r="G138" s="373">
        <f t="shared" si="69"/>
        <v>0</v>
      </c>
      <c r="H138" s="26">
        <f t="shared" si="69"/>
        <v>0</v>
      </c>
      <c r="I138" s="26">
        <f t="shared" si="69"/>
        <v>0</v>
      </c>
    </row>
    <row r="139" spans="1:9" ht="40.700000000000003" hidden="1" customHeight="1" x14ac:dyDescent="0.25">
      <c r="A139" s="372" t="s">
        <v>148</v>
      </c>
      <c r="B139" s="366">
        <v>902</v>
      </c>
      <c r="C139" s="368" t="s">
        <v>228</v>
      </c>
      <c r="D139" s="368" t="s">
        <v>234</v>
      </c>
      <c r="E139" s="368" t="s">
        <v>915</v>
      </c>
      <c r="F139" s="368" t="s">
        <v>149</v>
      </c>
      <c r="G139" s="374">
        <v>0</v>
      </c>
      <c r="H139" s="27">
        <v>0</v>
      </c>
      <c r="I139" s="27">
        <v>0</v>
      </c>
    </row>
    <row r="140" spans="1:9" ht="31.5" x14ac:dyDescent="0.25">
      <c r="A140" s="370" t="s">
        <v>237</v>
      </c>
      <c r="B140" s="367">
        <v>902</v>
      </c>
      <c r="C140" s="371" t="s">
        <v>230</v>
      </c>
      <c r="D140" s="371"/>
      <c r="E140" s="371"/>
      <c r="F140" s="371"/>
      <c r="G140" s="369">
        <f>G141</f>
        <v>8012.5999999999995</v>
      </c>
      <c r="H140" s="21">
        <f t="shared" ref="H140:I141" si="70">H141</f>
        <v>8309.9</v>
      </c>
      <c r="I140" s="21">
        <f t="shared" si="70"/>
        <v>8309.9</v>
      </c>
    </row>
    <row r="141" spans="1:9" ht="47.25" customHeight="1" x14ac:dyDescent="0.25">
      <c r="A141" s="370" t="s">
        <v>238</v>
      </c>
      <c r="B141" s="367">
        <v>902</v>
      </c>
      <c r="C141" s="371" t="s">
        <v>230</v>
      </c>
      <c r="D141" s="371" t="s">
        <v>234</v>
      </c>
      <c r="E141" s="368"/>
      <c r="F141" s="368"/>
      <c r="G141" s="369">
        <f>G142</f>
        <v>8012.5999999999995</v>
      </c>
      <c r="H141" s="21">
        <f t="shared" si="70"/>
        <v>8309.9</v>
      </c>
      <c r="I141" s="21">
        <f t="shared" si="70"/>
        <v>8309.9</v>
      </c>
    </row>
    <row r="142" spans="1:9" ht="15.75" x14ac:dyDescent="0.25">
      <c r="A142" s="370" t="s">
        <v>156</v>
      </c>
      <c r="B142" s="367">
        <v>902</v>
      </c>
      <c r="C142" s="371" t="s">
        <v>230</v>
      </c>
      <c r="D142" s="371" t="s">
        <v>234</v>
      </c>
      <c r="E142" s="371" t="s">
        <v>910</v>
      </c>
      <c r="F142" s="371"/>
      <c r="G142" s="369">
        <f>G143+G150</f>
        <v>8012.5999999999995</v>
      </c>
      <c r="H142" s="21">
        <f t="shared" ref="H142:I142" si="71">H143+H150</f>
        <v>8309.9</v>
      </c>
      <c r="I142" s="21">
        <f t="shared" si="71"/>
        <v>8309.9</v>
      </c>
    </row>
    <row r="143" spans="1:9" s="222" customFormat="1" ht="31.5" x14ac:dyDescent="0.25">
      <c r="A143" s="370" t="s">
        <v>914</v>
      </c>
      <c r="B143" s="367">
        <v>902</v>
      </c>
      <c r="C143" s="371" t="s">
        <v>230</v>
      </c>
      <c r="D143" s="371" t="s">
        <v>234</v>
      </c>
      <c r="E143" s="371" t="s">
        <v>909</v>
      </c>
      <c r="F143" s="371"/>
      <c r="G143" s="369">
        <f>G144+G147</f>
        <v>1982</v>
      </c>
      <c r="H143" s="21">
        <f t="shared" ref="H143:I143" si="72">H144+H147</f>
        <v>2250.5</v>
      </c>
      <c r="I143" s="21">
        <f t="shared" si="72"/>
        <v>2250.5</v>
      </c>
    </row>
    <row r="144" spans="1:9" s="222" customFormat="1" ht="31.5" x14ac:dyDescent="0.25">
      <c r="A144" s="372" t="s">
        <v>239</v>
      </c>
      <c r="B144" s="366">
        <v>902</v>
      </c>
      <c r="C144" s="368" t="s">
        <v>230</v>
      </c>
      <c r="D144" s="368" t="s">
        <v>234</v>
      </c>
      <c r="E144" s="368" t="s">
        <v>919</v>
      </c>
      <c r="F144" s="368"/>
      <c r="G144" s="373">
        <f>G145</f>
        <v>1785</v>
      </c>
      <c r="H144" s="26">
        <f t="shared" ref="H144:I145" si="73">H145</f>
        <v>2053.5</v>
      </c>
      <c r="I144" s="26">
        <f t="shared" si="73"/>
        <v>2053.5</v>
      </c>
    </row>
    <row r="145" spans="1:9" s="222" customFormat="1" ht="31.5" x14ac:dyDescent="0.25">
      <c r="A145" s="372" t="s">
        <v>213</v>
      </c>
      <c r="B145" s="366">
        <v>902</v>
      </c>
      <c r="C145" s="368" t="s">
        <v>230</v>
      </c>
      <c r="D145" s="368" t="s">
        <v>234</v>
      </c>
      <c r="E145" s="368" t="s">
        <v>919</v>
      </c>
      <c r="F145" s="368" t="s">
        <v>147</v>
      </c>
      <c r="G145" s="373">
        <f>G146</f>
        <v>1785</v>
      </c>
      <c r="H145" s="26">
        <f t="shared" si="73"/>
        <v>2053.5</v>
      </c>
      <c r="I145" s="26">
        <f t="shared" si="73"/>
        <v>2053.5</v>
      </c>
    </row>
    <row r="146" spans="1:9" s="222" customFormat="1" ht="31.5" x14ac:dyDescent="0.25">
      <c r="A146" s="372" t="s">
        <v>148</v>
      </c>
      <c r="B146" s="366">
        <v>902</v>
      </c>
      <c r="C146" s="368" t="s">
        <v>230</v>
      </c>
      <c r="D146" s="368" t="s">
        <v>234</v>
      </c>
      <c r="E146" s="368" t="s">
        <v>919</v>
      </c>
      <c r="F146" s="368" t="s">
        <v>149</v>
      </c>
      <c r="G146" s="290">
        <v>1785</v>
      </c>
      <c r="H146" s="290">
        <v>2053.5</v>
      </c>
      <c r="I146" s="290">
        <v>2053.5</v>
      </c>
    </row>
    <row r="147" spans="1:9" s="222" customFormat="1" ht="15.75" x14ac:dyDescent="0.25">
      <c r="A147" s="372" t="s">
        <v>245</v>
      </c>
      <c r="B147" s="366">
        <v>902</v>
      </c>
      <c r="C147" s="368" t="s">
        <v>230</v>
      </c>
      <c r="D147" s="368" t="s">
        <v>234</v>
      </c>
      <c r="E147" s="368" t="s">
        <v>920</v>
      </c>
      <c r="F147" s="368"/>
      <c r="G147" s="374">
        <f>G148</f>
        <v>197</v>
      </c>
      <c r="H147" s="27">
        <f t="shared" ref="H147:I148" si="74">H148</f>
        <v>197</v>
      </c>
      <c r="I147" s="27">
        <f t="shared" si="74"/>
        <v>197</v>
      </c>
    </row>
    <row r="148" spans="1:9" s="222" customFormat="1" ht="31.5" x14ac:dyDescent="0.25">
      <c r="A148" s="372" t="s">
        <v>213</v>
      </c>
      <c r="B148" s="366">
        <v>902</v>
      </c>
      <c r="C148" s="368" t="s">
        <v>230</v>
      </c>
      <c r="D148" s="368" t="s">
        <v>234</v>
      </c>
      <c r="E148" s="368" t="s">
        <v>920</v>
      </c>
      <c r="F148" s="368" t="s">
        <v>147</v>
      </c>
      <c r="G148" s="374">
        <f>G149</f>
        <v>197</v>
      </c>
      <c r="H148" s="27">
        <f t="shared" si="74"/>
        <v>197</v>
      </c>
      <c r="I148" s="27">
        <f t="shared" si="74"/>
        <v>197</v>
      </c>
    </row>
    <row r="149" spans="1:9" s="222" customFormat="1" ht="31.5" x14ac:dyDescent="0.25">
      <c r="A149" s="372" t="s">
        <v>148</v>
      </c>
      <c r="B149" s="366">
        <v>902</v>
      </c>
      <c r="C149" s="368" t="s">
        <v>230</v>
      </c>
      <c r="D149" s="368" t="s">
        <v>234</v>
      </c>
      <c r="E149" s="368" t="s">
        <v>920</v>
      </c>
      <c r="F149" s="368" t="s">
        <v>149</v>
      </c>
      <c r="G149" s="374">
        <f>99+98</f>
        <v>197</v>
      </c>
      <c r="H149" s="27">
        <f t="shared" ref="H149:I149" si="75">99+98</f>
        <v>197</v>
      </c>
      <c r="I149" s="27">
        <f t="shared" si="75"/>
        <v>197</v>
      </c>
    </row>
    <row r="150" spans="1:9" s="222" customFormat="1" ht="34.5" customHeight="1" x14ac:dyDescent="0.25">
      <c r="A150" s="370" t="s">
        <v>994</v>
      </c>
      <c r="B150" s="367">
        <v>902</v>
      </c>
      <c r="C150" s="371" t="s">
        <v>230</v>
      </c>
      <c r="D150" s="371" t="s">
        <v>234</v>
      </c>
      <c r="E150" s="371" t="s">
        <v>916</v>
      </c>
      <c r="F150" s="371"/>
      <c r="G150" s="369">
        <f>G151+G156</f>
        <v>6030.5999999999995</v>
      </c>
      <c r="H150" s="21">
        <f t="shared" ref="H150:I150" si="76">H151+H156</f>
        <v>6059.4</v>
      </c>
      <c r="I150" s="21">
        <f t="shared" si="76"/>
        <v>6059.4</v>
      </c>
    </row>
    <row r="151" spans="1:9" s="222" customFormat="1" ht="31.5" x14ac:dyDescent="0.25">
      <c r="A151" s="372" t="s">
        <v>998</v>
      </c>
      <c r="B151" s="366">
        <v>902</v>
      </c>
      <c r="C151" s="368" t="s">
        <v>230</v>
      </c>
      <c r="D151" s="368" t="s">
        <v>234</v>
      </c>
      <c r="E151" s="368" t="s">
        <v>917</v>
      </c>
      <c r="F151" s="368"/>
      <c r="G151" s="373">
        <f>G152+G154</f>
        <v>5778.5999999999995</v>
      </c>
      <c r="H151" s="26">
        <f t="shared" ref="H151:I151" si="77">H152+H154</f>
        <v>6059.4</v>
      </c>
      <c r="I151" s="26">
        <f t="shared" si="77"/>
        <v>6059.4</v>
      </c>
    </row>
    <row r="152" spans="1:9" s="222" customFormat="1" ht="63" x14ac:dyDescent="0.25">
      <c r="A152" s="372" t="s">
        <v>142</v>
      </c>
      <c r="B152" s="366">
        <v>902</v>
      </c>
      <c r="C152" s="368" t="s">
        <v>230</v>
      </c>
      <c r="D152" s="368" t="s">
        <v>234</v>
      </c>
      <c r="E152" s="368" t="s">
        <v>917</v>
      </c>
      <c r="F152" s="368" t="s">
        <v>143</v>
      </c>
      <c r="G152" s="373">
        <f>G153</f>
        <v>5615.5999999999995</v>
      </c>
      <c r="H152" s="26">
        <f t="shared" ref="H152:I152" si="78">H153</f>
        <v>4817.5</v>
      </c>
      <c r="I152" s="26">
        <f t="shared" si="78"/>
        <v>4817.5</v>
      </c>
    </row>
    <row r="153" spans="1:9" s="222" customFormat="1" ht="15.75" x14ac:dyDescent="0.25">
      <c r="A153" s="372" t="s">
        <v>223</v>
      </c>
      <c r="B153" s="366">
        <v>902</v>
      </c>
      <c r="C153" s="368" t="s">
        <v>230</v>
      </c>
      <c r="D153" s="368" t="s">
        <v>234</v>
      </c>
      <c r="E153" s="368" t="s">
        <v>917</v>
      </c>
      <c r="F153" s="368" t="s">
        <v>224</v>
      </c>
      <c r="G153" s="374">
        <f>5525+79.7+10.9</f>
        <v>5615.5999999999995</v>
      </c>
      <c r="H153" s="27">
        <f t="shared" ref="H153:I153" si="79">4620+142.6-241.1+11.1+284.9</f>
        <v>4817.5</v>
      </c>
      <c r="I153" s="27">
        <f t="shared" si="79"/>
        <v>4817.5</v>
      </c>
    </row>
    <row r="154" spans="1:9" s="222" customFormat="1" ht="31.5" x14ac:dyDescent="0.25">
      <c r="A154" s="372" t="s">
        <v>213</v>
      </c>
      <c r="B154" s="366">
        <v>902</v>
      </c>
      <c r="C154" s="368" t="s">
        <v>230</v>
      </c>
      <c r="D154" s="368" t="s">
        <v>234</v>
      </c>
      <c r="E154" s="368" t="s">
        <v>917</v>
      </c>
      <c r="F154" s="368" t="s">
        <v>147</v>
      </c>
      <c r="G154" s="373">
        <f>G155</f>
        <v>163</v>
      </c>
      <c r="H154" s="26">
        <f t="shared" ref="H154:I154" si="80">H155</f>
        <v>1241.9000000000001</v>
      </c>
      <c r="I154" s="26">
        <f t="shared" si="80"/>
        <v>1241.9000000000001</v>
      </c>
    </row>
    <row r="155" spans="1:9" s="222" customFormat="1" ht="31.5" x14ac:dyDescent="0.25">
      <c r="A155" s="372" t="s">
        <v>148</v>
      </c>
      <c r="B155" s="366">
        <v>902</v>
      </c>
      <c r="C155" s="368" t="s">
        <v>230</v>
      </c>
      <c r="D155" s="368" t="s">
        <v>234</v>
      </c>
      <c r="E155" s="368" t="s">
        <v>917</v>
      </c>
      <c r="F155" s="368" t="s">
        <v>149</v>
      </c>
      <c r="G155" s="374">
        <v>163</v>
      </c>
      <c r="H155" s="27">
        <f t="shared" ref="H155:I155" si="81">3101-1859.1</f>
        <v>1241.9000000000001</v>
      </c>
      <c r="I155" s="27">
        <f t="shared" si="81"/>
        <v>1241.9000000000001</v>
      </c>
    </row>
    <row r="156" spans="1:9" s="222" customFormat="1" ht="31.5" x14ac:dyDescent="0.25">
      <c r="A156" s="372" t="s">
        <v>883</v>
      </c>
      <c r="B156" s="366">
        <v>902</v>
      </c>
      <c r="C156" s="368" t="s">
        <v>230</v>
      </c>
      <c r="D156" s="368" t="s">
        <v>234</v>
      </c>
      <c r="E156" s="368" t="s">
        <v>918</v>
      </c>
      <c r="F156" s="368"/>
      <c r="G156" s="373">
        <f>G157</f>
        <v>252</v>
      </c>
      <c r="H156" s="26">
        <f t="shared" ref="H156:I157" si="82">H157</f>
        <v>0</v>
      </c>
      <c r="I156" s="26">
        <f t="shared" si="82"/>
        <v>0</v>
      </c>
    </row>
    <row r="157" spans="1:9" s="222" customFormat="1" ht="63" x14ac:dyDescent="0.25">
      <c r="A157" s="372" t="s">
        <v>142</v>
      </c>
      <c r="B157" s="366">
        <v>902</v>
      </c>
      <c r="C157" s="368" t="s">
        <v>230</v>
      </c>
      <c r="D157" s="368" t="s">
        <v>234</v>
      </c>
      <c r="E157" s="368" t="s">
        <v>918</v>
      </c>
      <c r="F157" s="368" t="s">
        <v>143</v>
      </c>
      <c r="G157" s="373">
        <f>G158</f>
        <v>252</v>
      </c>
      <c r="H157" s="26">
        <f t="shared" si="82"/>
        <v>0</v>
      </c>
      <c r="I157" s="26">
        <f t="shared" si="82"/>
        <v>0</v>
      </c>
    </row>
    <row r="158" spans="1:9" s="222" customFormat="1" ht="15.75" x14ac:dyDescent="0.25">
      <c r="A158" s="372" t="s">
        <v>223</v>
      </c>
      <c r="B158" s="366">
        <v>902</v>
      </c>
      <c r="C158" s="368" t="s">
        <v>230</v>
      </c>
      <c r="D158" s="368" t="s">
        <v>234</v>
      </c>
      <c r="E158" s="368" t="s">
        <v>918</v>
      </c>
      <c r="F158" s="368" t="s">
        <v>224</v>
      </c>
      <c r="G158" s="373">
        <v>252</v>
      </c>
      <c r="H158" s="26"/>
      <c r="I158" s="26"/>
    </row>
    <row r="159" spans="1:9" ht="15.75" x14ac:dyDescent="0.25">
      <c r="A159" s="370" t="s">
        <v>247</v>
      </c>
      <c r="B159" s="367">
        <v>902</v>
      </c>
      <c r="C159" s="371" t="s">
        <v>165</v>
      </c>
      <c r="D159" s="371"/>
      <c r="E159" s="371"/>
      <c r="F159" s="368"/>
      <c r="G159" s="369">
        <f>G173+G160</f>
        <v>594.79999999999995</v>
      </c>
      <c r="H159" s="21">
        <f t="shared" ref="H159:I159" si="83">H173+H160</f>
        <v>1256.3</v>
      </c>
      <c r="I159" s="21">
        <f t="shared" si="83"/>
        <v>1256.3</v>
      </c>
    </row>
    <row r="160" spans="1:9" ht="15.75" x14ac:dyDescent="0.25">
      <c r="A160" s="370" t="s">
        <v>248</v>
      </c>
      <c r="B160" s="367">
        <v>902</v>
      </c>
      <c r="C160" s="371" t="s">
        <v>165</v>
      </c>
      <c r="D160" s="371" t="s">
        <v>249</v>
      </c>
      <c r="E160" s="371"/>
      <c r="F160" s="368"/>
      <c r="G160" s="369">
        <f>G161</f>
        <v>306</v>
      </c>
      <c r="H160" s="21">
        <f t="shared" ref="H160:I160" si="84">H161</f>
        <v>355</v>
      </c>
      <c r="I160" s="21">
        <f t="shared" si="84"/>
        <v>355</v>
      </c>
    </row>
    <row r="161" spans="1:9" ht="45" customHeight="1" x14ac:dyDescent="0.25">
      <c r="A161" s="34" t="s">
        <v>196</v>
      </c>
      <c r="B161" s="367">
        <v>902</v>
      </c>
      <c r="C161" s="371" t="s">
        <v>165</v>
      </c>
      <c r="D161" s="371" t="s">
        <v>249</v>
      </c>
      <c r="E161" s="210" t="s">
        <v>197</v>
      </c>
      <c r="F161" s="250"/>
      <c r="G161" s="369">
        <f>G162+G169</f>
        <v>306</v>
      </c>
      <c r="H161" s="21">
        <f t="shared" ref="H161:I161" si="85">H162+H169</f>
        <v>355</v>
      </c>
      <c r="I161" s="21">
        <f t="shared" si="85"/>
        <v>355</v>
      </c>
    </row>
    <row r="162" spans="1:9" s="222" customFormat="1" ht="35.450000000000003" customHeight="1" x14ac:dyDescent="0.25">
      <c r="A162" s="34" t="s">
        <v>1157</v>
      </c>
      <c r="B162" s="367">
        <v>902</v>
      </c>
      <c r="C162" s="371" t="s">
        <v>165</v>
      </c>
      <c r="D162" s="371" t="s">
        <v>249</v>
      </c>
      <c r="E162" s="285" t="s">
        <v>921</v>
      </c>
      <c r="F162" s="250"/>
      <c r="G162" s="369">
        <f>G163+G166</f>
        <v>285</v>
      </c>
      <c r="H162" s="21">
        <f t="shared" ref="H162:I162" si="86">H163+H166</f>
        <v>256</v>
      </c>
      <c r="I162" s="21">
        <f t="shared" si="86"/>
        <v>256</v>
      </c>
    </row>
    <row r="163" spans="1:9" ht="15.75" x14ac:dyDescent="0.25">
      <c r="A163" s="372" t="s">
        <v>922</v>
      </c>
      <c r="B163" s="366">
        <v>902</v>
      </c>
      <c r="C163" s="368" t="s">
        <v>165</v>
      </c>
      <c r="D163" s="368" t="s">
        <v>249</v>
      </c>
      <c r="E163" s="368" t="s">
        <v>966</v>
      </c>
      <c r="F163" s="32"/>
      <c r="G163" s="373">
        <f>G164</f>
        <v>30</v>
      </c>
      <c r="H163" s="26">
        <f t="shared" ref="H163:I164" si="87">H164</f>
        <v>1</v>
      </c>
      <c r="I163" s="26">
        <f t="shared" si="87"/>
        <v>1</v>
      </c>
    </row>
    <row r="164" spans="1:9" ht="15.75" x14ac:dyDescent="0.25">
      <c r="A164" s="375" t="s">
        <v>150</v>
      </c>
      <c r="B164" s="366">
        <v>902</v>
      </c>
      <c r="C164" s="368" t="s">
        <v>165</v>
      </c>
      <c r="D164" s="368" t="s">
        <v>249</v>
      </c>
      <c r="E164" s="368" t="s">
        <v>966</v>
      </c>
      <c r="F164" s="32" t="s">
        <v>160</v>
      </c>
      <c r="G164" s="373">
        <f>G165</f>
        <v>30</v>
      </c>
      <c r="H164" s="26">
        <f t="shared" si="87"/>
        <v>1</v>
      </c>
      <c r="I164" s="26">
        <f t="shared" si="87"/>
        <v>1</v>
      </c>
    </row>
    <row r="165" spans="1:9" ht="47.25" x14ac:dyDescent="0.25">
      <c r="A165" s="375" t="s">
        <v>199</v>
      </c>
      <c r="B165" s="366">
        <v>902</v>
      </c>
      <c r="C165" s="368" t="s">
        <v>165</v>
      </c>
      <c r="D165" s="368" t="s">
        <v>249</v>
      </c>
      <c r="E165" s="368" t="s">
        <v>966</v>
      </c>
      <c r="F165" s="32" t="s">
        <v>175</v>
      </c>
      <c r="G165" s="373">
        <f>1+29</f>
        <v>30</v>
      </c>
      <c r="H165" s="26">
        <v>1</v>
      </c>
      <c r="I165" s="26">
        <v>1</v>
      </c>
    </row>
    <row r="166" spans="1:9" s="222" customFormat="1" ht="31.5" x14ac:dyDescent="0.25">
      <c r="A166" s="372" t="s">
        <v>250</v>
      </c>
      <c r="B166" s="366">
        <v>902</v>
      </c>
      <c r="C166" s="368" t="s">
        <v>165</v>
      </c>
      <c r="D166" s="368" t="s">
        <v>249</v>
      </c>
      <c r="E166" s="368" t="s">
        <v>925</v>
      </c>
      <c r="F166" s="368"/>
      <c r="G166" s="373">
        <f>G167</f>
        <v>255</v>
      </c>
      <c r="H166" s="26">
        <f t="shared" ref="H166:I167" si="88">H167</f>
        <v>255</v>
      </c>
      <c r="I166" s="26">
        <f t="shared" si="88"/>
        <v>255</v>
      </c>
    </row>
    <row r="167" spans="1:9" s="222" customFormat="1" ht="15.75" x14ac:dyDescent="0.25">
      <c r="A167" s="372" t="s">
        <v>150</v>
      </c>
      <c r="B167" s="366">
        <v>902</v>
      </c>
      <c r="C167" s="368" t="s">
        <v>165</v>
      </c>
      <c r="D167" s="368" t="s">
        <v>249</v>
      </c>
      <c r="E167" s="368" t="s">
        <v>925</v>
      </c>
      <c r="F167" s="368" t="s">
        <v>160</v>
      </c>
      <c r="G167" s="373">
        <f>G168</f>
        <v>255</v>
      </c>
      <c r="H167" s="26">
        <f t="shared" si="88"/>
        <v>255</v>
      </c>
      <c r="I167" s="26">
        <f t="shared" si="88"/>
        <v>255</v>
      </c>
    </row>
    <row r="168" spans="1:9" s="222" customFormat="1" ht="47.25" x14ac:dyDescent="0.25">
      <c r="A168" s="372" t="s">
        <v>199</v>
      </c>
      <c r="B168" s="366">
        <v>902</v>
      </c>
      <c r="C168" s="368" t="s">
        <v>165</v>
      </c>
      <c r="D168" s="368" t="s">
        <v>249</v>
      </c>
      <c r="E168" s="368" t="s">
        <v>925</v>
      </c>
      <c r="F168" s="368" t="s">
        <v>175</v>
      </c>
      <c r="G168" s="373">
        <v>255</v>
      </c>
      <c r="H168" s="26">
        <f>G168</f>
        <v>255</v>
      </c>
      <c r="I168" s="26">
        <f>H168</f>
        <v>255</v>
      </c>
    </row>
    <row r="169" spans="1:9" s="222" customFormat="1" ht="31.5" x14ac:dyDescent="0.25">
      <c r="A169" s="277" t="s">
        <v>1158</v>
      </c>
      <c r="B169" s="367">
        <v>902</v>
      </c>
      <c r="C169" s="371" t="s">
        <v>165</v>
      </c>
      <c r="D169" s="371" t="s">
        <v>249</v>
      </c>
      <c r="E169" s="210" t="s">
        <v>924</v>
      </c>
      <c r="F169" s="250"/>
      <c r="G169" s="369">
        <f>G170</f>
        <v>21</v>
      </c>
      <c r="H169" s="21">
        <f t="shared" ref="H169:I171" si="89">H170</f>
        <v>99</v>
      </c>
      <c r="I169" s="21">
        <f t="shared" si="89"/>
        <v>99</v>
      </c>
    </row>
    <row r="170" spans="1:9" s="222" customFormat="1" ht="15.75" x14ac:dyDescent="0.25">
      <c r="A170" s="372" t="s">
        <v>923</v>
      </c>
      <c r="B170" s="366">
        <v>902</v>
      </c>
      <c r="C170" s="368" t="s">
        <v>165</v>
      </c>
      <c r="D170" s="368" t="s">
        <v>249</v>
      </c>
      <c r="E170" s="363" t="s">
        <v>967</v>
      </c>
      <c r="F170" s="32"/>
      <c r="G170" s="373">
        <f>G171</f>
        <v>21</v>
      </c>
      <c r="H170" s="26">
        <f t="shared" si="89"/>
        <v>99</v>
      </c>
      <c r="I170" s="26">
        <f t="shared" si="89"/>
        <v>99</v>
      </c>
    </row>
    <row r="171" spans="1:9" s="222" customFormat="1" ht="15.75" x14ac:dyDescent="0.25">
      <c r="A171" s="375" t="s">
        <v>150</v>
      </c>
      <c r="B171" s="366">
        <v>902</v>
      </c>
      <c r="C171" s="368" t="s">
        <v>165</v>
      </c>
      <c r="D171" s="368" t="s">
        <v>249</v>
      </c>
      <c r="E171" s="363" t="s">
        <v>967</v>
      </c>
      <c r="F171" s="32" t="s">
        <v>160</v>
      </c>
      <c r="G171" s="373">
        <f>G172</f>
        <v>21</v>
      </c>
      <c r="H171" s="26">
        <f t="shared" si="89"/>
        <v>99</v>
      </c>
      <c r="I171" s="26">
        <f t="shared" si="89"/>
        <v>99</v>
      </c>
    </row>
    <row r="172" spans="1:9" s="222" customFormat="1" ht="47.25" x14ac:dyDescent="0.25">
      <c r="A172" s="375" t="s">
        <v>199</v>
      </c>
      <c r="B172" s="366">
        <v>902</v>
      </c>
      <c r="C172" s="368" t="s">
        <v>165</v>
      </c>
      <c r="D172" s="368" t="s">
        <v>249</v>
      </c>
      <c r="E172" s="363" t="s">
        <v>967</v>
      </c>
      <c r="F172" s="32" t="s">
        <v>175</v>
      </c>
      <c r="G172" s="373">
        <f>50-29</f>
        <v>21</v>
      </c>
      <c r="H172" s="26">
        <v>99</v>
      </c>
      <c r="I172" s="26">
        <v>99</v>
      </c>
    </row>
    <row r="173" spans="1:9" ht="15.75" x14ac:dyDescent="0.25">
      <c r="A173" s="370" t="s">
        <v>252</v>
      </c>
      <c r="B173" s="367">
        <v>902</v>
      </c>
      <c r="C173" s="371" t="s">
        <v>165</v>
      </c>
      <c r="D173" s="371" t="s">
        <v>253</v>
      </c>
      <c r="E173" s="371"/>
      <c r="F173" s="371"/>
      <c r="G173" s="369">
        <f>G174+G181</f>
        <v>288.8</v>
      </c>
      <c r="H173" s="21">
        <f t="shared" ref="H173:I173" si="90">H174+H181</f>
        <v>901.3</v>
      </c>
      <c r="I173" s="21">
        <f t="shared" si="90"/>
        <v>901.3</v>
      </c>
    </row>
    <row r="174" spans="1:9" ht="31.5" x14ac:dyDescent="0.25">
      <c r="A174" s="370" t="s">
        <v>988</v>
      </c>
      <c r="B174" s="367">
        <v>902</v>
      </c>
      <c r="C174" s="371" t="s">
        <v>165</v>
      </c>
      <c r="D174" s="371" t="s">
        <v>253</v>
      </c>
      <c r="E174" s="371" t="s">
        <v>902</v>
      </c>
      <c r="F174" s="371"/>
      <c r="G174" s="369">
        <f>G175</f>
        <v>288.8</v>
      </c>
      <c r="H174" s="21">
        <f t="shared" ref="H174:I174" si="91">H175</f>
        <v>901.3</v>
      </c>
      <c r="I174" s="21">
        <f t="shared" si="91"/>
        <v>901.3</v>
      </c>
    </row>
    <row r="175" spans="1:9" ht="31.5" x14ac:dyDescent="0.25">
      <c r="A175" s="370" t="s">
        <v>930</v>
      </c>
      <c r="B175" s="367">
        <v>902</v>
      </c>
      <c r="C175" s="371" t="s">
        <v>165</v>
      </c>
      <c r="D175" s="371" t="s">
        <v>253</v>
      </c>
      <c r="E175" s="371" t="s">
        <v>907</v>
      </c>
      <c r="F175" s="371"/>
      <c r="G175" s="369">
        <f>G176+G186</f>
        <v>288.8</v>
      </c>
      <c r="H175" s="21">
        <f t="shared" ref="H175:I175" si="92">H176+H186</f>
        <v>901.3</v>
      </c>
      <c r="I175" s="21">
        <f t="shared" si="92"/>
        <v>901.3</v>
      </c>
    </row>
    <row r="176" spans="1:9" ht="69.75" customHeight="1" x14ac:dyDescent="0.25">
      <c r="A176" s="31" t="s">
        <v>256</v>
      </c>
      <c r="B176" s="366">
        <v>902</v>
      </c>
      <c r="C176" s="368" t="s">
        <v>165</v>
      </c>
      <c r="D176" s="368" t="s">
        <v>253</v>
      </c>
      <c r="E176" s="368" t="s">
        <v>995</v>
      </c>
      <c r="F176" s="368"/>
      <c r="G176" s="373">
        <f>G177+G179</f>
        <v>288.8</v>
      </c>
      <c r="H176" s="26">
        <f t="shared" ref="H176:I176" si="93">H177+H179</f>
        <v>901.3</v>
      </c>
      <c r="I176" s="26">
        <f t="shared" si="93"/>
        <v>901.3</v>
      </c>
    </row>
    <row r="177" spans="1:9" ht="63" x14ac:dyDescent="0.25">
      <c r="A177" s="372" t="s">
        <v>142</v>
      </c>
      <c r="B177" s="366">
        <v>902</v>
      </c>
      <c r="C177" s="368" t="s">
        <v>165</v>
      </c>
      <c r="D177" s="368" t="s">
        <v>253</v>
      </c>
      <c r="E177" s="368" t="s">
        <v>995</v>
      </c>
      <c r="F177" s="368" t="s">
        <v>143</v>
      </c>
      <c r="G177" s="373">
        <f>G178</f>
        <v>187</v>
      </c>
      <c r="H177" s="26">
        <f t="shared" ref="H177:I177" si="94">H178</f>
        <v>689.3599999999999</v>
      </c>
      <c r="I177" s="26">
        <f t="shared" si="94"/>
        <v>689.3599999999999</v>
      </c>
    </row>
    <row r="178" spans="1:9" ht="31.5" x14ac:dyDescent="0.25">
      <c r="A178" s="372" t="s">
        <v>144</v>
      </c>
      <c r="B178" s="366">
        <v>902</v>
      </c>
      <c r="C178" s="368" t="s">
        <v>165</v>
      </c>
      <c r="D178" s="368" t="s">
        <v>253</v>
      </c>
      <c r="E178" s="368" t="s">
        <v>995</v>
      </c>
      <c r="F178" s="368" t="s">
        <v>145</v>
      </c>
      <c r="G178" s="373">
        <v>187</v>
      </c>
      <c r="H178" s="26">
        <f t="shared" ref="H178:I178" si="95">901.3-361.1+239.5-90.34</f>
        <v>689.3599999999999</v>
      </c>
      <c r="I178" s="26">
        <f t="shared" si="95"/>
        <v>689.3599999999999</v>
      </c>
    </row>
    <row r="179" spans="1:9" ht="31.5" x14ac:dyDescent="0.25">
      <c r="A179" s="372" t="s">
        <v>146</v>
      </c>
      <c r="B179" s="366">
        <v>902</v>
      </c>
      <c r="C179" s="368" t="s">
        <v>165</v>
      </c>
      <c r="D179" s="368" t="s">
        <v>253</v>
      </c>
      <c r="E179" s="368" t="s">
        <v>995</v>
      </c>
      <c r="F179" s="368" t="s">
        <v>147</v>
      </c>
      <c r="G179" s="373">
        <f>G180</f>
        <v>101.8</v>
      </c>
      <c r="H179" s="26">
        <f t="shared" ref="H179:I179" si="96">H180</f>
        <v>211.94000000000003</v>
      </c>
      <c r="I179" s="26">
        <f t="shared" si="96"/>
        <v>211.94000000000003</v>
      </c>
    </row>
    <row r="180" spans="1:9" ht="31.5" x14ac:dyDescent="0.25">
      <c r="A180" s="372" t="s">
        <v>148</v>
      </c>
      <c r="B180" s="366">
        <v>902</v>
      </c>
      <c r="C180" s="368" t="s">
        <v>165</v>
      </c>
      <c r="D180" s="368" t="s">
        <v>253</v>
      </c>
      <c r="E180" s="368" t="s">
        <v>995</v>
      </c>
      <c r="F180" s="368" t="s">
        <v>149</v>
      </c>
      <c r="G180" s="373">
        <v>101.8</v>
      </c>
      <c r="H180" s="26">
        <f t="shared" ref="H180:I180" si="97">361.1-239.5+90.34</f>
        <v>211.94000000000003</v>
      </c>
      <c r="I180" s="26">
        <f t="shared" si="97"/>
        <v>211.94000000000003</v>
      </c>
    </row>
    <row r="181" spans="1:9" s="222" customFormat="1" ht="47.25" hidden="1" x14ac:dyDescent="0.25">
      <c r="A181" s="370" t="s">
        <v>1239</v>
      </c>
      <c r="B181" s="367">
        <v>902</v>
      </c>
      <c r="C181" s="371" t="s">
        <v>165</v>
      </c>
      <c r="D181" s="371" t="s">
        <v>253</v>
      </c>
      <c r="E181" s="371" t="s">
        <v>171</v>
      </c>
      <c r="F181" s="371"/>
      <c r="G181" s="369">
        <f>G182</f>
        <v>0</v>
      </c>
      <c r="H181" s="21">
        <f t="shared" ref="H181:I181" si="98">H182</f>
        <v>0</v>
      </c>
      <c r="I181" s="21">
        <f t="shared" si="98"/>
        <v>0</v>
      </c>
    </row>
    <row r="182" spans="1:9" s="222" customFormat="1" ht="31.5" hidden="1" x14ac:dyDescent="0.25">
      <c r="A182" s="370" t="s">
        <v>1243</v>
      </c>
      <c r="B182" s="367">
        <v>902</v>
      </c>
      <c r="C182" s="371" t="s">
        <v>165</v>
      </c>
      <c r="D182" s="371" t="s">
        <v>253</v>
      </c>
      <c r="E182" s="371" t="s">
        <v>1240</v>
      </c>
      <c r="F182" s="371"/>
      <c r="G182" s="369">
        <f>G183+G186</f>
        <v>0</v>
      </c>
      <c r="H182" s="21">
        <f t="shared" ref="H182:I182" si="99">H183+H186</f>
        <v>0</v>
      </c>
      <c r="I182" s="21">
        <f t="shared" si="99"/>
        <v>0</v>
      </c>
    </row>
    <row r="183" spans="1:9" s="222" customFormat="1" ht="31.5" hidden="1" x14ac:dyDescent="0.25">
      <c r="A183" s="372" t="s">
        <v>1244</v>
      </c>
      <c r="B183" s="366">
        <v>902</v>
      </c>
      <c r="C183" s="368" t="s">
        <v>165</v>
      </c>
      <c r="D183" s="368" t="s">
        <v>253</v>
      </c>
      <c r="E183" s="368" t="s">
        <v>1241</v>
      </c>
      <c r="F183" s="368"/>
      <c r="G183" s="373">
        <f>G184</f>
        <v>0</v>
      </c>
      <c r="H183" s="26">
        <f t="shared" ref="H183:I184" si="100">H184</f>
        <v>0</v>
      </c>
      <c r="I183" s="26">
        <f t="shared" si="100"/>
        <v>0</v>
      </c>
    </row>
    <row r="184" spans="1:9" s="222" customFormat="1" ht="15.75" hidden="1" x14ac:dyDescent="0.25">
      <c r="A184" s="372" t="s">
        <v>150</v>
      </c>
      <c r="B184" s="366">
        <v>902</v>
      </c>
      <c r="C184" s="368" t="s">
        <v>165</v>
      </c>
      <c r="D184" s="368" t="s">
        <v>253</v>
      </c>
      <c r="E184" s="368" t="s">
        <v>1241</v>
      </c>
      <c r="F184" s="368" t="s">
        <v>160</v>
      </c>
      <c r="G184" s="373">
        <f>G185</f>
        <v>0</v>
      </c>
      <c r="H184" s="26">
        <f t="shared" si="100"/>
        <v>0</v>
      </c>
      <c r="I184" s="26">
        <f t="shared" si="100"/>
        <v>0</v>
      </c>
    </row>
    <row r="185" spans="1:9" s="222" customFormat="1" ht="47.25" hidden="1" x14ac:dyDescent="0.25">
      <c r="A185" s="372" t="s">
        <v>199</v>
      </c>
      <c r="B185" s="366">
        <v>902</v>
      </c>
      <c r="C185" s="368" t="s">
        <v>165</v>
      </c>
      <c r="D185" s="368" t="s">
        <v>253</v>
      </c>
      <c r="E185" s="368" t="s">
        <v>1241</v>
      </c>
      <c r="F185" s="368" t="s">
        <v>175</v>
      </c>
      <c r="G185" s="373">
        <v>0</v>
      </c>
      <c r="H185" s="26">
        <v>0</v>
      </c>
      <c r="I185" s="26">
        <v>0</v>
      </c>
    </row>
    <row r="186" spans="1:9" s="222" customFormat="1" ht="31.5" hidden="1" x14ac:dyDescent="0.25">
      <c r="A186" s="372" t="s">
        <v>254</v>
      </c>
      <c r="B186" s="366">
        <v>902</v>
      </c>
      <c r="C186" s="368" t="s">
        <v>165</v>
      </c>
      <c r="D186" s="368" t="s">
        <v>253</v>
      </c>
      <c r="E186" s="368" t="s">
        <v>1242</v>
      </c>
      <c r="F186" s="371"/>
      <c r="G186" s="373">
        <f>G187</f>
        <v>0</v>
      </c>
      <c r="H186" s="26">
        <f t="shared" ref="H186:I187" si="101">H187</f>
        <v>0</v>
      </c>
      <c r="I186" s="26">
        <f t="shared" si="101"/>
        <v>0</v>
      </c>
    </row>
    <row r="187" spans="1:9" s="222" customFormat="1" ht="15.75" hidden="1" x14ac:dyDescent="0.25">
      <c r="A187" s="372" t="s">
        <v>150</v>
      </c>
      <c r="B187" s="366">
        <v>902</v>
      </c>
      <c r="C187" s="368" t="s">
        <v>165</v>
      </c>
      <c r="D187" s="368" t="s">
        <v>253</v>
      </c>
      <c r="E187" s="368" t="s">
        <v>1242</v>
      </c>
      <c r="F187" s="368" t="s">
        <v>160</v>
      </c>
      <c r="G187" s="373">
        <f>G188</f>
        <v>0</v>
      </c>
      <c r="H187" s="26">
        <f t="shared" si="101"/>
        <v>0</v>
      </c>
      <c r="I187" s="26">
        <f t="shared" si="101"/>
        <v>0</v>
      </c>
    </row>
    <row r="188" spans="1:9" s="222" customFormat="1" ht="47.25" hidden="1" x14ac:dyDescent="0.25">
      <c r="A188" s="372" t="s">
        <v>199</v>
      </c>
      <c r="B188" s="366">
        <v>902</v>
      </c>
      <c r="C188" s="368" t="s">
        <v>165</v>
      </c>
      <c r="D188" s="368" t="s">
        <v>253</v>
      </c>
      <c r="E188" s="368" t="s">
        <v>1242</v>
      </c>
      <c r="F188" s="368" t="s">
        <v>175</v>
      </c>
      <c r="G188" s="373">
        <v>0</v>
      </c>
      <c r="H188" s="26">
        <v>0</v>
      </c>
      <c r="I188" s="26">
        <v>0</v>
      </c>
    </row>
    <row r="189" spans="1:9" ht="16.5" customHeight="1" x14ac:dyDescent="0.25">
      <c r="A189" s="370" t="s">
        <v>258</v>
      </c>
      <c r="B189" s="367">
        <v>902</v>
      </c>
      <c r="C189" s="371" t="s">
        <v>259</v>
      </c>
      <c r="D189" s="371"/>
      <c r="E189" s="371"/>
      <c r="F189" s="371"/>
      <c r="G189" s="369">
        <f>G190+G196+G202</f>
        <v>13087.4</v>
      </c>
      <c r="H189" s="21">
        <f t="shared" ref="H189:I189" si="102">H190+H196+H202</f>
        <v>12340.3</v>
      </c>
      <c r="I189" s="21">
        <f t="shared" si="102"/>
        <v>12340.3</v>
      </c>
    </row>
    <row r="190" spans="1:9" ht="15.75" x14ac:dyDescent="0.25">
      <c r="A190" s="370" t="s">
        <v>260</v>
      </c>
      <c r="B190" s="367">
        <v>902</v>
      </c>
      <c r="C190" s="371" t="s">
        <v>259</v>
      </c>
      <c r="D190" s="371" t="s">
        <v>133</v>
      </c>
      <c r="E190" s="371"/>
      <c r="F190" s="371"/>
      <c r="G190" s="369">
        <f>G191</f>
        <v>9456</v>
      </c>
      <c r="H190" s="21">
        <f t="shared" ref="H190:I194" si="103">H191</f>
        <v>9066.4</v>
      </c>
      <c r="I190" s="21">
        <f t="shared" si="103"/>
        <v>9066.4</v>
      </c>
    </row>
    <row r="191" spans="1:9" ht="15.75" x14ac:dyDescent="0.25">
      <c r="A191" s="370" t="s">
        <v>156</v>
      </c>
      <c r="B191" s="367">
        <v>902</v>
      </c>
      <c r="C191" s="371" t="s">
        <v>259</v>
      </c>
      <c r="D191" s="371" t="s">
        <v>133</v>
      </c>
      <c r="E191" s="371" t="s">
        <v>910</v>
      </c>
      <c r="F191" s="371"/>
      <c r="G191" s="369">
        <f>G192</f>
        <v>9456</v>
      </c>
      <c r="H191" s="21">
        <f t="shared" si="103"/>
        <v>9066.4</v>
      </c>
      <c r="I191" s="21">
        <f t="shared" si="103"/>
        <v>9066.4</v>
      </c>
    </row>
    <row r="192" spans="1:9" ht="31.5" x14ac:dyDescent="0.25">
      <c r="A192" s="370" t="s">
        <v>914</v>
      </c>
      <c r="B192" s="367">
        <v>902</v>
      </c>
      <c r="C192" s="371" t="s">
        <v>259</v>
      </c>
      <c r="D192" s="371" t="s">
        <v>133</v>
      </c>
      <c r="E192" s="371" t="s">
        <v>909</v>
      </c>
      <c r="F192" s="371"/>
      <c r="G192" s="369">
        <f>G193</f>
        <v>9456</v>
      </c>
      <c r="H192" s="21">
        <f t="shared" si="103"/>
        <v>9066.4</v>
      </c>
      <c r="I192" s="21">
        <f t="shared" si="103"/>
        <v>9066.4</v>
      </c>
    </row>
    <row r="193" spans="1:9" ht="15.75" x14ac:dyDescent="0.25">
      <c r="A193" s="372" t="s">
        <v>261</v>
      </c>
      <c r="B193" s="366">
        <v>902</v>
      </c>
      <c r="C193" s="368" t="s">
        <v>259</v>
      </c>
      <c r="D193" s="368" t="s">
        <v>133</v>
      </c>
      <c r="E193" s="368" t="s">
        <v>926</v>
      </c>
      <c r="F193" s="368"/>
      <c r="G193" s="373">
        <f>G194</f>
        <v>9456</v>
      </c>
      <c r="H193" s="26">
        <f t="shared" si="103"/>
        <v>9066.4</v>
      </c>
      <c r="I193" s="26">
        <f t="shared" si="103"/>
        <v>9066.4</v>
      </c>
    </row>
    <row r="194" spans="1:9" ht="15.75" x14ac:dyDescent="0.25">
      <c r="A194" s="372" t="s">
        <v>263</v>
      </c>
      <c r="B194" s="366">
        <v>902</v>
      </c>
      <c r="C194" s="368" t="s">
        <v>259</v>
      </c>
      <c r="D194" s="368" t="s">
        <v>133</v>
      </c>
      <c r="E194" s="368" t="s">
        <v>926</v>
      </c>
      <c r="F194" s="368" t="s">
        <v>264</v>
      </c>
      <c r="G194" s="373">
        <f>G195</f>
        <v>9456</v>
      </c>
      <c r="H194" s="26">
        <f t="shared" si="103"/>
        <v>9066.4</v>
      </c>
      <c r="I194" s="26">
        <f t="shared" si="103"/>
        <v>9066.4</v>
      </c>
    </row>
    <row r="195" spans="1:9" ht="31.5" x14ac:dyDescent="0.25">
      <c r="A195" s="372" t="s">
        <v>265</v>
      </c>
      <c r="B195" s="366">
        <v>902</v>
      </c>
      <c r="C195" s="368" t="s">
        <v>259</v>
      </c>
      <c r="D195" s="368" t="s">
        <v>133</v>
      </c>
      <c r="E195" s="368" t="s">
        <v>926</v>
      </c>
      <c r="F195" s="368" t="s">
        <v>266</v>
      </c>
      <c r="G195" s="374">
        <f>9066.4+389.6</f>
        <v>9456</v>
      </c>
      <c r="H195" s="27">
        <v>9066.4</v>
      </c>
      <c r="I195" s="27">
        <v>9066.4</v>
      </c>
    </row>
    <row r="196" spans="1:9" ht="15.75" x14ac:dyDescent="0.25">
      <c r="A196" s="370" t="s">
        <v>267</v>
      </c>
      <c r="B196" s="367">
        <v>902</v>
      </c>
      <c r="C196" s="371" t="s">
        <v>259</v>
      </c>
      <c r="D196" s="371" t="s">
        <v>230</v>
      </c>
      <c r="E196" s="368"/>
      <c r="F196" s="368"/>
      <c r="G196" s="369">
        <f>G197</f>
        <v>10</v>
      </c>
      <c r="H196" s="21">
        <f t="shared" ref="H196:I196" si="104">H197</f>
        <v>10</v>
      </c>
      <c r="I196" s="21">
        <f t="shared" si="104"/>
        <v>10</v>
      </c>
    </row>
    <row r="197" spans="1:9" ht="63" x14ac:dyDescent="0.25">
      <c r="A197" s="370" t="s">
        <v>268</v>
      </c>
      <c r="B197" s="367">
        <v>902</v>
      </c>
      <c r="C197" s="371" t="s">
        <v>259</v>
      </c>
      <c r="D197" s="371" t="s">
        <v>230</v>
      </c>
      <c r="E197" s="371" t="s">
        <v>269</v>
      </c>
      <c r="F197" s="371"/>
      <c r="G197" s="369">
        <f>G199</f>
        <v>10</v>
      </c>
      <c r="H197" s="21">
        <f t="shared" ref="H197:I197" si="105">H199</f>
        <v>10</v>
      </c>
      <c r="I197" s="21">
        <f t="shared" si="105"/>
        <v>10</v>
      </c>
    </row>
    <row r="198" spans="1:9" s="222" customFormat="1" ht="31.5" x14ac:dyDescent="0.25">
      <c r="A198" s="34" t="s">
        <v>929</v>
      </c>
      <c r="B198" s="367">
        <v>902</v>
      </c>
      <c r="C198" s="371" t="s">
        <v>259</v>
      </c>
      <c r="D198" s="371" t="s">
        <v>230</v>
      </c>
      <c r="E198" s="371" t="s">
        <v>927</v>
      </c>
      <c r="F198" s="371"/>
      <c r="G198" s="369">
        <f>G199</f>
        <v>10</v>
      </c>
      <c r="H198" s="21">
        <f t="shared" ref="H198:I200" si="106">H199</f>
        <v>10</v>
      </c>
      <c r="I198" s="21">
        <f t="shared" si="106"/>
        <v>10</v>
      </c>
    </row>
    <row r="199" spans="1:9" ht="28.5" customHeight="1" x14ac:dyDescent="0.25">
      <c r="A199" s="372" t="s">
        <v>1486</v>
      </c>
      <c r="B199" s="366">
        <v>902</v>
      </c>
      <c r="C199" s="368" t="s">
        <v>259</v>
      </c>
      <c r="D199" s="368" t="s">
        <v>230</v>
      </c>
      <c r="E199" s="368" t="s">
        <v>1474</v>
      </c>
      <c r="F199" s="368"/>
      <c r="G199" s="373">
        <f>G200</f>
        <v>10</v>
      </c>
      <c r="H199" s="26">
        <f t="shared" si="106"/>
        <v>10</v>
      </c>
      <c r="I199" s="26">
        <f t="shared" si="106"/>
        <v>10</v>
      </c>
    </row>
    <row r="200" spans="1:9" ht="19.5" customHeight="1" x14ac:dyDescent="0.25">
      <c r="A200" s="372" t="s">
        <v>263</v>
      </c>
      <c r="B200" s="366">
        <v>902</v>
      </c>
      <c r="C200" s="368" t="s">
        <v>259</v>
      </c>
      <c r="D200" s="368" t="s">
        <v>230</v>
      </c>
      <c r="E200" s="368" t="s">
        <v>1474</v>
      </c>
      <c r="F200" s="368" t="s">
        <v>264</v>
      </c>
      <c r="G200" s="373">
        <f>G201</f>
        <v>10</v>
      </c>
      <c r="H200" s="26">
        <f t="shared" si="106"/>
        <v>10</v>
      </c>
      <c r="I200" s="26">
        <f t="shared" si="106"/>
        <v>10</v>
      </c>
    </row>
    <row r="201" spans="1:9" ht="31.5" x14ac:dyDescent="0.25">
      <c r="A201" s="372" t="s">
        <v>265</v>
      </c>
      <c r="B201" s="366">
        <v>902</v>
      </c>
      <c r="C201" s="368" t="s">
        <v>259</v>
      </c>
      <c r="D201" s="368" t="s">
        <v>230</v>
      </c>
      <c r="E201" s="368" t="s">
        <v>1474</v>
      </c>
      <c r="F201" s="368" t="s">
        <v>266</v>
      </c>
      <c r="G201" s="373">
        <v>10</v>
      </c>
      <c r="H201" s="26">
        <v>10</v>
      </c>
      <c r="I201" s="26">
        <v>10</v>
      </c>
    </row>
    <row r="202" spans="1:9" ht="15.75" x14ac:dyDescent="0.25">
      <c r="A202" s="370" t="s">
        <v>273</v>
      </c>
      <c r="B202" s="367">
        <v>902</v>
      </c>
      <c r="C202" s="371" t="s">
        <v>259</v>
      </c>
      <c r="D202" s="371" t="s">
        <v>135</v>
      </c>
      <c r="E202" s="371"/>
      <c r="F202" s="371"/>
      <c r="G202" s="369">
        <f>G203</f>
        <v>3621.4</v>
      </c>
      <c r="H202" s="21">
        <f t="shared" ref="H202:I204" si="107">H203</f>
        <v>3263.9</v>
      </c>
      <c r="I202" s="21">
        <f t="shared" si="107"/>
        <v>3263.9</v>
      </c>
    </row>
    <row r="203" spans="1:9" ht="31.5" x14ac:dyDescent="0.25">
      <c r="A203" s="370" t="s">
        <v>988</v>
      </c>
      <c r="B203" s="367">
        <v>902</v>
      </c>
      <c r="C203" s="371" t="s">
        <v>259</v>
      </c>
      <c r="D203" s="371" t="s">
        <v>135</v>
      </c>
      <c r="E203" s="371" t="s">
        <v>902</v>
      </c>
      <c r="F203" s="371"/>
      <c r="G203" s="369">
        <f>G204</f>
        <v>3621.4</v>
      </c>
      <c r="H203" s="21">
        <f t="shared" si="107"/>
        <v>3263.9</v>
      </c>
      <c r="I203" s="21">
        <f t="shared" si="107"/>
        <v>3263.9</v>
      </c>
    </row>
    <row r="204" spans="1:9" ht="31.5" x14ac:dyDescent="0.25">
      <c r="A204" s="370" t="s">
        <v>930</v>
      </c>
      <c r="B204" s="367">
        <v>902</v>
      </c>
      <c r="C204" s="371" t="s">
        <v>259</v>
      </c>
      <c r="D204" s="371" t="s">
        <v>135</v>
      </c>
      <c r="E204" s="371" t="s">
        <v>907</v>
      </c>
      <c r="F204" s="371"/>
      <c r="G204" s="369">
        <f>G205</f>
        <v>3621.4</v>
      </c>
      <c r="H204" s="21">
        <f t="shared" si="107"/>
        <v>3263.9</v>
      </c>
      <c r="I204" s="21">
        <f t="shared" si="107"/>
        <v>3263.9</v>
      </c>
    </row>
    <row r="205" spans="1:9" ht="47.25" customHeight="1" x14ac:dyDescent="0.25">
      <c r="A205" s="31" t="s">
        <v>274</v>
      </c>
      <c r="B205" s="366">
        <v>902</v>
      </c>
      <c r="C205" s="368" t="s">
        <v>259</v>
      </c>
      <c r="D205" s="368" t="s">
        <v>135</v>
      </c>
      <c r="E205" s="368" t="s">
        <v>996</v>
      </c>
      <c r="F205" s="368"/>
      <c r="G205" s="373">
        <f>G206+G208</f>
        <v>3621.4</v>
      </c>
      <c r="H205" s="26">
        <f t="shared" ref="H205:I205" si="108">H206+H208</f>
        <v>3263.9</v>
      </c>
      <c r="I205" s="26">
        <f t="shared" si="108"/>
        <v>3263.9</v>
      </c>
    </row>
    <row r="206" spans="1:9" ht="63" x14ac:dyDescent="0.25">
      <c r="A206" s="372" t="s">
        <v>142</v>
      </c>
      <c r="B206" s="366">
        <v>902</v>
      </c>
      <c r="C206" s="368" t="s">
        <v>259</v>
      </c>
      <c r="D206" s="368" t="s">
        <v>135</v>
      </c>
      <c r="E206" s="368" t="s">
        <v>996</v>
      </c>
      <c r="F206" s="368" t="s">
        <v>143</v>
      </c>
      <c r="G206" s="373">
        <f>G207</f>
        <v>3220.8</v>
      </c>
      <c r="H206" s="26">
        <f t="shared" ref="H206:I206" si="109">H207</f>
        <v>2995.8</v>
      </c>
      <c r="I206" s="26">
        <f t="shared" si="109"/>
        <v>2995.8</v>
      </c>
    </row>
    <row r="207" spans="1:9" ht="31.5" x14ac:dyDescent="0.25">
      <c r="A207" s="372" t="s">
        <v>144</v>
      </c>
      <c r="B207" s="366">
        <v>902</v>
      </c>
      <c r="C207" s="368" t="s">
        <v>259</v>
      </c>
      <c r="D207" s="368" t="s">
        <v>135</v>
      </c>
      <c r="E207" s="368" t="s">
        <v>996</v>
      </c>
      <c r="F207" s="368" t="s">
        <v>145</v>
      </c>
      <c r="G207" s="374">
        <f>3353.3-132.5</f>
        <v>3220.8</v>
      </c>
      <c r="H207" s="27">
        <f t="shared" ref="H207:I207" si="110">2972.5+23.3</f>
        <v>2995.8</v>
      </c>
      <c r="I207" s="27">
        <f t="shared" si="110"/>
        <v>2995.8</v>
      </c>
    </row>
    <row r="208" spans="1:9" ht="31.5" x14ac:dyDescent="0.25">
      <c r="A208" s="372" t="s">
        <v>146</v>
      </c>
      <c r="B208" s="366">
        <v>902</v>
      </c>
      <c r="C208" s="368" t="s">
        <v>259</v>
      </c>
      <c r="D208" s="368" t="s">
        <v>135</v>
      </c>
      <c r="E208" s="368" t="s">
        <v>996</v>
      </c>
      <c r="F208" s="368" t="s">
        <v>147</v>
      </c>
      <c r="G208" s="373">
        <f>G209</f>
        <v>400.6</v>
      </c>
      <c r="H208" s="26">
        <f t="shared" ref="H208:I208" si="111">H209</f>
        <v>268.09999999999997</v>
      </c>
      <c r="I208" s="26">
        <f t="shared" si="111"/>
        <v>268.09999999999997</v>
      </c>
    </row>
    <row r="209" spans="1:9" ht="31.5" x14ac:dyDescent="0.25">
      <c r="A209" s="372" t="s">
        <v>148</v>
      </c>
      <c r="B209" s="366">
        <v>902</v>
      </c>
      <c r="C209" s="368" t="s">
        <v>259</v>
      </c>
      <c r="D209" s="368" t="s">
        <v>135</v>
      </c>
      <c r="E209" s="368" t="s">
        <v>996</v>
      </c>
      <c r="F209" s="368" t="s">
        <v>149</v>
      </c>
      <c r="G209" s="374">
        <f>268.1+132.5</f>
        <v>400.6</v>
      </c>
      <c r="H209" s="27">
        <f t="shared" ref="H209:I209" si="112">291.4-23.3</f>
        <v>268.09999999999997</v>
      </c>
      <c r="I209" s="27">
        <f t="shared" si="112"/>
        <v>268.09999999999997</v>
      </c>
    </row>
    <row r="210" spans="1:9" ht="48.75" customHeight="1" x14ac:dyDescent="0.25">
      <c r="A210" s="367" t="s">
        <v>276</v>
      </c>
      <c r="B210" s="367">
        <v>903</v>
      </c>
      <c r="C210" s="368"/>
      <c r="D210" s="368"/>
      <c r="E210" s="368"/>
      <c r="F210" s="368"/>
      <c r="G210" s="369">
        <f>G273+G337+G443+G211+G244+G472</f>
        <v>99538.323000000004</v>
      </c>
      <c r="H210" s="21" t="e">
        <f>H273+H337+H443+H211+H244</f>
        <v>#REF!</v>
      </c>
      <c r="I210" s="21" t="e">
        <f>I273+I337+I443+I211+I244</f>
        <v>#REF!</v>
      </c>
    </row>
    <row r="211" spans="1:9" ht="15.75" x14ac:dyDescent="0.25">
      <c r="A211" s="370" t="s">
        <v>132</v>
      </c>
      <c r="B211" s="367">
        <v>903</v>
      </c>
      <c r="C211" s="371" t="s">
        <v>133</v>
      </c>
      <c r="D211" s="368"/>
      <c r="E211" s="368"/>
      <c r="F211" s="368"/>
      <c r="G211" s="369">
        <f>G212</f>
        <v>248.7</v>
      </c>
      <c r="H211" s="21">
        <f t="shared" ref="H211:I211" si="113">H212</f>
        <v>746</v>
      </c>
      <c r="I211" s="21">
        <f t="shared" si="113"/>
        <v>746</v>
      </c>
    </row>
    <row r="212" spans="1:9" ht="15.75" x14ac:dyDescent="0.25">
      <c r="A212" s="370" t="s">
        <v>154</v>
      </c>
      <c r="B212" s="367">
        <v>903</v>
      </c>
      <c r="C212" s="371" t="s">
        <v>133</v>
      </c>
      <c r="D212" s="371" t="s">
        <v>155</v>
      </c>
      <c r="E212" s="368"/>
      <c r="F212" s="368"/>
      <c r="G212" s="369">
        <f>G213+G222+G239</f>
        <v>248.7</v>
      </c>
      <c r="H212" s="21">
        <f t="shared" ref="H212:I212" si="114">H213+H222+H239</f>
        <v>746</v>
      </c>
      <c r="I212" s="21">
        <f t="shared" si="114"/>
        <v>746</v>
      </c>
    </row>
    <row r="213" spans="1:9" ht="47.25" x14ac:dyDescent="0.25">
      <c r="A213" s="370" t="s">
        <v>358</v>
      </c>
      <c r="B213" s="367">
        <v>903</v>
      </c>
      <c r="C213" s="8" t="s">
        <v>133</v>
      </c>
      <c r="D213" s="8" t="s">
        <v>155</v>
      </c>
      <c r="E213" s="210" t="s">
        <v>359</v>
      </c>
      <c r="F213" s="8"/>
      <c r="G213" s="369">
        <f>G214</f>
        <v>188.7</v>
      </c>
      <c r="H213" s="21">
        <f t="shared" ref="H213:I214" si="115">H214</f>
        <v>486</v>
      </c>
      <c r="I213" s="21">
        <f t="shared" si="115"/>
        <v>486</v>
      </c>
    </row>
    <row r="214" spans="1:9" ht="81.75" customHeight="1" x14ac:dyDescent="0.25">
      <c r="A214" s="41" t="s">
        <v>395</v>
      </c>
      <c r="B214" s="367">
        <v>903</v>
      </c>
      <c r="C214" s="364" t="s">
        <v>133</v>
      </c>
      <c r="D214" s="364" t="s">
        <v>155</v>
      </c>
      <c r="E214" s="364" t="s">
        <v>396</v>
      </c>
      <c r="F214" s="364"/>
      <c r="G214" s="369">
        <f>G215</f>
        <v>188.7</v>
      </c>
      <c r="H214" s="21">
        <f t="shared" si="115"/>
        <v>486</v>
      </c>
      <c r="I214" s="21">
        <f t="shared" si="115"/>
        <v>486</v>
      </c>
    </row>
    <row r="215" spans="1:9" s="222" customFormat="1" ht="47.25" x14ac:dyDescent="0.25">
      <c r="A215" s="284" t="s">
        <v>1219</v>
      </c>
      <c r="B215" s="367">
        <v>903</v>
      </c>
      <c r="C215" s="364" t="s">
        <v>133</v>
      </c>
      <c r="D215" s="364" t="s">
        <v>155</v>
      </c>
      <c r="E215" s="364" t="s">
        <v>931</v>
      </c>
      <c r="F215" s="364"/>
      <c r="G215" s="369">
        <f>G216+G219</f>
        <v>188.7</v>
      </c>
      <c r="H215" s="21">
        <f t="shared" ref="H215:I215" si="116">H216+H219</f>
        <v>486</v>
      </c>
      <c r="I215" s="21">
        <f t="shared" si="116"/>
        <v>486</v>
      </c>
    </row>
    <row r="216" spans="1:9" ht="31.5" x14ac:dyDescent="0.25">
      <c r="A216" s="99" t="s">
        <v>1300</v>
      </c>
      <c r="B216" s="366">
        <v>903</v>
      </c>
      <c r="C216" s="376" t="s">
        <v>133</v>
      </c>
      <c r="D216" s="376" t="s">
        <v>155</v>
      </c>
      <c r="E216" s="376" t="s">
        <v>932</v>
      </c>
      <c r="F216" s="376"/>
      <c r="G216" s="373">
        <f>G217</f>
        <v>188.7</v>
      </c>
      <c r="H216" s="26">
        <f t="shared" ref="H216:I217" si="117">H217</f>
        <v>350</v>
      </c>
      <c r="I216" s="26">
        <f t="shared" si="117"/>
        <v>350</v>
      </c>
    </row>
    <row r="217" spans="1:9" ht="31.5" x14ac:dyDescent="0.25">
      <c r="A217" s="375" t="s">
        <v>146</v>
      </c>
      <c r="B217" s="366">
        <v>903</v>
      </c>
      <c r="C217" s="376" t="s">
        <v>133</v>
      </c>
      <c r="D217" s="376" t="s">
        <v>155</v>
      </c>
      <c r="E217" s="376" t="s">
        <v>932</v>
      </c>
      <c r="F217" s="376" t="s">
        <v>147</v>
      </c>
      <c r="G217" s="373">
        <f>G218</f>
        <v>188.7</v>
      </c>
      <c r="H217" s="26">
        <f t="shared" si="117"/>
        <v>350</v>
      </c>
      <c r="I217" s="26">
        <f t="shared" si="117"/>
        <v>350</v>
      </c>
    </row>
    <row r="218" spans="1:9" ht="31.5" x14ac:dyDescent="0.25">
      <c r="A218" s="375" t="s">
        <v>148</v>
      </c>
      <c r="B218" s="366">
        <v>903</v>
      </c>
      <c r="C218" s="376" t="s">
        <v>133</v>
      </c>
      <c r="D218" s="376" t="s">
        <v>155</v>
      </c>
      <c r="E218" s="376" t="s">
        <v>932</v>
      </c>
      <c r="F218" s="376" t="s">
        <v>149</v>
      </c>
      <c r="G218" s="373">
        <f>60+128.7</f>
        <v>188.7</v>
      </c>
      <c r="H218" s="26">
        <f t="shared" ref="H218:I218" si="118">200+150</f>
        <v>350</v>
      </c>
      <c r="I218" s="26">
        <f t="shared" si="118"/>
        <v>350</v>
      </c>
    </row>
    <row r="219" spans="1:9" s="222" customFormat="1" ht="31.5" hidden="1" x14ac:dyDescent="0.25">
      <c r="A219" s="35" t="s">
        <v>934</v>
      </c>
      <c r="B219" s="366">
        <v>903</v>
      </c>
      <c r="C219" s="368" t="s">
        <v>133</v>
      </c>
      <c r="D219" s="368" t="s">
        <v>155</v>
      </c>
      <c r="E219" s="368" t="s">
        <v>933</v>
      </c>
      <c r="F219" s="371"/>
      <c r="G219" s="373">
        <f>G220</f>
        <v>0</v>
      </c>
      <c r="H219" s="26">
        <f t="shared" ref="H219:I220" si="119">H220</f>
        <v>136</v>
      </c>
      <c r="I219" s="26">
        <f t="shared" si="119"/>
        <v>136</v>
      </c>
    </row>
    <row r="220" spans="1:9" s="222" customFormat="1" ht="31.5" hidden="1" x14ac:dyDescent="0.25">
      <c r="A220" s="372" t="s">
        <v>146</v>
      </c>
      <c r="B220" s="366">
        <v>903</v>
      </c>
      <c r="C220" s="368" t="s">
        <v>133</v>
      </c>
      <c r="D220" s="368" t="s">
        <v>155</v>
      </c>
      <c r="E220" s="368" t="s">
        <v>933</v>
      </c>
      <c r="F220" s="368" t="s">
        <v>147</v>
      </c>
      <c r="G220" s="373">
        <f>G221</f>
        <v>0</v>
      </c>
      <c r="H220" s="26">
        <f t="shared" si="119"/>
        <v>136</v>
      </c>
      <c r="I220" s="26">
        <f t="shared" si="119"/>
        <v>136</v>
      </c>
    </row>
    <row r="221" spans="1:9" s="222" customFormat="1" ht="31.5" hidden="1" x14ac:dyDescent="0.25">
      <c r="A221" s="372" t="s">
        <v>148</v>
      </c>
      <c r="B221" s="366">
        <v>903</v>
      </c>
      <c r="C221" s="368" t="s">
        <v>133</v>
      </c>
      <c r="D221" s="368" t="s">
        <v>155</v>
      </c>
      <c r="E221" s="368" t="s">
        <v>933</v>
      </c>
      <c r="F221" s="368" t="s">
        <v>149</v>
      </c>
      <c r="G221" s="373">
        <v>0</v>
      </c>
      <c r="H221" s="26">
        <v>136</v>
      </c>
      <c r="I221" s="26">
        <v>136</v>
      </c>
    </row>
    <row r="222" spans="1:9" ht="47.25" x14ac:dyDescent="0.25">
      <c r="A222" s="370" t="s">
        <v>349</v>
      </c>
      <c r="B222" s="367">
        <v>903</v>
      </c>
      <c r="C222" s="371" t="s">
        <v>133</v>
      </c>
      <c r="D222" s="371" t="s">
        <v>155</v>
      </c>
      <c r="E222" s="371" t="s">
        <v>350</v>
      </c>
      <c r="F222" s="371"/>
      <c r="G222" s="369">
        <f>G223</f>
        <v>55</v>
      </c>
      <c r="H222" s="21">
        <f t="shared" ref="H222:I222" si="120">H223</f>
        <v>255</v>
      </c>
      <c r="I222" s="21">
        <f t="shared" si="120"/>
        <v>255</v>
      </c>
    </row>
    <row r="223" spans="1:9" s="222" customFormat="1" ht="31.5" x14ac:dyDescent="0.25">
      <c r="A223" s="370" t="s">
        <v>1225</v>
      </c>
      <c r="B223" s="367">
        <v>903</v>
      </c>
      <c r="C223" s="371" t="s">
        <v>133</v>
      </c>
      <c r="D223" s="371" t="s">
        <v>155</v>
      </c>
      <c r="E223" s="371" t="s">
        <v>1226</v>
      </c>
      <c r="F223" s="371"/>
      <c r="G223" s="369">
        <f>G224+G227+G230+G233+G236</f>
        <v>55</v>
      </c>
      <c r="H223" s="21">
        <f t="shared" ref="H223:I223" si="121">H224+H227+H230+H233+H236</f>
        <v>255</v>
      </c>
      <c r="I223" s="21">
        <f t="shared" si="121"/>
        <v>255</v>
      </c>
    </row>
    <row r="224" spans="1:9" ht="31.5" hidden="1" x14ac:dyDescent="0.25">
      <c r="A224" s="98" t="s">
        <v>351</v>
      </c>
      <c r="B224" s="366">
        <v>903</v>
      </c>
      <c r="C224" s="368" t="s">
        <v>133</v>
      </c>
      <c r="D224" s="368" t="s">
        <v>155</v>
      </c>
      <c r="E224" s="368" t="s">
        <v>1227</v>
      </c>
      <c r="F224" s="368"/>
      <c r="G224" s="373">
        <f>G225</f>
        <v>0</v>
      </c>
      <c r="H224" s="26">
        <f t="shared" ref="H224:I225" si="122">H225</f>
        <v>230</v>
      </c>
      <c r="I224" s="26">
        <f t="shared" si="122"/>
        <v>230</v>
      </c>
    </row>
    <row r="225" spans="1:9" ht="31.5" hidden="1" x14ac:dyDescent="0.25">
      <c r="A225" s="372" t="s">
        <v>146</v>
      </c>
      <c r="B225" s="366">
        <v>903</v>
      </c>
      <c r="C225" s="368" t="s">
        <v>133</v>
      </c>
      <c r="D225" s="368" t="s">
        <v>155</v>
      </c>
      <c r="E225" s="368" t="s">
        <v>1227</v>
      </c>
      <c r="F225" s="368" t="s">
        <v>147</v>
      </c>
      <c r="G225" s="373">
        <f>G226</f>
        <v>0</v>
      </c>
      <c r="H225" s="26">
        <f t="shared" si="122"/>
        <v>230</v>
      </c>
      <c r="I225" s="26">
        <f t="shared" si="122"/>
        <v>230</v>
      </c>
    </row>
    <row r="226" spans="1:9" ht="31.5" hidden="1" x14ac:dyDescent="0.25">
      <c r="A226" s="372" t="s">
        <v>148</v>
      </c>
      <c r="B226" s="366">
        <v>903</v>
      </c>
      <c r="C226" s="368" t="s">
        <v>133</v>
      </c>
      <c r="D226" s="368" t="s">
        <v>155</v>
      </c>
      <c r="E226" s="368" t="s">
        <v>1227</v>
      </c>
      <c r="F226" s="368" t="s">
        <v>149</v>
      </c>
      <c r="G226" s="373">
        <v>0</v>
      </c>
      <c r="H226" s="26">
        <v>230</v>
      </c>
      <c r="I226" s="26">
        <v>230</v>
      </c>
    </row>
    <row r="227" spans="1:9" ht="15.75" x14ac:dyDescent="0.25">
      <c r="A227" s="372" t="s">
        <v>353</v>
      </c>
      <c r="B227" s="366">
        <v>903</v>
      </c>
      <c r="C227" s="368" t="s">
        <v>133</v>
      </c>
      <c r="D227" s="368" t="s">
        <v>155</v>
      </c>
      <c r="E227" s="368" t="s">
        <v>1228</v>
      </c>
      <c r="F227" s="368"/>
      <c r="G227" s="373">
        <f>G228</f>
        <v>25</v>
      </c>
      <c r="H227" s="26">
        <f t="shared" ref="H227:I228" si="123">H228</f>
        <v>25</v>
      </c>
      <c r="I227" s="26">
        <f t="shared" si="123"/>
        <v>25</v>
      </c>
    </row>
    <row r="228" spans="1:9" ht="31.5" x14ac:dyDescent="0.25">
      <c r="A228" s="372" t="s">
        <v>146</v>
      </c>
      <c r="B228" s="366">
        <v>903</v>
      </c>
      <c r="C228" s="368" t="s">
        <v>133</v>
      </c>
      <c r="D228" s="368" t="s">
        <v>155</v>
      </c>
      <c r="E228" s="368" t="s">
        <v>1228</v>
      </c>
      <c r="F228" s="368" t="s">
        <v>147</v>
      </c>
      <c r="G228" s="373">
        <f>G229</f>
        <v>25</v>
      </c>
      <c r="H228" s="26">
        <f t="shared" si="123"/>
        <v>25</v>
      </c>
      <c r="I228" s="26">
        <f t="shared" si="123"/>
        <v>25</v>
      </c>
    </row>
    <row r="229" spans="1:9" ht="31.5" x14ac:dyDescent="0.25">
      <c r="A229" s="372" t="s">
        <v>148</v>
      </c>
      <c r="B229" s="366">
        <v>903</v>
      </c>
      <c r="C229" s="368" t="s">
        <v>133</v>
      </c>
      <c r="D229" s="368" t="s">
        <v>155</v>
      </c>
      <c r="E229" s="368" t="s">
        <v>1228</v>
      </c>
      <c r="F229" s="368" t="s">
        <v>149</v>
      </c>
      <c r="G229" s="373">
        <v>25</v>
      </c>
      <c r="H229" s="26">
        <v>25</v>
      </c>
      <c r="I229" s="26">
        <v>25</v>
      </c>
    </row>
    <row r="230" spans="1:9" ht="47.25" x14ac:dyDescent="0.25">
      <c r="A230" s="31" t="s">
        <v>792</v>
      </c>
      <c r="B230" s="366">
        <v>903</v>
      </c>
      <c r="C230" s="368" t="s">
        <v>133</v>
      </c>
      <c r="D230" s="368" t="s">
        <v>155</v>
      </c>
      <c r="E230" s="368" t="s">
        <v>1229</v>
      </c>
      <c r="F230" s="368"/>
      <c r="G230" s="373">
        <f>G231</f>
        <v>10</v>
      </c>
      <c r="H230" s="26">
        <f t="shared" ref="H230:I231" si="124">H231</f>
        <v>0</v>
      </c>
      <c r="I230" s="26">
        <f t="shared" si="124"/>
        <v>0</v>
      </c>
    </row>
    <row r="231" spans="1:9" ht="31.5" x14ac:dyDescent="0.25">
      <c r="A231" s="372" t="s">
        <v>146</v>
      </c>
      <c r="B231" s="366">
        <v>903</v>
      </c>
      <c r="C231" s="368" t="s">
        <v>133</v>
      </c>
      <c r="D231" s="368" t="s">
        <v>155</v>
      </c>
      <c r="E231" s="368" t="s">
        <v>1229</v>
      </c>
      <c r="F231" s="368" t="s">
        <v>147</v>
      </c>
      <c r="G231" s="373">
        <f>G232</f>
        <v>10</v>
      </c>
      <c r="H231" s="26">
        <f t="shared" si="124"/>
        <v>0</v>
      </c>
      <c r="I231" s="26">
        <f t="shared" si="124"/>
        <v>0</v>
      </c>
    </row>
    <row r="232" spans="1:9" ht="31.5" x14ac:dyDescent="0.25">
      <c r="A232" s="372" t="s">
        <v>148</v>
      </c>
      <c r="B232" s="366">
        <v>903</v>
      </c>
      <c r="C232" s="368" t="s">
        <v>133</v>
      </c>
      <c r="D232" s="368" t="s">
        <v>155</v>
      </c>
      <c r="E232" s="368" t="s">
        <v>1229</v>
      </c>
      <c r="F232" s="368" t="s">
        <v>149</v>
      </c>
      <c r="G232" s="373">
        <v>10</v>
      </c>
      <c r="H232" s="26">
        <v>0</v>
      </c>
      <c r="I232" s="26">
        <v>0</v>
      </c>
    </row>
    <row r="233" spans="1:9" ht="15.75" hidden="1" x14ac:dyDescent="0.25">
      <c r="A233" s="372" t="s">
        <v>1142</v>
      </c>
      <c r="B233" s="366">
        <v>903</v>
      </c>
      <c r="C233" s="368" t="s">
        <v>133</v>
      </c>
      <c r="D233" s="368" t="s">
        <v>155</v>
      </c>
      <c r="E233" s="368" t="s">
        <v>1230</v>
      </c>
      <c r="F233" s="368"/>
      <c r="G233" s="373">
        <f>G234</f>
        <v>0</v>
      </c>
      <c r="H233" s="26">
        <f t="shared" ref="H233:I234" si="125">H234</f>
        <v>0</v>
      </c>
      <c r="I233" s="26">
        <f t="shared" si="125"/>
        <v>0</v>
      </c>
    </row>
    <row r="234" spans="1:9" ht="31.5" hidden="1" x14ac:dyDescent="0.25">
      <c r="A234" s="372" t="s">
        <v>146</v>
      </c>
      <c r="B234" s="366">
        <v>903</v>
      </c>
      <c r="C234" s="368" t="s">
        <v>133</v>
      </c>
      <c r="D234" s="368" t="s">
        <v>155</v>
      </c>
      <c r="E234" s="368" t="s">
        <v>1230</v>
      </c>
      <c r="F234" s="368" t="s">
        <v>147</v>
      </c>
      <c r="G234" s="373">
        <f>G235</f>
        <v>0</v>
      </c>
      <c r="H234" s="26">
        <f t="shared" si="125"/>
        <v>0</v>
      </c>
      <c r="I234" s="26">
        <f t="shared" si="125"/>
        <v>0</v>
      </c>
    </row>
    <row r="235" spans="1:9" ht="31.5" hidden="1" x14ac:dyDescent="0.25">
      <c r="A235" s="372" t="s">
        <v>148</v>
      </c>
      <c r="B235" s="366">
        <v>903</v>
      </c>
      <c r="C235" s="368" t="s">
        <v>133</v>
      </c>
      <c r="D235" s="368" t="s">
        <v>155</v>
      </c>
      <c r="E235" s="368" t="s">
        <v>1230</v>
      </c>
      <c r="F235" s="368" t="s">
        <v>149</v>
      </c>
      <c r="G235" s="373">
        <v>0</v>
      </c>
      <c r="H235" s="26">
        <v>0</v>
      </c>
      <c r="I235" s="26">
        <v>0</v>
      </c>
    </row>
    <row r="236" spans="1:9" ht="47.25" customHeight="1" x14ac:dyDescent="0.25">
      <c r="A236" s="31" t="s">
        <v>793</v>
      </c>
      <c r="B236" s="366">
        <v>903</v>
      </c>
      <c r="C236" s="368" t="s">
        <v>133</v>
      </c>
      <c r="D236" s="368" t="s">
        <v>155</v>
      </c>
      <c r="E236" s="368" t="s">
        <v>1231</v>
      </c>
      <c r="F236" s="368"/>
      <c r="G236" s="373">
        <f>G237</f>
        <v>20</v>
      </c>
      <c r="H236" s="26">
        <f t="shared" ref="H236:I237" si="126">H237</f>
        <v>0</v>
      </c>
      <c r="I236" s="26">
        <f t="shared" si="126"/>
        <v>0</v>
      </c>
    </row>
    <row r="237" spans="1:9" ht="31.5" x14ac:dyDescent="0.25">
      <c r="A237" s="372" t="s">
        <v>146</v>
      </c>
      <c r="B237" s="366">
        <v>903</v>
      </c>
      <c r="C237" s="368" t="s">
        <v>133</v>
      </c>
      <c r="D237" s="368" t="s">
        <v>155</v>
      </c>
      <c r="E237" s="368" t="s">
        <v>1231</v>
      </c>
      <c r="F237" s="368" t="s">
        <v>147</v>
      </c>
      <c r="G237" s="373">
        <f>G238</f>
        <v>20</v>
      </c>
      <c r="H237" s="26">
        <f t="shared" si="126"/>
        <v>0</v>
      </c>
      <c r="I237" s="26">
        <f t="shared" si="126"/>
        <v>0</v>
      </c>
    </row>
    <row r="238" spans="1:9" ht="31.5" x14ac:dyDescent="0.25">
      <c r="A238" s="372" t="s">
        <v>148</v>
      </c>
      <c r="B238" s="366">
        <v>903</v>
      </c>
      <c r="C238" s="368" t="s">
        <v>133</v>
      </c>
      <c r="D238" s="368" t="s">
        <v>155</v>
      </c>
      <c r="E238" s="368" t="s">
        <v>1231</v>
      </c>
      <c r="F238" s="368" t="s">
        <v>149</v>
      </c>
      <c r="G238" s="373">
        <v>20</v>
      </c>
      <c r="H238" s="26">
        <v>0</v>
      </c>
      <c r="I238" s="26">
        <v>0</v>
      </c>
    </row>
    <row r="239" spans="1:9" ht="47.25" x14ac:dyDescent="0.25">
      <c r="A239" s="41" t="s">
        <v>1177</v>
      </c>
      <c r="B239" s="367">
        <v>903</v>
      </c>
      <c r="C239" s="371" t="s">
        <v>133</v>
      </c>
      <c r="D239" s="371" t="s">
        <v>155</v>
      </c>
      <c r="E239" s="371" t="s">
        <v>726</v>
      </c>
      <c r="F239" s="371"/>
      <c r="G239" s="369">
        <f>G241</f>
        <v>5</v>
      </c>
      <c r="H239" s="21">
        <f t="shared" ref="H239:I239" si="127">H241</f>
        <v>5</v>
      </c>
      <c r="I239" s="21">
        <f t="shared" si="127"/>
        <v>5</v>
      </c>
    </row>
    <row r="240" spans="1:9" s="222" customFormat="1" ht="44.45" customHeight="1" x14ac:dyDescent="0.25">
      <c r="A240" s="238" t="s">
        <v>890</v>
      </c>
      <c r="B240" s="367">
        <v>903</v>
      </c>
      <c r="C240" s="371" t="s">
        <v>133</v>
      </c>
      <c r="D240" s="371" t="s">
        <v>155</v>
      </c>
      <c r="E240" s="371" t="s">
        <v>896</v>
      </c>
      <c r="F240" s="371"/>
      <c r="G240" s="369">
        <f>G241</f>
        <v>5</v>
      </c>
      <c r="H240" s="21">
        <f t="shared" ref="H240:I242" si="128">H241</f>
        <v>5</v>
      </c>
      <c r="I240" s="21">
        <f t="shared" si="128"/>
        <v>5</v>
      </c>
    </row>
    <row r="241" spans="1:9" ht="31.5" x14ac:dyDescent="0.25">
      <c r="A241" s="99" t="s">
        <v>797</v>
      </c>
      <c r="B241" s="366">
        <v>903</v>
      </c>
      <c r="C241" s="368" t="s">
        <v>133</v>
      </c>
      <c r="D241" s="368" t="s">
        <v>155</v>
      </c>
      <c r="E241" s="368" t="s">
        <v>891</v>
      </c>
      <c r="F241" s="368"/>
      <c r="G241" s="373">
        <f>G242</f>
        <v>5</v>
      </c>
      <c r="H241" s="26">
        <f t="shared" si="128"/>
        <v>5</v>
      </c>
      <c r="I241" s="26">
        <f t="shared" si="128"/>
        <v>5</v>
      </c>
    </row>
    <row r="242" spans="1:9" ht="31.5" x14ac:dyDescent="0.25">
      <c r="A242" s="372" t="s">
        <v>146</v>
      </c>
      <c r="B242" s="366">
        <v>903</v>
      </c>
      <c r="C242" s="368" t="s">
        <v>133</v>
      </c>
      <c r="D242" s="368" t="s">
        <v>155</v>
      </c>
      <c r="E242" s="368" t="s">
        <v>891</v>
      </c>
      <c r="F242" s="368" t="s">
        <v>147</v>
      </c>
      <c r="G242" s="373">
        <f>G243</f>
        <v>5</v>
      </c>
      <c r="H242" s="26">
        <f t="shared" si="128"/>
        <v>5</v>
      </c>
      <c r="I242" s="26">
        <f t="shared" si="128"/>
        <v>5</v>
      </c>
    </row>
    <row r="243" spans="1:9" ht="31.5" x14ac:dyDescent="0.25">
      <c r="A243" s="372" t="s">
        <v>148</v>
      </c>
      <c r="B243" s="366">
        <v>903</v>
      </c>
      <c r="C243" s="368" t="s">
        <v>133</v>
      </c>
      <c r="D243" s="368" t="s">
        <v>155</v>
      </c>
      <c r="E243" s="368" t="s">
        <v>891</v>
      </c>
      <c r="F243" s="368" t="s">
        <v>149</v>
      </c>
      <c r="G243" s="373">
        <v>5</v>
      </c>
      <c r="H243" s="26">
        <v>5</v>
      </c>
      <c r="I243" s="26">
        <v>5</v>
      </c>
    </row>
    <row r="244" spans="1:9" ht="21.2" customHeight="1" x14ac:dyDescent="0.25">
      <c r="A244" s="244" t="s">
        <v>247</v>
      </c>
      <c r="B244" s="367">
        <v>903</v>
      </c>
      <c r="C244" s="371" t="s">
        <v>165</v>
      </c>
      <c r="D244" s="368"/>
      <c r="E244" s="368"/>
      <c r="F244" s="32"/>
      <c r="G244" s="369">
        <f>G245</f>
        <v>270</v>
      </c>
      <c r="H244" s="21">
        <f t="shared" ref="H244:I246" si="129">H245</f>
        <v>20</v>
      </c>
      <c r="I244" s="21">
        <f t="shared" si="129"/>
        <v>20</v>
      </c>
    </row>
    <row r="245" spans="1:9" ht="21.2" customHeight="1" x14ac:dyDescent="0.25">
      <c r="A245" s="370" t="s">
        <v>252</v>
      </c>
      <c r="B245" s="367">
        <v>903</v>
      </c>
      <c r="C245" s="371" t="s">
        <v>165</v>
      </c>
      <c r="D245" s="371" t="s">
        <v>253</v>
      </c>
      <c r="E245" s="368"/>
      <c r="F245" s="32"/>
      <c r="G245" s="369">
        <f>G246</f>
        <v>270</v>
      </c>
      <c r="H245" s="21">
        <f t="shared" si="129"/>
        <v>20</v>
      </c>
      <c r="I245" s="21">
        <f t="shared" si="129"/>
        <v>20</v>
      </c>
    </row>
    <row r="246" spans="1:9" ht="47.25" customHeight="1" x14ac:dyDescent="0.25">
      <c r="A246" s="370" t="s">
        <v>358</v>
      </c>
      <c r="B246" s="367">
        <v>903</v>
      </c>
      <c r="C246" s="371" t="s">
        <v>165</v>
      </c>
      <c r="D246" s="371" t="s">
        <v>253</v>
      </c>
      <c r="E246" s="371" t="s">
        <v>359</v>
      </c>
      <c r="F246" s="250"/>
      <c r="G246" s="369">
        <f>G247</f>
        <v>270</v>
      </c>
      <c r="H246" s="21">
        <f t="shared" si="129"/>
        <v>20</v>
      </c>
      <c r="I246" s="21">
        <f t="shared" si="129"/>
        <v>20</v>
      </c>
    </row>
    <row r="247" spans="1:9" ht="53.45" customHeight="1" x14ac:dyDescent="0.25">
      <c r="A247" s="370" t="s">
        <v>382</v>
      </c>
      <c r="B247" s="367">
        <v>903</v>
      </c>
      <c r="C247" s="371" t="s">
        <v>165</v>
      </c>
      <c r="D247" s="371" t="s">
        <v>253</v>
      </c>
      <c r="E247" s="371" t="s">
        <v>383</v>
      </c>
      <c r="F247" s="371"/>
      <c r="G247" s="369">
        <f>G248+G255+G262+G269</f>
        <v>270</v>
      </c>
      <c r="H247" s="21">
        <f t="shared" ref="H247:I247" si="130">H248+H255+H262</f>
        <v>20</v>
      </c>
      <c r="I247" s="21">
        <f t="shared" si="130"/>
        <v>20</v>
      </c>
    </row>
    <row r="248" spans="1:9" s="222" customFormat="1" ht="33" hidden="1" customHeight="1" x14ac:dyDescent="0.25">
      <c r="A248" s="242" t="s">
        <v>1211</v>
      </c>
      <c r="B248" s="367">
        <v>903</v>
      </c>
      <c r="C248" s="371" t="s">
        <v>165</v>
      </c>
      <c r="D248" s="371" t="s">
        <v>253</v>
      </c>
      <c r="E248" s="371" t="s">
        <v>935</v>
      </c>
      <c r="F248" s="371"/>
      <c r="G248" s="369">
        <f>G249+G252</f>
        <v>0</v>
      </c>
      <c r="H248" s="21">
        <f t="shared" ref="H248:I248" si="131">H249+H252</f>
        <v>10</v>
      </c>
      <c r="I248" s="21">
        <f t="shared" si="131"/>
        <v>10</v>
      </c>
    </row>
    <row r="249" spans="1:9" ht="47.25" hidden="1" customHeight="1" x14ac:dyDescent="0.25">
      <c r="A249" s="372" t="s">
        <v>1298</v>
      </c>
      <c r="B249" s="366">
        <v>903</v>
      </c>
      <c r="C249" s="368" t="s">
        <v>165</v>
      </c>
      <c r="D249" s="368" t="s">
        <v>253</v>
      </c>
      <c r="E249" s="368" t="s">
        <v>1212</v>
      </c>
      <c r="F249" s="368"/>
      <c r="G249" s="373">
        <f>G250</f>
        <v>0</v>
      </c>
      <c r="H249" s="26">
        <f t="shared" ref="H249:I250" si="132">H250</f>
        <v>10</v>
      </c>
      <c r="I249" s="26">
        <f t="shared" si="132"/>
        <v>10</v>
      </c>
    </row>
    <row r="250" spans="1:9" ht="21.2" hidden="1" customHeight="1" x14ac:dyDescent="0.25">
      <c r="A250" s="372" t="s">
        <v>263</v>
      </c>
      <c r="B250" s="366">
        <v>903</v>
      </c>
      <c r="C250" s="368" t="s">
        <v>165</v>
      </c>
      <c r="D250" s="368" t="s">
        <v>253</v>
      </c>
      <c r="E250" s="368" t="s">
        <v>1212</v>
      </c>
      <c r="F250" s="368" t="s">
        <v>264</v>
      </c>
      <c r="G250" s="373">
        <f>G251</f>
        <v>0</v>
      </c>
      <c r="H250" s="26">
        <f t="shared" si="132"/>
        <v>10</v>
      </c>
      <c r="I250" s="26">
        <f t="shared" si="132"/>
        <v>10</v>
      </c>
    </row>
    <row r="251" spans="1:9" ht="29.25" hidden="1" customHeight="1" x14ac:dyDescent="0.25">
      <c r="A251" s="372" t="s">
        <v>265</v>
      </c>
      <c r="B251" s="366">
        <v>903</v>
      </c>
      <c r="C251" s="368" t="s">
        <v>165</v>
      </c>
      <c r="D251" s="368" t="s">
        <v>253</v>
      </c>
      <c r="E251" s="368" t="s">
        <v>1212</v>
      </c>
      <c r="F251" s="368" t="s">
        <v>266</v>
      </c>
      <c r="G251" s="373">
        <v>0</v>
      </c>
      <c r="H251" s="26">
        <v>10</v>
      </c>
      <c r="I251" s="26">
        <v>10</v>
      </c>
    </row>
    <row r="252" spans="1:9" s="222" customFormat="1" ht="50.25" hidden="1" customHeight="1" x14ac:dyDescent="0.25">
      <c r="A252" s="372" t="s">
        <v>390</v>
      </c>
      <c r="B252" s="366">
        <v>903</v>
      </c>
      <c r="C252" s="368" t="s">
        <v>165</v>
      </c>
      <c r="D252" s="368" t="s">
        <v>253</v>
      </c>
      <c r="E252" s="368" t="s">
        <v>1213</v>
      </c>
      <c r="F252" s="368"/>
      <c r="G252" s="373">
        <f>G253</f>
        <v>0</v>
      </c>
      <c r="H252" s="26">
        <f t="shared" ref="H252:I253" si="133">H253</f>
        <v>0</v>
      </c>
      <c r="I252" s="26">
        <f t="shared" si="133"/>
        <v>0</v>
      </c>
    </row>
    <row r="253" spans="1:9" s="222" customFormat="1" ht="21.75" hidden="1" customHeight="1" x14ac:dyDescent="0.25">
      <c r="A253" s="372" t="s">
        <v>263</v>
      </c>
      <c r="B253" s="366">
        <v>903</v>
      </c>
      <c r="C253" s="368" t="s">
        <v>165</v>
      </c>
      <c r="D253" s="368" t="s">
        <v>253</v>
      </c>
      <c r="E253" s="368" t="s">
        <v>1213</v>
      </c>
      <c r="F253" s="368" t="s">
        <v>264</v>
      </c>
      <c r="G253" s="373">
        <f>G254</f>
        <v>0</v>
      </c>
      <c r="H253" s="26">
        <f t="shared" si="133"/>
        <v>0</v>
      </c>
      <c r="I253" s="26">
        <f t="shared" si="133"/>
        <v>0</v>
      </c>
    </row>
    <row r="254" spans="1:9" s="222" customFormat="1" ht="29.25" hidden="1" customHeight="1" x14ac:dyDescent="0.25">
      <c r="A254" s="372" t="s">
        <v>265</v>
      </c>
      <c r="B254" s="366">
        <v>903</v>
      </c>
      <c r="C254" s="368" t="s">
        <v>165</v>
      </c>
      <c r="D254" s="368" t="s">
        <v>253</v>
      </c>
      <c r="E254" s="368" t="s">
        <v>1213</v>
      </c>
      <c r="F254" s="368" t="s">
        <v>266</v>
      </c>
      <c r="G254" s="373">
        <v>0</v>
      </c>
      <c r="H254" s="26">
        <v>0</v>
      </c>
      <c r="I254" s="26">
        <v>0</v>
      </c>
    </row>
    <row r="255" spans="1:9" s="222" customFormat="1" ht="33" customHeight="1" x14ac:dyDescent="0.25">
      <c r="A255" s="370" t="s">
        <v>1209</v>
      </c>
      <c r="B255" s="367">
        <v>903</v>
      </c>
      <c r="C255" s="371" t="s">
        <v>165</v>
      </c>
      <c r="D255" s="371" t="s">
        <v>253</v>
      </c>
      <c r="E255" s="371" t="s">
        <v>936</v>
      </c>
      <c r="F255" s="371"/>
      <c r="G255" s="369">
        <f>G256+G259</f>
        <v>260</v>
      </c>
      <c r="H255" s="21">
        <f t="shared" ref="H255:I255" si="134">H256+H259</f>
        <v>10</v>
      </c>
      <c r="I255" s="21">
        <f t="shared" si="134"/>
        <v>10</v>
      </c>
    </row>
    <row r="256" spans="1:9" s="222" customFormat="1" ht="18" customHeight="1" x14ac:dyDescent="0.25">
      <c r="A256" s="372" t="s">
        <v>1210</v>
      </c>
      <c r="B256" s="366">
        <v>903</v>
      </c>
      <c r="C256" s="368" t="s">
        <v>165</v>
      </c>
      <c r="D256" s="368" t="s">
        <v>253</v>
      </c>
      <c r="E256" s="368" t="s">
        <v>1214</v>
      </c>
      <c r="F256" s="368"/>
      <c r="G256" s="373">
        <f>G257</f>
        <v>60</v>
      </c>
      <c r="H256" s="26">
        <f t="shared" ref="H256:I257" si="135">H257</f>
        <v>10</v>
      </c>
      <c r="I256" s="26">
        <f t="shared" si="135"/>
        <v>10</v>
      </c>
    </row>
    <row r="257" spans="1:9" s="222" customFormat="1" ht="39.200000000000003" customHeight="1" x14ac:dyDescent="0.25">
      <c r="A257" s="372" t="s">
        <v>287</v>
      </c>
      <c r="B257" s="366">
        <v>903</v>
      </c>
      <c r="C257" s="368" t="s">
        <v>165</v>
      </c>
      <c r="D257" s="368" t="s">
        <v>253</v>
      </c>
      <c r="E257" s="368" t="s">
        <v>1214</v>
      </c>
      <c r="F257" s="368" t="s">
        <v>288</v>
      </c>
      <c r="G257" s="373">
        <f>G258</f>
        <v>60</v>
      </c>
      <c r="H257" s="26">
        <f t="shared" si="135"/>
        <v>10</v>
      </c>
      <c r="I257" s="26">
        <f t="shared" si="135"/>
        <v>10</v>
      </c>
    </row>
    <row r="258" spans="1:9" s="222" customFormat="1" ht="73.5" customHeight="1" x14ac:dyDescent="0.25">
      <c r="A258" s="372" t="s">
        <v>1292</v>
      </c>
      <c r="B258" s="366">
        <v>903</v>
      </c>
      <c r="C258" s="368" t="s">
        <v>165</v>
      </c>
      <c r="D258" s="368" t="s">
        <v>253</v>
      </c>
      <c r="E258" s="368" t="s">
        <v>1214</v>
      </c>
      <c r="F258" s="368" t="s">
        <v>387</v>
      </c>
      <c r="G258" s="373">
        <v>60</v>
      </c>
      <c r="H258" s="26">
        <v>10</v>
      </c>
      <c r="I258" s="26">
        <v>10</v>
      </c>
    </row>
    <row r="259" spans="1:9" s="222" customFormat="1" ht="93.2" customHeight="1" x14ac:dyDescent="0.25">
      <c r="A259" s="372" t="s">
        <v>388</v>
      </c>
      <c r="B259" s="366">
        <v>903</v>
      </c>
      <c r="C259" s="368" t="s">
        <v>165</v>
      </c>
      <c r="D259" s="368" t="s">
        <v>253</v>
      </c>
      <c r="E259" s="368" t="s">
        <v>1215</v>
      </c>
      <c r="F259" s="368"/>
      <c r="G259" s="373">
        <f>G260</f>
        <v>200</v>
      </c>
      <c r="H259" s="26">
        <f t="shared" ref="H259:I260" si="136">H260</f>
        <v>0</v>
      </c>
      <c r="I259" s="26">
        <f t="shared" si="136"/>
        <v>0</v>
      </c>
    </row>
    <row r="260" spans="1:9" s="222" customFormat="1" ht="39.75" customHeight="1" x14ac:dyDescent="0.25">
      <c r="A260" s="372" t="s">
        <v>287</v>
      </c>
      <c r="B260" s="366">
        <v>903</v>
      </c>
      <c r="C260" s="368" t="s">
        <v>165</v>
      </c>
      <c r="D260" s="368" t="s">
        <v>253</v>
      </c>
      <c r="E260" s="368" t="s">
        <v>1215</v>
      </c>
      <c r="F260" s="368" t="s">
        <v>288</v>
      </c>
      <c r="G260" s="373">
        <f>G261</f>
        <v>200</v>
      </c>
      <c r="H260" s="26">
        <f t="shared" si="136"/>
        <v>0</v>
      </c>
      <c r="I260" s="26">
        <f t="shared" si="136"/>
        <v>0</v>
      </c>
    </row>
    <row r="261" spans="1:9" s="222" customFormat="1" ht="61.5" customHeight="1" x14ac:dyDescent="0.25">
      <c r="A261" s="372" t="s">
        <v>1292</v>
      </c>
      <c r="B261" s="366">
        <v>903</v>
      </c>
      <c r="C261" s="368" t="s">
        <v>165</v>
      </c>
      <c r="D261" s="368" t="s">
        <v>253</v>
      </c>
      <c r="E261" s="368" t="s">
        <v>1215</v>
      </c>
      <c r="F261" s="368" t="s">
        <v>387</v>
      </c>
      <c r="G261" s="373">
        <f>500-300</f>
        <v>200</v>
      </c>
      <c r="H261" s="26">
        <v>0</v>
      </c>
      <c r="I261" s="26">
        <v>0</v>
      </c>
    </row>
    <row r="262" spans="1:9" s="222" customFormat="1" ht="21.2" hidden="1" customHeight="1" x14ac:dyDescent="0.25">
      <c r="A262" s="370" t="s">
        <v>1143</v>
      </c>
      <c r="B262" s="367">
        <v>903</v>
      </c>
      <c r="C262" s="371" t="s">
        <v>165</v>
      </c>
      <c r="D262" s="371" t="s">
        <v>253</v>
      </c>
      <c r="E262" s="371" t="s">
        <v>937</v>
      </c>
      <c r="F262" s="371"/>
      <c r="G262" s="369">
        <f>G263+G266</f>
        <v>0</v>
      </c>
      <c r="H262" s="21">
        <f t="shared" ref="H262:I262" si="137">H263+H266</f>
        <v>0</v>
      </c>
      <c r="I262" s="21">
        <f t="shared" si="137"/>
        <v>0</v>
      </c>
    </row>
    <row r="263" spans="1:9" s="222" customFormat="1" ht="41.25" hidden="1" customHeight="1" x14ac:dyDescent="0.25">
      <c r="A263" s="286" t="s">
        <v>1218</v>
      </c>
      <c r="B263" s="366">
        <v>903</v>
      </c>
      <c r="C263" s="368" t="s">
        <v>165</v>
      </c>
      <c r="D263" s="368" t="s">
        <v>253</v>
      </c>
      <c r="E263" s="368" t="s">
        <v>1216</v>
      </c>
      <c r="F263" s="368"/>
      <c r="G263" s="373">
        <f>G264</f>
        <v>0</v>
      </c>
      <c r="H263" s="26">
        <f t="shared" ref="H263:I264" si="138">H264</f>
        <v>0</v>
      </c>
      <c r="I263" s="26">
        <f t="shared" si="138"/>
        <v>0</v>
      </c>
    </row>
    <row r="264" spans="1:9" s="222" customFormat="1" ht="29.25" hidden="1" customHeight="1" x14ac:dyDescent="0.25">
      <c r="A264" s="372" t="s">
        <v>146</v>
      </c>
      <c r="B264" s="366">
        <v>903</v>
      </c>
      <c r="C264" s="368" t="s">
        <v>165</v>
      </c>
      <c r="D264" s="368" t="s">
        <v>253</v>
      </c>
      <c r="E264" s="368" t="s">
        <v>1216</v>
      </c>
      <c r="F264" s="368" t="s">
        <v>147</v>
      </c>
      <c r="G264" s="373">
        <f>G265</f>
        <v>0</v>
      </c>
      <c r="H264" s="26">
        <f t="shared" si="138"/>
        <v>0</v>
      </c>
      <c r="I264" s="26">
        <f t="shared" si="138"/>
        <v>0</v>
      </c>
    </row>
    <row r="265" spans="1:9" s="222" customFormat="1" ht="29.25" hidden="1" customHeight="1" x14ac:dyDescent="0.25">
      <c r="A265" s="372" t="s">
        <v>148</v>
      </c>
      <c r="B265" s="366">
        <v>903</v>
      </c>
      <c r="C265" s="368" t="s">
        <v>165</v>
      </c>
      <c r="D265" s="368" t="s">
        <v>253</v>
      </c>
      <c r="E265" s="368" t="s">
        <v>1216</v>
      </c>
      <c r="F265" s="368" t="s">
        <v>149</v>
      </c>
      <c r="G265" s="373">
        <v>0</v>
      </c>
      <c r="H265" s="26">
        <v>0</v>
      </c>
      <c r="I265" s="26">
        <v>0</v>
      </c>
    </row>
    <row r="266" spans="1:9" s="222" customFormat="1" ht="29.25" hidden="1" customHeight="1" x14ac:dyDescent="0.25">
      <c r="A266" s="372" t="s">
        <v>392</v>
      </c>
      <c r="B266" s="366">
        <v>903</v>
      </c>
      <c r="C266" s="368" t="s">
        <v>165</v>
      </c>
      <c r="D266" s="368" t="s">
        <v>253</v>
      </c>
      <c r="E266" s="368" t="s">
        <v>1217</v>
      </c>
      <c r="F266" s="368"/>
      <c r="G266" s="373">
        <f>G267</f>
        <v>0</v>
      </c>
      <c r="H266" s="26">
        <f t="shared" ref="H266:I267" si="139">H267</f>
        <v>0</v>
      </c>
      <c r="I266" s="26">
        <f t="shared" si="139"/>
        <v>0</v>
      </c>
    </row>
    <row r="267" spans="1:9" s="222" customFormat="1" ht="29.25" hidden="1" customHeight="1" x14ac:dyDescent="0.25">
      <c r="A267" s="372" t="s">
        <v>146</v>
      </c>
      <c r="B267" s="366">
        <v>903</v>
      </c>
      <c r="C267" s="368" t="s">
        <v>165</v>
      </c>
      <c r="D267" s="368" t="s">
        <v>253</v>
      </c>
      <c r="E267" s="368" t="s">
        <v>1217</v>
      </c>
      <c r="F267" s="368" t="s">
        <v>147</v>
      </c>
      <c r="G267" s="373">
        <f>G268</f>
        <v>0</v>
      </c>
      <c r="H267" s="26">
        <f t="shared" si="139"/>
        <v>0</v>
      </c>
      <c r="I267" s="26">
        <f t="shared" si="139"/>
        <v>0</v>
      </c>
    </row>
    <row r="268" spans="1:9" s="222" customFormat="1" ht="29.25" hidden="1" customHeight="1" x14ac:dyDescent="0.25">
      <c r="A268" s="372" t="s">
        <v>148</v>
      </c>
      <c r="B268" s="366">
        <v>903</v>
      </c>
      <c r="C268" s="368" t="s">
        <v>165</v>
      </c>
      <c r="D268" s="368" t="s">
        <v>253</v>
      </c>
      <c r="E268" s="368" t="s">
        <v>1217</v>
      </c>
      <c r="F268" s="368" t="s">
        <v>149</v>
      </c>
      <c r="G268" s="373">
        <v>0</v>
      </c>
      <c r="H268" s="26">
        <v>0</v>
      </c>
      <c r="I268" s="26">
        <v>0</v>
      </c>
    </row>
    <row r="269" spans="1:9" s="222" customFormat="1" ht="33.75" customHeight="1" x14ac:dyDescent="0.25">
      <c r="A269" s="239" t="s">
        <v>1310</v>
      </c>
      <c r="B269" s="367">
        <v>903</v>
      </c>
      <c r="C269" s="371" t="s">
        <v>165</v>
      </c>
      <c r="D269" s="371" t="s">
        <v>253</v>
      </c>
      <c r="E269" s="371" t="s">
        <v>1309</v>
      </c>
      <c r="F269" s="371"/>
      <c r="G269" s="369">
        <f>G270</f>
        <v>10</v>
      </c>
      <c r="H269" s="26"/>
      <c r="I269" s="26"/>
    </row>
    <row r="270" spans="1:9" s="222" customFormat="1" ht="29.25" customHeight="1" x14ac:dyDescent="0.25">
      <c r="A270" s="264" t="s">
        <v>1374</v>
      </c>
      <c r="B270" s="366">
        <v>903</v>
      </c>
      <c r="C270" s="368" t="s">
        <v>165</v>
      </c>
      <c r="D270" s="368" t="s">
        <v>253</v>
      </c>
      <c r="E270" s="368" t="s">
        <v>1364</v>
      </c>
      <c r="F270" s="368"/>
      <c r="G270" s="373">
        <f>G271</f>
        <v>10</v>
      </c>
      <c r="H270" s="26"/>
      <c r="I270" s="26"/>
    </row>
    <row r="271" spans="1:9" s="222" customFormat="1" ht="29.25" customHeight="1" x14ac:dyDescent="0.25">
      <c r="A271" s="372" t="s">
        <v>146</v>
      </c>
      <c r="B271" s="366">
        <v>903</v>
      </c>
      <c r="C271" s="368" t="s">
        <v>165</v>
      </c>
      <c r="D271" s="368" t="s">
        <v>253</v>
      </c>
      <c r="E271" s="368" t="s">
        <v>1364</v>
      </c>
      <c r="F271" s="368" t="s">
        <v>147</v>
      </c>
      <c r="G271" s="373">
        <f>G272</f>
        <v>10</v>
      </c>
      <c r="H271" s="26"/>
      <c r="I271" s="26"/>
    </row>
    <row r="272" spans="1:9" s="222" customFormat="1" ht="29.25" customHeight="1" x14ac:dyDescent="0.25">
      <c r="A272" s="372" t="s">
        <v>148</v>
      </c>
      <c r="B272" s="366">
        <v>903</v>
      </c>
      <c r="C272" s="368" t="s">
        <v>165</v>
      </c>
      <c r="D272" s="368" t="s">
        <v>253</v>
      </c>
      <c r="E272" s="368" t="s">
        <v>1364</v>
      </c>
      <c r="F272" s="368" t="s">
        <v>149</v>
      </c>
      <c r="G272" s="373">
        <v>10</v>
      </c>
      <c r="H272" s="26"/>
      <c r="I272" s="26"/>
    </row>
    <row r="273" spans="1:9" ht="15.75" x14ac:dyDescent="0.25">
      <c r="A273" s="370" t="s">
        <v>278</v>
      </c>
      <c r="B273" s="367">
        <v>903</v>
      </c>
      <c r="C273" s="371" t="s">
        <v>279</v>
      </c>
      <c r="D273" s="368"/>
      <c r="E273" s="368"/>
      <c r="F273" s="368"/>
      <c r="G273" s="369">
        <f>G274+G317</f>
        <v>18161.100000000002</v>
      </c>
      <c r="H273" s="21">
        <f t="shared" ref="H273:I273" si="140">H274+H317</f>
        <v>17722.400000000001</v>
      </c>
      <c r="I273" s="21">
        <f t="shared" si="140"/>
        <v>17722.400000000001</v>
      </c>
    </row>
    <row r="274" spans="1:9" ht="15.75" x14ac:dyDescent="0.25">
      <c r="A274" s="370" t="s">
        <v>280</v>
      </c>
      <c r="B274" s="367">
        <v>903</v>
      </c>
      <c r="C274" s="371" t="s">
        <v>279</v>
      </c>
      <c r="D274" s="371" t="s">
        <v>230</v>
      </c>
      <c r="E274" s="371"/>
      <c r="F274" s="371"/>
      <c r="G274" s="369">
        <f>G275+G312</f>
        <v>17401.100000000002</v>
      </c>
      <c r="H274" s="21">
        <f>H275+H312</f>
        <v>16822.400000000001</v>
      </c>
      <c r="I274" s="21">
        <f>I275+I312</f>
        <v>16822.400000000001</v>
      </c>
    </row>
    <row r="275" spans="1:9" ht="31.5" x14ac:dyDescent="0.25">
      <c r="A275" s="370" t="s">
        <v>281</v>
      </c>
      <c r="B275" s="367">
        <v>903</v>
      </c>
      <c r="C275" s="371" t="s">
        <v>279</v>
      </c>
      <c r="D275" s="371" t="s">
        <v>230</v>
      </c>
      <c r="E275" s="371" t="s">
        <v>282</v>
      </c>
      <c r="F275" s="371"/>
      <c r="G275" s="369">
        <f>G276</f>
        <v>17073.7</v>
      </c>
      <c r="H275" s="21">
        <f t="shared" ref="H275:I275" si="141">H276</f>
        <v>16601.400000000001</v>
      </c>
      <c r="I275" s="21">
        <f t="shared" si="141"/>
        <v>16601.400000000001</v>
      </c>
    </row>
    <row r="276" spans="1:9" ht="47.25" x14ac:dyDescent="0.25">
      <c r="A276" s="370" t="s">
        <v>283</v>
      </c>
      <c r="B276" s="367">
        <v>903</v>
      </c>
      <c r="C276" s="371" t="s">
        <v>279</v>
      </c>
      <c r="D276" s="371" t="s">
        <v>230</v>
      </c>
      <c r="E276" s="371" t="s">
        <v>284</v>
      </c>
      <c r="F276" s="371"/>
      <c r="G276" s="369">
        <f>G277+G285+G289+G299+G295</f>
        <v>17073.7</v>
      </c>
      <c r="H276" s="21">
        <f>H277+H285+H289+H299+H295</f>
        <v>16601.400000000001</v>
      </c>
      <c r="I276" s="21">
        <f>I277+I285+I289+I299+I295</f>
        <v>16601.400000000001</v>
      </c>
    </row>
    <row r="277" spans="1:9" s="222" customFormat="1" ht="31.5" x14ac:dyDescent="0.25">
      <c r="A277" s="370" t="s">
        <v>939</v>
      </c>
      <c r="B277" s="367">
        <v>903</v>
      </c>
      <c r="C277" s="371" t="s">
        <v>279</v>
      </c>
      <c r="D277" s="371" t="s">
        <v>230</v>
      </c>
      <c r="E277" s="371" t="s">
        <v>940</v>
      </c>
      <c r="F277" s="371"/>
      <c r="G277" s="44">
        <f>G278</f>
        <v>15441</v>
      </c>
      <c r="H277" s="44">
        <f t="shared" ref="H277:I277" si="142">H278</f>
        <v>15344.4</v>
      </c>
      <c r="I277" s="44">
        <f t="shared" si="142"/>
        <v>15344.4</v>
      </c>
    </row>
    <row r="278" spans="1:9" s="222" customFormat="1" ht="15.75" x14ac:dyDescent="0.25">
      <c r="A278" s="372" t="s">
        <v>830</v>
      </c>
      <c r="B278" s="366">
        <v>903</v>
      </c>
      <c r="C278" s="368" t="s">
        <v>279</v>
      </c>
      <c r="D278" s="368" t="s">
        <v>230</v>
      </c>
      <c r="E278" s="368" t="s">
        <v>938</v>
      </c>
      <c r="F278" s="368"/>
      <c r="G278" s="374">
        <f>G279+G281+G283</f>
        <v>15441</v>
      </c>
      <c r="H278" s="27">
        <f t="shared" ref="H278:I278" si="143">H279+H281+H283</f>
        <v>15344.4</v>
      </c>
      <c r="I278" s="27">
        <f t="shared" si="143"/>
        <v>15344.4</v>
      </c>
    </row>
    <row r="279" spans="1:9" s="222" customFormat="1" ht="63" x14ac:dyDescent="0.25">
      <c r="A279" s="372" t="s">
        <v>142</v>
      </c>
      <c r="B279" s="366">
        <v>903</v>
      </c>
      <c r="C279" s="368" t="s">
        <v>279</v>
      </c>
      <c r="D279" s="368" t="s">
        <v>230</v>
      </c>
      <c r="E279" s="368" t="s">
        <v>938</v>
      </c>
      <c r="F279" s="368" t="s">
        <v>143</v>
      </c>
      <c r="G279" s="374">
        <f>G280</f>
        <v>13412.5</v>
      </c>
      <c r="H279" s="27">
        <f t="shared" ref="H279:I279" si="144">H280</f>
        <v>13065.1</v>
      </c>
      <c r="I279" s="27">
        <f t="shared" si="144"/>
        <v>13065.1</v>
      </c>
    </row>
    <row r="280" spans="1:9" s="222" customFormat="1" ht="15.75" x14ac:dyDescent="0.25">
      <c r="A280" s="46" t="s">
        <v>357</v>
      </c>
      <c r="B280" s="366">
        <v>903</v>
      </c>
      <c r="C280" s="368" t="s">
        <v>279</v>
      </c>
      <c r="D280" s="368" t="s">
        <v>230</v>
      </c>
      <c r="E280" s="368" t="s">
        <v>938</v>
      </c>
      <c r="F280" s="368" t="s">
        <v>224</v>
      </c>
      <c r="G280" s="374">
        <f>13393+19.5</f>
        <v>13412.5</v>
      </c>
      <c r="H280" s="27">
        <v>13065.1</v>
      </c>
      <c r="I280" s="27">
        <v>13065.1</v>
      </c>
    </row>
    <row r="281" spans="1:9" s="222" customFormat="1" ht="31.5" x14ac:dyDescent="0.25">
      <c r="A281" s="372" t="s">
        <v>146</v>
      </c>
      <c r="B281" s="366">
        <v>903</v>
      </c>
      <c r="C281" s="368" t="s">
        <v>279</v>
      </c>
      <c r="D281" s="368" t="s">
        <v>230</v>
      </c>
      <c r="E281" s="368" t="s">
        <v>938</v>
      </c>
      <c r="F281" s="368" t="s">
        <v>147</v>
      </c>
      <c r="G281" s="374">
        <f>G282</f>
        <v>1950.5</v>
      </c>
      <c r="H281" s="27">
        <f t="shared" ref="H281:I281" si="145">H282</f>
        <v>2200.6999999999998</v>
      </c>
      <c r="I281" s="27">
        <f t="shared" si="145"/>
        <v>2200.6999999999998</v>
      </c>
    </row>
    <row r="282" spans="1:9" s="222" customFormat="1" ht="31.5" x14ac:dyDescent="0.25">
      <c r="A282" s="372" t="s">
        <v>148</v>
      </c>
      <c r="B282" s="366">
        <v>903</v>
      </c>
      <c r="C282" s="368" t="s">
        <v>279</v>
      </c>
      <c r="D282" s="368" t="s">
        <v>230</v>
      </c>
      <c r="E282" s="368" t="s">
        <v>938</v>
      </c>
      <c r="F282" s="368" t="s">
        <v>149</v>
      </c>
      <c r="G282" s="374">
        <f>1540+140+290-19.5</f>
        <v>1950.5</v>
      </c>
      <c r="H282" s="27">
        <v>2200.6999999999998</v>
      </c>
      <c r="I282" s="27">
        <v>2200.6999999999998</v>
      </c>
    </row>
    <row r="283" spans="1:9" s="222" customFormat="1" ht="15.75" x14ac:dyDescent="0.25">
      <c r="A283" s="372" t="s">
        <v>150</v>
      </c>
      <c r="B283" s="366">
        <v>903</v>
      </c>
      <c r="C283" s="368" t="s">
        <v>279</v>
      </c>
      <c r="D283" s="368" t="s">
        <v>230</v>
      </c>
      <c r="E283" s="368" t="s">
        <v>938</v>
      </c>
      <c r="F283" s="368" t="s">
        <v>160</v>
      </c>
      <c r="G283" s="374">
        <f>G284</f>
        <v>78</v>
      </c>
      <c r="H283" s="27">
        <f t="shared" ref="H283:I283" si="146">H284</f>
        <v>78.599999999999994</v>
      </c>
      <c r="I283" s="27">
        <f t="shared" si="146"/>
        <v>78.599999999999994</v>
      </c>
    </row>
    <row r="284" spans="1:9" s="222" customFormat="1" ht="15.75" x14ac:dyDescent="0.25">
      <c r="A284" s="372" t="s">
        <v>725</v>
      </c>
      <c r="B284" s="366">
        <v>903</v>
      </c>
      <c r="C284" s="368" t="s">
        <v>279</v>
      </c>
      <c r="D284" s="368" t="s">
        <v>230</v>
      </c>
      <c r="E284" s="368" t="s">
        <v>938</v>
      </c>
      <c r="F284" s="368" t="s">
        <v>153</v>
      </c>
      <c r="G284" s="374">
        <f>78.6-0.6</f>
        <v>78</v>
      </c>
      <c r="H284" s="27">
        <v>78.599999999999994</v>
      </c>
      <c r="I284" s="27">
        <v>78.599999999999994</v>
      </c>
    </row>
    <row r="285" spans="1:9" s="222" customFormat="1" ht="31.5" x14ac:dyDescent="0.25">
      <c r="A285" s="243" t="s">
        <v>1187</v>
      </c>
      <c r="B285" s="367">
        <v>903</v>
      </c>
      <c r="C285" s="371" t="s">
        <v>279</v>
      </c>
      <c r="D285" s="371" t="s">
        <v>230</v>
      </c>
      <c r="E285" s="371" t="s">
        <v>942</v>
      </c>
      <c r="F285" s="371"/>
      <c r="G285" s="44">
        <f>G286</f>
        <v>45</v>
      </c>
      <c r="H285" s="44">
        <f t="shared" ref="H285:I287" si="147">H286</f>
        <v>45</v>
      </c>
      <c r="I285" s="44">
        <f t="shared" si="147"/>
        <v>45</v>
      </c>
    </row>
    <row r="286" spans="1:9" ht="15.75" x14ac:dyDescent="0.25">
      <c r="A286" s="212" t="s">
        <v>829</v>
      </c>
      <c r="B286" s="366">
        <v>903</v>
      </c>
      <c r="C286" s="368" t="s">
        <v>279</v>
      </c>
      <c r="D286" s="368" t="s">
        <v>230</v>
      </c>
      <c r="E286" s="368" t="s">
        <v>941</v>
      </c>
      <c r="F286" s="368"/>
      <c r="G286" s="374">
        <f>G287</f>
        <v>45</v>
      </c>
      <c r="H286" s="27">
        <f t="shared" si="147"/>
        <v>45</v>
      </c>
      <c r="I286" s="27">
        <f t="shared" si="147"/>
        <v>45</v>
      </c>
    </row>
    <row r="287" spans="1:9" ht="15.75" x14ac:dyDescent="0.25">
      <c r="A287" s="372" t="s">
        <v>263</v>
      </c>
      <c r="B287" s="366">
        <v>903</v>
      </c>
      <c r="C287" s="368" t="s">
        <v>279</v>
      </c>
      <c r="D287" s="368" t="s">
        <v>230</v>
      </c>
      <c r="E287" s="368" t="s">
        <v>941</v>
      </c>
      <c r="F287" s="368" t="s">
        <v>264</v>
      </c>
      <c r="G287" s="374">
        <f>G288</f>
        <v>45</v>
      </c>
      <c r="H287" s="27">
        <f t="shared" si="147"/>
        <v>45</v>
      </c>
      <c r="I287" s="27">
        <f t="shared" si="147"/>
        <v>45</v>
      </c>
    </row>
    <row r="288" spans="1:9" ht="15.75" x14ac:dyDescent="0.25">
      <c r="A288" s="372" t="s">
        <v>863</v>
      </c>
      <c r="B288" s="366">
        <v>903</v>
      </c>
      <c r="C288" s="368" t="s">
        <v>279</v>
      </c>
      <c r="D288" s="368" t="s">
        <v>230</v>
      </c>
      <c r="E288" s="368" t="s">
        <v>941</v>
      </c>
      <c r="F288" s="368" t="s">
        <v>862</v>
      </c>
      <c r="G288" s="374">
        <v>45</v>
      </c>
      <c r="H288" s="27">
        <v>45</v>
      </c>
      <c r="I288" s="27">
        <v>45</v>
      </c>
    </row>
    <row r="289" spans="1:9" s="222" customFormat="1" ht="45" customHeight="1" x14ac:dyDescent="0.25">
      <c r="A289" s="248" t="s">
        <v>1166</v>
      </c>
      <c r="B289" s="367">
        <v>903</v>
      </c>
      <c r="C289" s="371" t="s">
        <v>279</v>
      </c>
      <c r="D289" s="371" t="s">
        <v>230</v>
      </c>
      <c r="E289" s="371" t="s">
        <v>943</v>
      </c>
      <c r="F289" s="371"/>
      <c r="G289" s="369">
        <f>G290</f>
        <v>250.00000000000003</v>
      </c>
      <c r="H289" s="21">
        <f t="shared" ref="H289:I289" si="148">H290</f>
        <v>264.60000000000002</v>
      </c>
      <c r="I289" s="21">
        <f t="shared" si="148"/>
        <v>264.60000000000002</v>
      </c>
    </row>
    <row r="290" spans="1:9" ht="36" customHeight="1" x14ac:dyDescent="0.25">
      <c r="A290" s="31" t="s">
        <v>858</v>
      </c>
      <c r="B290" s="366">
        <v>903</v>
      </c>
      <c r="C290" s="368" t="s">
        <v>279</v>
      </c>
      <c r="D290" s="368" t="s">
        <v>230</v>
      </c>
      <c r="E290" s="368" t="s">
        <v>944</v>
      </c>
      <c r="F290" s="368"/>
      <c r="G290" s="374">
        <f>G293+G291</f>
        <v>250.00000000000003</v>
      </c>
      <c r="H290" s="27">
        <f t="shared" ref="H290:I290" si="149">H293+H291</f>
        <v>264.60000000000002</v>
      </c>
      <c r="I290" s="27">
        <f t="shared" si="149"/>
        <v>264.60000000000002</v>
      </c>
    </row>
    <row r="291" spans="1:9" ht="63" x14ac:dyDescent="0.25">
      <c r="A291" s="372" t="s">
        <v>142</v>
      </c>
      <c r="B291" s="366">
        <v>903</v>
      </c>
      <c r="C291" s="368" t="s">
        <v>279</v>
      </c>
      <c r="D291" s="368" t="s">
        <v>230</v>
      </c>
      <c r="E291" s="368" t="s">
        <v>944</v>
      </c>
      <c r="F291" s="368" t="s">
        <v>143</v>
      </c>
      <c r="G291" s="374">
        <f>G292</f>
        <v>250.00000000000003</v>
      </c>
      <c r="H291" s="27">
        <f t="shared" ref="H291:I291" si="150">H292</f>
        <v>264.60000000000002</v>
      </c>
      <c r="I291" s="27">
        <f t="shared" si="150"/>
        <v>264.60000000000002</v>
      </c>
    </row>
    <row r="292" spans="1:9" ht="24.75" customHeight="1" x14ac:dyDescent="0.25">
      <c r="A292" s="46" t="s">
        <v>357</v>
      </c>
      <c r="B292" s="366">
        <v>903</v>
      </c>
      <c r="C292" s="368" t="s">
        <v>279</v>
      </c>
      <c r="D292" s="368" t="s">
        <v>230</v>
      </c>
      <c r="E292" s="368" t="s">
        <v>944</v>
      </c>
      <c r="F292" s="368" t="s">
        <v>224</v>
      </c>
      <c r="G292" s="374">
        <f>264.6-14.6</f>
        <v>250.00000000000003</v>
      </c>
      <c r="H292" s="27">
        <v>264.60000000000002</v>
      </c>
      <c r="I292" s="27">
        <v>264.60000000000002</v>
      </c>
    </row>
    <row r="293" spans="1:9" ht="30.75" hidden="1" customHeight="1" x14ac:dyDescent="0.25">
      <c r="A293" s="372" t="s">
        <v>146</v>
      </c>
      <c r="B293" s="366">
        <v>903</v>
      </c>
      <c r="C293" s="368" t="s">
        <v>279</v>
      </c>
      <c r="D293" s="368" t="s">
        <v>230</v>
      </c>
      <c r="E293" s="368" t="s">
        <v>944</v>
      </c>
      <c r="F293" s="368" t="s">
        <v>147</v>
      </c>
      <c r="G293" s="374">
        <f>G294</f>
        <v>0</v>
      </c>
      <c r="H293" s="27">
        <f t="shared" ref="H293:I293" si="151">H294</f>
        <v>0</v>
      </c>
      <c r="I293" s="27">
        <f t="shared" si="151"/>
        <v>0</v>
      </c>
    </row>
    <row r="294" spans="1:9" ht="39.200000000000003" hidden="1" customHeight="1" x14ac:dyDescent="0.25">
      <c r="A294" s="372" t="s">
        <v>148</v>
      </c>
      <c r="B294" s="366">
        <v>903</v>
      </c>
      <c r="C294" s="368" t="s">
        <v>279</v>
      </c>
      <c r="D294" s="368" t="s">
        <v>230</v>
      </c>
      <c r="E294" s="368" t="s">
        <v>944</v>
      </c>
      <c r="F294" s="368" t="s">
        <v>149</v>
      </c>
      <c r="G294" s="374">
        <f>300-300</f>
        <v>0</v>
      </c>
      <c r="H294" s="27">
        <f t="shared" ref="H294:I294" si="152">300-300</f>
        <v>0</v>
      </c>
      <c r="I294" s="27">
        <f t="shared" si="152"/>
        <v>0</v>
      </c>
    </row>
    <row r="295" spans="1:9" s="222" customFormat="1" ht="39.200000000000003" customHeight="1" x14ac:dyDescent="0.25">
      <c r="A295" s="370" t="s">
        <v>1074</v>
      </c>
      <c r="B295" s="367">
        <v>903</v>
      </c>
      <c r="C295" s="371" t="s">
        <v>279</v>
      </c>
      <c r="D295" s="371" t="s">
        <v>230</v>
      </c>
      <c r="E295" s="371" t="s">
        <v>949</v>
      </c>
      <c r="F295" s="371"/>
      <c r="G295" s="44">
        <f>G296</f>
        <v>336</v>
      </c>
      <c r="H295" s="44">
        <f t="shared" ref="H295" si="153">H296</f>
        <v>0</v>
      </c>
      <c r="I295" s="44">
        <f t="shared" ref="I295" si="154">I296</f>
        <v>0</v>
      </c>
    </row>
    <row r="296" spans="1:9" s="222" customFormat="1" ht="39.200000000000003" customHeight="1" x14ac:dyDescent="0.25">
      <c r="A296" s="372" t="s">
        <v>883</v>
      </c>
      <c r="B296" s="366">
        <v>903</v>
      </c>
      <c r="C296" s="368" t="s">
        <v>279</v>
      </c>
      <c r="D296" s="368" t="s">
        <v>230</v>
      </c>
      <c r="E296" s="368" t="s">
        <v>1263</v>
      </c>
      <c r="F296" s="368"/>
      <c r="G296" s="373">
        <f>G297</f>
        <v>336</v>
      </c>
      <c r="H296" s="26">
        <f t="shared" ref="H296:H297" si="155">H297</f>
        <v>0</v>
      </c>
      <c r="I296" s="26">
        <f t="shared" ref="I296:I297" si="156">I297</f>
        <v>0</v>
      </c>
    </row>
    <row r="297" spans="1:9" s="222" customFormat="1" ht="70.5" customHeight="1" x14ac:dyDescent="0.25">
      <c r="A297" s="372" t="s">
        <v>142</v>
      </c>
      <c r="B297" s="366">
        <v>903</v>
      </c>
      <c r="C297" s="368" t="s">
        <v>279</v>
      </c>
      <c r="D297" s="368" t="s">
        <v>230</v>
      </c>
      <c r="E297" s="368" t="s">
        <v>1263</v>
      </c>
      <c r="F297" s="368" t="s">
        <v>143</v>
      </c>
      <c r="G297" s="373">
        <f>G298</f>
        <v>336</v>
      </c>
      <c r="H297" s="26">
        <f t="shared" si="155"/>
        <v>0</v>
      </c>
      <c r="I297" s="26">
        <f t="shared" si="156"/>
        <v>0</v>
      </c>
    </row>
    <row r="298" spans="1:9" s="222" customFormat="1" ht="25.5" customHeight="1" x14ac:dyDescent="0.25">
      <c r="A298" s="372" t="s">
        <v>357</v>
      </c>
      <c r="B298" s="366">
        <v>903</v>
      </c>
      <c r="C298" s="368" t="s">
        <v>279</v>
      </c>
      <c r="D298" s="368" t="s">
        <v>230</v>
      </c>
      <c r="E298" s="368" t="s">
        <v>1263</v>
      </c>
      <c r="F298" s="368" t="s">
        <v>224</v>
      </c>
      <c r="G298" s="373">
        <v>336</v>
      </c>
      <c r="H298" s="26"/>
      <c r="I298" s="26"/>
    </row>
    <row r="299" spans="1:9" s="222" customFormat="1" ht="50.25" customHeight="1" x14ac:dyDescent="0.25">
      <c r="A299" s="370" t="s">
        <v>969</v>
      </c>
      <c r="B299" s="367">
        <v>903</v>
      </c>
      <c r="C299" s="371" t="s">
        <v>279</v>
      </c>
      <c r="D299" s="371" t="s">
        <v>230</v>
      </c>
      <c r="E299" s="371" t="s">
        <v>1264</v>
      </c>
      <c r="F299" s="371"/>
      <c r="G299" s="44">
        <f>G303+G306+G309+G300</f>
        <v>1001.7</v>
      </c>
      <c r="H299" s="44">
        <f t="shared" ref="H299:I299" si="157">H303+H306+H309</f>
        <v>947.40000000000009</v>
      </c>
      <c r="I299" s="44">
        <f t="shared" si="157"/>
        <v>947.40000000000009</v>
      </c>
    </row>
    <row r="300" spans="1:9" s="362" customFormat="1" ht="80.25" customHeight="1" x14ac:dyDescent="0.25">
      <c r="A300" s="31" t="s">
        <v>308</v>
      </c>
      <c r="B300" s="366">
        <v>903</v>
      </c>
      <c r="C300" s="368" t="s">
        <v>279</v>
      </c>
      <c r="D300" s="368" t="s">
        <v>230</v>
      </c>
      <c r="E300" s="368" t="s">
        <v>1524</v>
      </c>
      <c r="F300" s="368"/>
      <c r="G300" s="374">
        <f>G301</f>
        <v>422.5</v>
      </c>
      <c r="H300" s="44"/>
      <c r="I300" s="44"/>
    </row>
    <row r="301" spans="1:9" s="362" customFormat="1" ht="70.5" customHeight="1" x14ac:dyDescent="0.25">
      <c r="A301" s="372" t="s">
        <v>142</v>
      </c>
      <c r="B301" s="366">
        <v>903</v>
      </c>
      <c r="C301" s="368" t="s">
        <v>279</v>
      </c>
      <c r="D301" s="368" t="s">
        <v>230</v>
      </c>
      <c r="E301" s="368" t="s">
        <v>1524</v>
      </c>
      <c r="F301" s="368" t="s">
        <v>143</v>
      </c>
      <c r="G301" s="374">
        <f>G302</f>
        <v>422.5</v>
      </c>
      <c r="H301" s="44"/>
      <c r="I301" s="44"/>
    </row>
    <row r="302" spans="1:9" s="362" customFormat="1" ht="39.200000000000003" customHeight="1" x14ac:dyDescent="0.25">
      <c r="A302" s="46" t="s">
        <v>357</v>
      </c>
      <c r="B302" s="366">
        <v>903</v>
      </c>
      <c r="C302" s="368" t="s">
        <v>279</v>
      </c>
      <c r="D302" s="368" t="s">
        <v>230</v>
      </c>
      <c r="E302" s="368" t="s">
        <v>1524</v>
      </c>
      <c r="F302" s="368" t="s">
        <v>224</v>
      </c>
      <c r="G302" s="374">
        <v>422.5</v>
      </c>
      <c r="H302" s="44"/>
      <c r="I302" s="44"/>
    </row>
    <row r="303" spans="1:9" s="222" customFormat="1" ht="71.45" customHeight="1" x14ac:dyDescent="0.25">
      <c r="A303" s="31" t="s">
        <v>304</v>
      </c>
      <c r="B303" s="366">
        <v>903</v>
      </c>
      <c r="C303" s="368" t="s">
        <v>279</v>
      </c>
      <c r="D303" s="368" t="s">
        <v>230</v>
      </c>
      <c r="E303" s="368" t="s">
        <v>1265</v>
      </c>
      <c r="F303" s="368"/>
      <c r="G303" s="373">
        <f>G304</f>
        <v>100.8</v>
      </c>
      <c r="H303" s="26">
        <f t="shared" ref="H303:I304" si="158">H304</f>
        <v>65.5</v>
      </c>
      <c r="I303" s="26">
        <f t="shared" si="158"/>
        <v>65.5</v>
      </c>
    </row>
    <row r="304" spans="1:9" s="222" customFormat="1" ht="70.5" customHeight="1" x14ac:dyDescent="0.25">
      <c r="A304" s="372" t="s">
        <v>142</v>
      </c>
      <c r="B304" s="366">
        <v>903</v>
      </c>
      <c r="C304" s="368" t="s">
        <v>279</v>
      </c>
      <c r="D304" s="368" t="s">
        <v>230</v>
      </c>
      <c r="E304" s="368" t="s">
        <v>1265</v>
      </c>
      <c r="F304" s="368" t="s">
        <v>143</v>
      </c>
      <c r="G304" s="373">
        <f>G305</f>
        <v>100.8</v>
      </c>
      <c r="H304" s="26">
        <f t="shared" si="158"/>
        <v>65.5</v>
      </c>
      <c r="I304" s="26">
        <f t="shared" si="158"/>
        <v>65.5</v>
      </c>
    </row>
    <row r="305" spans="1:9" s="222" customFormat="1" ht="21.75" customHeight="1" x14ac:dyDescent="0.25">
      <c r="A305" s="46" t="s">
        <v>357</v>
      </c>
      <c r="B305" s="366">
        <v>903</v>
      </c>
      <c r="C305" s="368" t="s">
        <v>279</v>
      </c>
      <c r="D305" s="368" t="s">
        <v>230</v>
      </c>
      <c r="E305" s="368" t="s">
        <v>1265</v>
      </c>
      <c r="F305" s="368" t="s">
        <v>224</v>
      </c>
      <c r="G305" s="373">
        <v>100.8</v>
      </c>
      <c r="H305" s="26">
        <f t="shared" ref="H305:I305" si="159">126.7-61.2</f>
        <v>65.5</v>
      </c>
      <c r="I305" s="26">
        <f t="shared" si="159"/>
        <v>65.5</v>
      </c>
    </row>
    <row r="306" spans="1:9" s="222" customFormat="1" ht="67.7" customHeight="1" x14ac:dyDescent="0.25">
      <c r="A306" s="31" t="s">
        <v>306</v>
      </c>
      <c r="B306" s="366">
        <v>903</v>
      </c>
      <c r="C306" s="368" t="s">
        <v>279</v>
      </c>
      <c r="D306" s="368" t="s">
        <v>230</v>
      </c>
      <c r="E306" s="368" t="s">
        <v>1266</v>
      </c>
      <c r="F306" s="368"/>
      <c r="G306" s="373">
        <f>G307</f>
        <v>298.40000000000003</v>
      </c>
      <c r="H306" s="26">
        <f t="shared" ref="H306:I307" si="160">H307</f>
        <v>321.50000000000006</v>
      </c>
      <c r="I306" s="26">
        <f t="shared" si="160"/>
        <v>321.50000000000006</v>
      </c>
    </row>
    <row r="307" spans="1:9" s="222" customFormat="1" ht="69.75" customHeight="1" x14ac:dyDescent="0.25">
      <c r="A307" s="372" t="s">
        <v>142</v>
      </c>
      <c r="B307" s="366">
        <v>903</v>
      </c>
      <c r="C307" s="368" t="s">
        <v>279</v>
      </c>
      <c r="D307" s="368" t="s">
        <v>230</v>
      </c>
      <c r="E307" s="368" t="s">
        <v>1266</v>
      </c>
      <c r="F307" s="368" t="s">
        <v>143</v>
      </c>
      <c r="G307" s="373">
        <f>G308</f>
        <v>298.40000000000003</v>
      </c>
      <c r="H307" s="26">
        <f t="shared" si="160"/>
        <v>321.50000000000006</v>
      </c>
      <c r="I307" s="26">
        <f t="shared" si="160"/>
        <v>321.50000000000006</v>
      </c>
    </row>
    <row r="308" spans="1:9" s="222" customFormat="1" ht="21.2" customHeight="1" x14ac:dyDescent="0.25">
      <c r="A308" s="46" t="s">
        <v>357</v>
      </c>
      <c r="B308" s="366">
        <v>903</v>
      </c>
      <c r="C308" s="368" t="s">
        <v>279</v>
      </c>
      <c r="D308" s="368" t="s">
        <v>230</v>
      </c>
      <c r="E308" s="368" t="s">
        <v>1266</v>
      </c>
      <c r="F308" s="368" t="s">
        <v>224</v>
      </c>
      <c r="G308" s="373">
        <f>298.35+0.05</f>
        <v>298.40000000000003</v>
      </c>
      <c r="H308" s="26">
        <f t="shared" ref="H308:I308" si="161">393.3-82.6+10.8</f>
        <v>321.50000000000006</v>
      </c>
      <c r="I308" s="26">
        <f t="shared" si="161"/>
        <v>321.50000000000006</v>
      </c>
    </row>
    <row r="309" spans="1:9" s="222" customFormat="1" ht="87.75" customHeight="1" x14ac:dyDescent="0.25">
      <c r="A309" s="31" t="s">
        <v>308</v>
      </c>
      <c r="B309" s="366">
        <v>903</v>
      </c>
      <c r="C309" s="368" t="s">
        <v>279</v>
      </c>
      <c r="D309" s="368" t="s">
        <v>230</v>
      </c>
      <c r="E309" s="368" t="s">
        <v>1267</v>
      </c>
      <c r="F309" s="368"/>
      <c r="G309" s="373">
        <f>G310</f>
        <v>180</v>
      </c>
      <c r="H309" s="26">
        <f t="shared" ref="H309:I310" si="162">H310</f>
        <v>560.4</v>
      </c>
      <c r="I309" s="26">
        <f t="shared" si="162"/>
        <v>560.4</v>
      </c>
    </row>
    <row r="310" spans="1:9" s="222" customFormat="1" ht="62.45" customHeight="1" x14ac:dyDescent="0.25">
      <c r="A310" s="372" t="s">
        <v>142</v>
      </c>
      <c r="B310" s="366">
        <v>903</v>
      </c>
      <c r="C310" s="368" t="s">
        <v>279</v>
      </c>
      <c r="D310" s="368" t="s">
        <v>230</v>
      </c>
      <c r="E310" s="368" t="s">
        <v>1267</v>
      </c>
      <c r="F310" s="368" t="s">
        <v>143</v>
      </c>
      <c r="G310" s="373">
        <f>G311</f>
        <v>180</v>
      </c>
      <c r="H310" s="26">
        <f t="shared" si="162"/>
        <v>560.4</v>
      </c>
      <c r="I310" s="26">
        <f t="shared" si="162"/>
        <v>560.4</v>
      </c>
    </row>
    <row r="311" spans="1:9" s="222" customFormat="1" ht="16.5" customHeight="1" x14ac:dyDescent="0.25">
      <c r="A311" s="46" t="s">
        <v>357</v>
      </c>
      <c r="B311" s="366">
        <v>903</v>
      </c>
      <c r="C311" s="368" t="s">
        <v>279</v>
      </c>
      <c r="D311" s="368" t="s">
        <v>230</v>
      </c>
      <c r="E311" s="368" t="s">
        <v>1267</v>
      </c>
      <c r="F311" s="368" t="s">
        <v>224</v>
      </c>
      <c r="G311" s="373">
        <f>602.48+0.02-422.5</f>
        <v>180</v>
      </c>
      <c r="H311" s="26">
        <f t="shared" ref="H311:I311" si="163">600-0.3-10.2-29.1</f>
        <v>560.4</v>
      </c>
      <c r="I311" s="26">
        <f t="shared" si="163"/>
        <v>560.4</v>
      </c>
    </row>
    <row r="312" spans="1:9" ht="51" customHeight="1" x14ac:dyDescent="0.25">
      <c r="A312" s="41" t="s">
        <v>728</v>
      </c>
      <c r="B312" s="367">
        <v>903</v>
      </c>
      <c r="C312" s="371" t="s">
        <v>279</v>
      </c>
      <c r="D312" s="371" t="s">
        <v>230</v>
      </c>
      <c r="E312" s="371" t="s">
        <v>726</v>
      </c>
      <c r="F312" s="371"/>
      <c r="G312" s="369">
        <f>G314</f>
        <v>327.39999999999998</v>
      </c>
      <c r="H312" s="21">
        <f t="shared" ref="H312:I312" si="164">H314</f>
        <v>221</v>
      </c>
      <c r="I312" s="21">
        <f t="shared" si="164"/>
        <v>221</v>
      </c>
    </row>
    <row r="313" spans="1:9" s="222" customFormat="1" ht="48.75" customHeight="1" x14ac:dyDescent="0.25">
      <c r="A313" s="41" t="s">
        <v>947</v>
      </c>
      <c r="B313" s="367">
        <v>903</v>
      </c>
      <c r="C313" s="371" t="s">
        <v>279</v>
      </c>
      <c r="D313" s="371" t="s">
        <v>230</v>
      </c>
      <c r="E313" s="371" t="s">
        <v>945</v>
      </c>
      <c r="F313" s="371"/>
      <c r="G313" s="369">
        <f>G314</f>
        <v>327.39999999999998</v>
      </c>
      <c r="H313" s="21">
        <f t="shared" ref="H313:I315" si="165">H314</f>
        <v>221</v>
      </c>
      <c r="I313" s="21">
        <f t="shared" si="165"/>
        <v>221</v>
      </c>
    </row>
    <row r="314" spans="1:9" ht="32.25" customHeight="1" x14ac:dyDescent="0.25">
      <c r="A314" s="99" t="s">
        <v>1155</v>
      </c>
      <c r="B314" s="368" t="s">
        <v>642</v>
      </c>
      <c r="C314" s="368" t="s">
        <v>279</v>
      </c>
      <c r="D314" s="368" t="s">
        <v>230</v>
      </c>
      <c r="E314" s="368" t="s">
        <v>946</v>
      </c>
      <c r="F314" s="32"/>
      <c r="G314" s="373">
        <f>G315</f>
        <v>327.39999999999998</v>
      </c>
      <c r="H314" s="26">
        <f t="shared" si="165"/>
        <v>221</v>
      </c>
      <c r="I314" s="26">
        <f t="shared" si="165"/>
        <v>221</v>
      </c>
    </row>
    <row r="315" spans="1:9" ht="33" customHeight="1" x14ac:dyDescent="0.25">
      <c r="A315" s="372" t="s">
        <v>146</v>
      </c>
      <c r="B315" s="366">
        <v>903</v>
      </c>
      <c r="C315" s="368" t="s">
        <v>279</v>
      </c>
      <c r="D315" s="368" t="s">
        <v>230</v>
      </c>
      <c r="E315" s="368" t="s">
        <v>946</v>
      </c>
      <c r="F315" s="32" t="s">
        <v>147</v>
      </c>
      <c r="G315" s="373">
        <f>G316</f>
        <v>327.39999999999998</v>
      </c>
      <c r="H315" s="26">
        <f t="shared" si="165"/>
        <v>221</v>
      </c>
      <c r="I315" s="26">
        <f t="shared" si="165"/>
        <v>221</v>
      </c>
    </row>
    <row r="316" spans="1:9" ht="34.5" customHeight="1" x14ac:dyDescent="0.25">
      <c r="A316" s="372" t="s">
        <v>148</v>
      </c>
      <c r="B316" s="366">
        <v>903</v>
      </c>
      <c r="C316" s="368" t="s">
        <v>279</v>
      </c>
      <c r="D316" s="368" t="s">
        <v>230</v>
      </c>
      <c r="E316" s="368" t="s">
        <v>946</v>
      </c>
      <c r="F316" s="32" t="s">
        <v>149</v>
      </c>
      <c r="G316" s="373">
        <f>221+106.4</f>
        <v>327.39999999999998</v>
      </c>
      <c r="H316" s="26">
        <v>221</v>
      </c>
      <c r="I316" s="26">
        <v>221</v>
      </c>
    </row>
    <row r="317" spans="1:9" ht="19.5" customHeight="1" x14ac:dyDescent="0.25">
      <c r="A317" s="370" t="s">
        <v>481</v>
      </c>
      <c r="B317" s="367">
        <v>903</v>
      </c>
      <c r="C317" s="371" t="s">
        <v>279</v>
      </c>
      <c r="D317" s="371" t="s">
        <v>279</v>
      </c>
      <c r="E317" s="368"/>
      <c r="F317" s="368"/>
      <c r="G317" s="369">
        <f>G318</f>
        <v>760</v>
      </c>
      <c r="H317" s="21">
        <f t="shared" ref="H317:I318" si="166">H318</f>
        <v>900</v>
      </c>
      <c r="I317" s="21">
        <f t="shared" si="166"/>
        <v>900</v>
      </c>
    </row>
    <row r="318" spans="1:9" ht="52.5" customHeight="1" x14ac:dyDescent="0.25">
      <c r="A318" s="370" t="s">
        <v>358</v>
      </c>
      <c r="B318" s="367">
        <v>903</v>
      </c>
      <c r="C318" s="371" t="s">
        <v>279</v>
      </c>
      <c r="D318" s="371" t="s">
        <v>279</v>
      </c>
      <c r="E318" s="371" t="s">
        <v>359</v>
      </c>
      <c r="F318" s="371"/>
      <c r="G318" s="369">
        <f>G319</f>
        <v>760</v>
      </c>
      <c r="H318" s="21">
        <f t="shared" si="166"/>
        <v>900</v>
      </c>
      <c r="I318" s="21">
        <f t="shared" si="166"/>
        <v>900</v>
      </c>
    </row>
    <row r="319" spans="1:9" ht="32.25" customHeight="1" x14ac:dyDescent="0.25">
      <c r="A319" s="370" t="s">
        <v>360</v>
      </c>
      <c r="B319" s="367">
        <v>903</v>
      </c>
      <c r="C319" s="371" t="s">
        <v>279</v>
      </c>
      <c r="D319" s="371" t="s">
        <v>279</v>
      </c>
      <c r="E319" s="371" t="s">
        <v>361</v>
      </c>
      <c r="F319" s="371"/>
      <c r="G319" s="369">
        <f>G320+G327+G333</f>
        <v>760</v>
      </c>
      <c r="H319" s="21">
        <f t="shared" ref="H319:I319" si="167">H320+H327+H333</f>
        <v>900</v>
      </c>
      <c r="I319" s="21">
        <f t="shared" si="167"/>
        <v>900</v>
      </c>
    </row>
    <row r="320" spans="1:9" s="222" customFormat="1" ht="48.75" customHeight="1" x14ac:dyDescent="0.25">
      <c r="A320" s="238" t="s">
        <v>1196</v>
      </c>
      <c r="B320" s="367">
        <v>903</v>
      </c>
      <c r="C320" s="371" t="s">
        <v>279</v>
      </c>
      <c r="D320" s="371" t="s">
        <v>279</v>
      </c>
      <c r="E320" s="371" t="s">
        <v>950</v>
      </c>
      <c r="F320" s="371"/>
      <c r="G320" s="369">
        <f>G321+G324</f>
        <v>280</v>
      </c>
      <c r="H320" s="21">
        <f t="shared" ref="H320:I320" si="168">H321+H324</f>
        <v>298.60000000000002</v>
      </c>
      <c r="I320" s="21">
        <f t="shared" si="168"/>
        <v>298.60000000000002</v>
      </c>
    </row>
    <row r="321" spans="1:9" s="222" customFormat="1" ht="23.25" customHeight="1" x14ac:dyDescent="0.25">
      <c r="A321" s="99" t="s">
        <v>1202</v>
      </c>
      <c r="B321" s="366">
        <v>903</v>
      </c>
      <c r="C321" s="368" t="s">
        <v>279</v>
      </c>
      <c r="D321" s="368" t="s">
        <v>279</v>
      </c>
      <c r="E321" s="368" t="s">
        <v>951</v>
      </c>
      <c r="F321" s="368"/>
      <c r="G321" s="373">
        <f>G322</f>
        <v>280</v>
      </c>
      <c r="H321" s="26">
        <f t="shared" ref="H321:I322" si="169">H322</f>
        <v>298.60000000000002</v>
      </c>
      <c r="I321" s="26">
        <f t="shared" si="169"/>
        <v>298.60000000000002</v>
      </c>
    </row>
    <row r="322" spans="1:9" s="222" customFormat="1" ht="72" customHeight="1" x14ac:dyDescent="0.25">
      <c r="A322" s="372" t="s">
        <v>142</v>
      </c>
      <c r="B322" s="366">
        <v>903</v>
      </c>
      <c r="C322" s="368" t="s">
        <v>279</v>
      </c>
      <c r="D322" s="368" t="s">
        <v>279</v>
      </c>
      <c r="E322" s="368" t="s">
        <v>951</v>
      </c>
      <c r="F322" s="368" t="s">
        <v>143</v>
      </c>
      <c r="G322" s="373">
        <f>G323</f>
        <v>280</v>
      </c>
      <c r="H322" s="26">
        <f t="shared" si="169"/>
        <v>298.60000000000002</v>
      </c>
      <c r="I322" s="26">
        <f t="shared" si="169"/>
        <v>298.60000000000002</v>
      </c>
    </row>
    <row r="323" spans="1:9" s="222" customFormat="1" ht="18" customHeight="1" x14ac:dyDescent="0.25">
      <c r="A323" s="372" t="s">
        <v>357</v>
      </c>
      <c r="B323" s="366">
        <v>903</v>
      </c>
      <c r="C323" s="368" t="s">
        <v>279</v>
      </c>
      <c r="D323" s="368" t="s">
        <v>279</v>
      </c>
      <c r="E323" s="368" t="s">
        <v>951</v>
      </c>
      <c r="F323" s="368" t="s">
        <v>224</v>
      </c>
      <c r="G323" s="373">
        <v>280</v>
      </c>
      <c r="H323" s="26">
        <v>298.60000000000002</v>
      </c>
      <c r="I323" s="26">
        <v>298.60000000000002</v>
      </c>
    </row>
    <row r="324" spans="1:9" s="222" customFormat="1" ht="19.5" hidden="1" customHeight="1" x14ac:dyDescent="0.25">
      <c r="A324" s="372" t="s">
        <v>1197</v>
      </c>
      <c r="B324" s="366">
        <v>903</v>
      </c>
      <c r="C324" s="368" t="s">
        <v>279</v>
      </c>
      <c r="D324" s="368" t="s">
        <v>279</v>
      </c>
      <c r="E324" s="368" t="s">
        <v>1221</v>
      </c>
      <c r="F324" s="368"/>
      <c r="G324" s="373">
        <f>G325</f>
        <v>0</v>
      </c>
      <c r="H324" s="26">
        <f t="shared" ref="H324:I325" si="170">H325</f>
        <v>0</v>
      </c>
      <c r="I324" s="26">
        <f t="shared" si="170"/>
        <v>0</v>
      </c>
    </row>
    <row r="325" spans="1:9" s="222" customFormat="1" ht="32.25" hidden="1" customHeight="1" x14ac:dyDescent="0.25">
      <c r="A325" s="372" t="s">
        <v>146</v>
      </c>
      <c r="B325" s="366">
        <v>903</v>
      </c>
      <c r="C325" s="368" t="s">
        <v>279</v>
      </c>
      <c r="D325" s="368" t="s">
        <v>279</v>
      </c>
      <c r="E325" s="368" t="s">
        <v>1221</v>
      </c>
      <c r="F325" s="368" t="s">
        <v>147</v>
      </c>
      <c r="G325" s="373">
        <f>G326</f>
        <v>0</v>
      </c>
      <c r="H325" s="26">
        <f t="shared" si="170"/>
        <v>0</v>
      </c>
      <c r="I325" s="26">
        <f t="shared" si="170"/>
        <v>0</v>
      </c>
    </row>
    <row r="326" spans="1:9" s="222" customFormat="1" ht="37.5" hidden="1" customHeight="1" x14ac:dyDescent="0.25">
      <c r="A326" s="372" t="s">
        <v>148</v>
      </c>
      <c r="B326" s="366">
        <v>903</v>
      </c>
      <c r="C326" s="368" t="s">
        <v>279</v>
      </c>
      <c r="D326" s="368" t="s">
        <v>279</v>
      </c>
      <c r="E326" s="368" t="s">
        <v>1221</v>
      </c>
      <c r="F326" s="368" t="s">
        <v>149</v>
      </c>
      <c r="G326" s="373">
        <v>0</v>
      </c>
      <c r="H326" s="26">
        <v>0</v>
      </c>
      <c r="I326" s="26">
        <v>0</v>
      </c>
    </row>
    <row r="327" spans="1:9" s="222" customFormat="1" ht="64.5" customHeight="1" x14ac:dyDescent="0.25">
      <c r="A327" s="370" t="s">
        <v>1198</v>
      </c>
      <c r="B327" s="367">
        <v>903</v>
      </c>
      <c r="C327" s="371" t="s">
        <v>279</v>
      </c>
      <c r="D327" s="371" t="s">
        <v>279</v>
      </c>
      <c r="E327" s="371" t="s">
        <v>952</v>
      </c>
      <c r="F327" s="371"/>
      <c r="G327" s="369">
        <f>G328</f>
        <v>455</v>
      </c>
      <c r="H327" s="21">
        <f t="shared" ref="H327:I327" si="171">H328</f>
        <v>576.4</v>
      </c>
      <c r="I327" s="21">
        <f t="shared" si="171"/>
        <v>576.4</v>
      </c>
    </row>
    <row r="328" spans="1:9" ht="15.75" customHeight="1" x14ac:dyDescent="0.25">
      <c r="A328" s="372" t="s">
        <v>1199</v>
      </c>
      <c r="B328" s="366">
        <v>903</v>
      </c>
      <c r="C328" s="368" t="s">
        <v>279</v>
      </c>
      <c r="D328" s="368" t="s">
        <v>279</v>
      </c>
      <c r="E328" s="368" t="s">
        <v>970</v>
      </c>
      <c r="F328" s="368"/>
      <c r="G328" s="373">
        <f>G331+G330</f>
        <v>455</v>
      </c>
      <c r="H328" s="26">
        <f t="shared" ref="H328:I328" si="172">H331+H330</f>
        <v>576.4</v>
      </c>
      <c r="I328" s="26">
        <f t="shared" si="172"/>
        <v>576.4</v>
      </c>
    </row>
    <row r="329" spans="1:9" ht="63" customHeight="1" x14ac:dyDescent="0.25">
      <c r="A329" s="372" t="s">
        <v>142</v>
      </c>
      <c r="B329" s="366">
        <v>903</v>
      </c>
      <c r="C329" s="368" t="s">
        <v>279</v>
      </c>
      <c r="D329" s="368" t="s">
        <v>279</v>
      </c>
      <c r="E329" s="368" t="s">
        <v>970</v>
      </c>
      <c r="F329" s="368" t="s">
        <v>143</v>
      </c>
      <c r="G329" s="373">
        <f>G330</f>
        <v>40</v>
      </c>
      <c r="H329" s="26">
        <f t="shared" ref="H329:I329" si="173">H330</f>
        <v>40</v>
      </c>
      <c r="I329" s="26">
        <f t="shared" si="173"/>
        <v>40</v>
      </c>
    </row>
    <row r="330" spans="1:9" ht="20.25" customHeight="1" x14ac:dyDescent="0.25">
      <c r="A330" s="372" t="s">
        <v>357</v>
      </c>
      <c r="B330" s="366">
        <v>903</v>
      </c>
      <c r="C330" s="368" t="s">
        <v>279</v>
      </c>
      <c r="D330" s="368" t="s">
        <v>279</v>
      </c>
      <c r="E330" s="368" t="s">
        <v>970</v>
      </c>
      <c r="F330" s="368" t="s">
        <v>224</v>
      </c>
      <c r="G330" s="373">
        <f>40</f>
        <v>40</v>
      </c>
      <c r="H330" s="26">
        <f>40</f>
        <v>40</v>
      </c>
      <c r="I330" s="26">
        <f>40</f>
        <v>40</v>
      </c>
    </row>
    <row r="331" spans="1:9" ht="27" customHeight="1" x14ac:dyDescent="0.25">
      <c r="A331" s="372" t="s">
        <v>146</v>
      </c>
      <c r="B331" s="366">
        <v>903</v>
      </c>
      <c r="C331" s="368" t="s">
        <v>279</v>
      </c>
      <c r="D331" s="368" t="s">
        <v>279</v>
      </c>
      <c r="E331" s="368" t="s">
        <v>970</v>
      </c>
      <c r="F331" s="368" t="s">
        <v>147</v>
      </c>
      <c r="G331" s="373">
        <f>G332</f>
        <v>415</v>
      </c>
      <c r="H331" s="26">
        <f t="shared" ref="H331:I331" si="174">H332</f>
        <v>536.4</v>
      </c>
      <c r="I331" s="26">
        <f t="shared" si="174"/>
        <v>536.4</v>
      </c>
    </row>
    <row r="332" spans="1:9" ht="39.200000000000003" customHeight="1" x14ac:dyDescent="0.25">
      <c r="A332" s="372" t="s">
        <v>148</v>
      </c>
      <c r="B332" s="366">
        <v>903</v>
      </c>
      <c r="C332" s="368" t="s">
        <v>279</v>
      </c>
      <c r="D332" s="368" t="s">
        <v>279</v>
      </c>
      <c r="E332" s="368" t="s">
        <v>970</v>
      </c>
      <c r="F332" s="368" t="s">
        <v>149</v>
      </c>
      <c r="G332" s="373">
        <v>415</v>
      </c>
      <c r="H332" s="26">
        <v>536.4</v>
      </c>
      <c r="I332" s="26">
        <v>536.4</v>
      </c>
    </row>
    <row r="333" spans="1:9" s="222" customFormat="1" ht="35.450000000000003" customHeight="1" x14ac:dyDescent="0.25">
      <c r="A333" s="370" t="s">
        <v>1204</v>
      </c>
      <c r="B333" s="367">
        <v>903</v>
      </c>
      <c r="C333" s="371" t="s">
        <v>279</v>
      </c>
      <c r="D333" s="371" t="s">
        <v>279</v>
      </c>
      <c r="E333" s="371" t="s">
        <v>1200</v>
      </c>
      <c r="F333" s="371"/>
      <c r="G333" s="369">
        <f>G334</f>
        <v>25</v>
      </c>
      <c r="H333" s="21">
        <f t="shared" ref="H333:I335" si="175">H334</f>
        <v>25</v>
      </c>
      <c r="I333" s="21">
        <f t="shared" si="175"/>
        <v>25</v>
      </c>
    </row>
    <row r="334" spans="1:9" s="222" customFormat="1" ht="39.75" customHeight="1" x14ac:dyDescent="0.25">
      <c r="A334" s="264" t="s">
        <v>1201</v>
      </c>
      <c r="B334" s="366">
        <v>903</v>
      </c>
      <c r="C334" s="368" t="s">
        <v>279</v>
      </c>
      <c r="D334" s="368" t="s">
        <v>279</v>
      </c>
      <c r="E334" s="368" t="s">
        <v>1222</v>
      </c>
      <c r="F334" s="368"/>
      <c r="G334" s="373">
        <f>G335</f>
        <v>25</v>
      </c>
      <c r="H334" s="26">
        <f t="shared" si="175"/>
        <v>25</v>
      </c>
      <c r="I334" s="26">
        <f t="shared" si="175"/>
        <v>25</v>
      </c>
    </row>
    <row r="335" spans="1:9" s="222" customFormat="1" ht="17.45" customHeight="1" x14ac:dyDescent="0.25">
      <c r="A335" s="372" t="s">
        <v>263</v>
      </c>
      <c r="B335" s="366">
        <v>903</v>
      </c>
      <c r="C335" s="368" t="s">
        <v>279</v>
      </c>
      <c r="D335" s="368" t="s">
        <v>279</v>
      </c>
      <c r="E335" s="368" t="s">
        <v>1222</v>
      </c>
      <c r="F335" s="368" t="s">
        <v>264</v>
      </c>
      <c r="G335" s="373">
        <f>G336</f>
        <v>25</v>
      </c>
      <c r="H335" s="26">
        <f t="shared" si="175"/>
        <v>25</v>
      </c>
      <c r="I335" s="26">
        <f t="shared" si="175"/>
        <v>25</v>
      </c>
    </row>
    <row r="336" spans="1:9" s="222" customFormat="1" ht="35.450000000000003" customHeight="1" x14ac:dyDescent="0.25">
      <c r="A336" s="372" t="s">
        <v>1492</v>
      </c>
      <c r="B336" s="366">
        <v>903</v>
      </c>
      <c r="C336" s="368" t="s">
        <v>279</v>
      </c>
      <c r="D336" s="368" t="s">
        <v>279</v>
      </c>
      <c r="E336" s="368" t="s">
        <v>1222</v>
      </c>
      <c r="F336" s="368" t="s">
        <v>1491</v>
      </c>
      <c r="G336" s="373">
        <v>25</v>
      </c>
      <c r="H336" s="26">
        <v>25</v>
      </c>
      <c r="I336" s="26">
        <v>25</v>
      </c>
    </row>
    <row r="337" spans="1:9" ht="15.75" x14ac:dyDescent="0.25">
      <c r="A337" s="370" t="s">
        <v>313</v>
      </c>
      <c r="B337" s="367">
        <v>903</v>
      </c>
      <c r="C337" s="371" t="s">
        <v>314</v>
      </c>
      <c r="D337" s="371"/>
      <c r="E337" s="371"/>
      <c r="F337" s="371"/>
      <c r="G337" s="369">
        <f>G338+G414</f>
        <v>72248.323000000004</v>
      </c>
      <c r="H337" s="21" t="e">
        <f>H338+H414</f>
        <v>#REF!</v>
      </c>
      <c r="I337" s="21" t="e">
        <f>I338+I414</f>
        <v>#REF!</v>
      </c>
    </row>
    <row r="338" spans="1:9" ht="15.75" x14ac:dyDescent="0.25">
      <c r="A338" s="370" t="s">
        <v>315</v>
      </c>
      <c r="B338" s="367">
        <v>903</v>
      </c>
      <c r="C338" s="371" t="s">
        <v>314</v>
      </c>
      <c r="D338" s="371" t="s">
        <v>133</v>
      </c>
      <c r="E338" s="371"/>
      <c r="F338" s="371"/>
      <c r="G338" s="369">
        <f>G339+G409+G404</f>
        <v>54353.722999999998</v>
      </c>
      <c r="H338" s="21" t="e">
        <f>H339+H409</f>
        <v>#REF!</v>
      </c>
      <c r="I338" s="21" t="e">
        <f>I339+I409</f>
        <v>#REF!</v>
      </c>
    </row>
    <row r="339" spans="1:9" ht="35.450000000000003" customHeight="1" x14ac:dyDescent="0.25">
      <c r="A339" s="370" t="s">
        <v>281</v>
      </c>
      <c r="B339" s="367">
        <v>903</v>
      </c>
      <c r="C339" s="371" t="s">
        <v>314</v>
      </c>
      <c r="D339" s="371" t="s">
        <v>133</v>
      </c>
      <c r="E339" s="371" t="s">
        <v>282</v>
      </c>
      <c r="F339" s="371"/>
      <c r="G339" s="369">
        <f>G340+G370</f>
        <v>53419.123</v>
      </c>
      <c r="H339" s="21" t="e">
        <f>H340+H370+H359</f>
        <v>#REF!</v>
      </c>
      <c r="I339" s="21" t="e">
        <f>I340+I370+I359</f>
        <v>#REF!</v>
      </c>
    </row>
    <row r="340" spans="1:9" ht="46.5" customHeight="1" x14ac:dyDescent="0.25">
      <c r="A340" s="370" t="s">
        <v>316</v>
      </c>
      <c r="B340" s="367">
        <v>903</v>
      </c>
      <c r="C340" s="371" t="s">
        <v>314</v>
      </c>
      <c r="D340" s="371" t="s">
        <v>133</v>
      </c>
      <c r="E340" s="371" t="s">
        <v>317</v>
      </c>
      <c r="F340" s="371"/>
      <c r="G340" s="369">
        <f>G341+G349+G355+G359+G366</f>
        <v>29748.222999999998</v>
      </c>
      <c r="H340" s="21">
        <f t="shared" ref="H340:I340" si="176">H341+H349+H355+H359</f>
        <v>25924.600000000002</v>
      </c>
      <c r="I340" s="21">
        <f t="shared" si="176"/>
        <v>25924.600000000002</v>
      </c>
    </row>
    <row r="341" spans="1:9" s="222" customFormat="1" ht="30.2" customHeight="1" x14ac:dyDescent="0.25">
      <c r="A341" s="370" t="s">
        <v>954</v>
      </c>
      <c r="B341" s="367">
        <v>903</v>
      </c>
      <c r="C341" s="371" t="s">
        <v>314</v>
      </c>
      <c r="D341" s="371" t="s">
        <v>133</v>
      </c>
      <c r="E341" s="371" t="s">
        <v>955</v>
      </c>
      <c r="F341" s="371"/>
      <c r="G341" s="369">
        <f>G342</f>
        <v>25834</v>
      </c>
      <c r="H341" s="21">
        <f t="shared" ref="H341:I341" si="177">H342</f>
        <v>23289.600000000002</v>
      </c>
      <c r="I341" s="21">
        <f t="shared" si="177"/>
        <v>23289.600000000002</v>
      </c>
    </row>
    <row r="342" spans="1:9" s="222" customFormat="1" ht="17.45" customHeight="1" x14ac:dyDescent="0.25">
      <c r="A342" s="372" t="s">
        <v>830</v>
      </c>
      <c r="B342" s="366">
        <v>903</v>
      </c>
      <c r="C342" s="368" t="s">
        <v>314</v>
      </c>
      <c r="D342" s="368" t="s">
        <v>133</v>
      </c>
      <c r="E342" s="368" t="s">
        <v>953</v>
      </c>
      <c r="F342" s="368"/>
      <c r="G342" s="373">
        <f>G343+G345+G347</f>
        <v>25834</v>
      </c>
      <c r="H342" s="26">
        <f t="shared" ref="H342:I342" si="178">H343+H345+H347</f>
        <v>23289.600000000002</v>
      </c>
      <c r="I342" s="26">
        <f t="shared" si="178"/>
        <v>23289.600000000002</v>
      </c>
    </row>
    <row r="343" spans="1:9" s="222" customFormat="1" ht="46.5" customHeight="1" x14ac:dyDescent="0.25">
      <c r="A343" s="372" t="s">
        <v>142</v>
      </c>
      <c r="B343" s="366">
        <v>903</v>
      </c>
      <c r="C343" s="368" t="s">
        <v>314</v>
      </c>
      <c r="D343" s="368" t="s">
        <v>133</v>
      </c>
      <c r="E343" s="368" t="s">
        <v>953</v>
      </c>
      <c r="F343" s="368" t="s">
        <v>143</v>
      </c>
      <c r="G343" s="373">
        <f>G344</f>
        <v>20047.5</v>
      </c>
      <c r="H343" s="26">
        <f t="shared" ref="H343:I343" si="179">H344</f>
        <v>17500.400000000001</v>
      </c>
      <c r="I343" s="26">
        <f t="shared" si="179"/>
        <v>17500.400000000001</v>
      </c>
    </row>
    <row r="344" spans="1:9" s="222" customFormat="1" ht="33" customHeight="1" x14ac:dyDescent="0.25">
      <c r="A344" s="372" t="s">
        <v>223</v>
      </c>
      <c r="B344" s="366">
        <v>903</v>
      </c>
      <c r="C344" s="368" t="s">
        <v>314</v>
      </c>
      <c r="D344" s="368" t="s">
        <v>133</v>
      </c>
      <c r="E344" s="368" t="s">
        <v>953</v>
      </c>
      <c r="F344" s="368" t="s">
        <v>224</v>
      </c>
      <c r="G344" s="374">
        <f>20032+15.5</f>
        <v>20047.5</v>
      </c>
      <c r="H344" s="27">
        <f t="shared" ref="H344:I344" si="180">18085.4-585</f>
        <v>17500.400000000001</v>
      </c>
      <c r="I344" s="27">
        <f t="shared" si="180"/>
        <v>17500.400000000001</v>
      </c>
    </row>
    <row r="345" spans="1:9" s="222" customFormat="1" ht="36.75" customHeight="1" x14ac:dyDescent="0.25">
      <c r="A345" s="372" t="s">
        <v>146</v>
      </c>
      <c r="B345" s="366">
        <v>903</v>
      </c>
      <c r="C345" s="368" t="s">
        <v>314</v>
      </c>
      <c r="D345" s="368" t="s">
        <v>133</v>
      </c>
      <c r="E345" s="368" t="s">
        <v>953</v>
      </c>
      <c r="F345" s="368" t="s">
        <v>147</v>
      </c>
      <c r="G345" s="373">
        <f>G346</f>
        <v>5666.5</v>
      </c>
      <c r="H345" s="26">
        <f t="shared" ref="H345:I345" si="181">H346</f>
        <v>5681.2</v>
      </c>
      <c r="I345" s="26">
        <f t="shared" si="181"/>
        <v>5681.2</v>
      </c>
    </row>
    <row r="346" spans="1:9" s="222" customFormat="1" ht="33" customHeight="1" x14ac:dyDescent="0.25">
      <c r="A346" s="372" t="s">
        <v>148</v>
      </c>
      <c r="B346" s="366">
        <v>903</v>
      </c>
      <c r="C346" s="368" t="s">
        <v>314</v>
      </c>
      <c r="D346" s="368" t="s">
        <v>133</v>
      </c>
      <c r="E346" s="368" t="s">
        <v>953</v>
      </c>
      <c r="F346" s="368" t="s">
        <v>149</v>
      </c>
      <c r="G346" s="374">
        <f>4715-1000+1400+570-18.5</f>
        <v>5666.5</v>
      </c>
      <c r="H346" s="27">
        <v>5681.2</v>
      </c>
      <c r="I346" s="27">
        <v>5681.2</v>
      </c>
    </row>
    <row r="347" spans="1:9" s="222" customFormat="1" ht="18" customHeight="1" x14ac:dyDescent="0.25">
      <c r="A347" s="372" t="s">
        <v>150</v>
      </c>
      <c r="B347" s="366">
        <v>903</v>
      </c>
      <c r="C347" s="368" t="s">
        <v>314</v>
      </c>
      <c r="D347" s="368" t="s">
        <v>133</v>
      </c>
      <c r="E347" s="368" t="s">
        <v>953</v>
      </c>
      <c r="F347" s="368" t="s">
        <v>160</v>
      </c>
      <c r="G347" s="373">
        <f>G348</f>
        <v>120</v>
      </c>
      <c r="H347" s="26">
        <f t="shared" ref="H347:I347" si="182">H348</f>
        <v>108</v>
      </c>
      <c r="I347" s="26">
        <f t="shared" si="182"/>
        <v>108</v>
      </c>
    </row>
    <row r="348" spans="1:9" s="222" customFormat="1" ht="16.5" customHeight="1" x14ac:dyDescent="0.25">
      <c r="A348" s="372" t="s">
        <v>583</v>
      </c>
      <c r="B348" s="366">
        <v>903</v>
      </c>
      <c r="C348" s="368" t="s">
        <v>314</v>
      </c>
      <c r="D348" s="368" t="s">
        <v>133</v>
      </c>
      <c r="E348" s="368" t="s">
        <v>953</v>
      </c>
      <c r="F348" s="368" t="s">
        <v>153</v>
      </c>
      <c r="G348" s="373">
        <f>37+80+3</f>
        <v>120</v>
      </c>
      <c r="H348" s="26">
        <v>108</v>
      </c>
      <c r="I348" s="26">
        <v>108</v>
      </c>
    </row>
    <row r="349" spans="1:9" s="222" customFormat="1" ht="35.450000000000003" customHeight="1" x14ac:dyDescent="0.25">
      <c r="A349" s="244" t="s">
        <v>968</v>
      </c>
      <c r="B349" s="367">
        <v>903</v>
      </c>
      <c r="C349" s="371" t="s">
        <v>314</v>
      </c>
      <c r="D349" s="371" t="s">
        <v>133</v>
      </c>
      <c r="E349" s="371" t="s">
        <v>956</v>
      </c>
      <c r="F349" s="371"/>
      <c r="G349" s="369">
        <f>G350</f>
        <v>1171</v>
      </c>
      <c r="H349" s="21">
        <f t="shared" ref="H349:I349" si="183">H350</f>
        <v>2050</v>
      </c>
      <c r="I349" s="21">
        <f t="shared" si="183"/>
        <v>2050</v>
      </c>
    </row>
    <row r="350" spans="1:9" ht="35.450000000000003" customHeight="1" x14ac:dyDescent="0.25">
      <c r="A350" s="31" t="s">
        <v>858</v>
      </c>
      <c r="B350" s="366">
        <v>903</v>
      </c>
      <c r="C350" s="368" t="s">
        <v>314</v>
      </c>
      <c r="D350" s="368" t="s">
        <v>133</v>
      </c>
      <c r="E350" s="368" t="s">
        <v>957</v>
      </c>
      <c r="F350" s="368"/>
      <c r="G350" s="374">
        <f>G353+G351</f>
        <v>1171</v>
      </c>
      <c r="H350" s="27">
        <f t="shared" ref="H350:I350" si="184">H353+H351</f>
        <v>2050</v>
      </c>
      <c r="I350" s="27">
        <f t="shared" si="184"/>
        <v>2050</v>
      </c>
    </row>
    <row r="351" spans="1:9" ht="66.2" customHeight="1" x14ac:dyDescent="0.25">
      <c r="A351" s="372" t="s">
        <v>142</v>
      </c>
      <c r="B351" s="366">
        <v>903</v>
      </c>
      <c r="C351" s="368" t="s">
        <v>314</v>
      </c>
      <c r="D351" s="368" t="s">
        <v>133</v>
      </c>
      <c r="E351" s="368" t="s">
        <v>957</v>
      </c>
      <c r="F351" s="368" t="s">
        <v>143</v>
      </c>
      <c r="G351" s="374">
        <f>G352</f>
        <v>455.4</v>
      </c>
      <c r="H351" s="27">
        <f t="shared" ref="H351:I351" si="185">H352</f>
        <v>925</v>
      </c>
      <c r="I351" s="27">
        <f t="shared" si="185"/>
        <v>925</v>
      </c>
    </row>
    <row r="352" spans="1:9" ht="20.25" customHeight="1" x14ac:dyDescent="0.25">
      <c r="A352" s="372" t="s">
        <v>223</v>
      </c>
      <c r="B352" s="366">
        <v>903</v>
      </c>
      <c r="C352" s="368" t="s">
        <v>314</v>
      </c>
      <c r="D352" s="368" t="s">
        <v>133</v>
      </c>
      <c r="E352" s="368" t="s">
        <v>957</v>
      </c>
      <c r="F352" s="368" t="s">
        <v>224</v>
      </c>
      <c r="G352" s="374">
        <v>455.4</v>
      </c>
      <c r="H352" s="27">
        <v>925</v>
      </c>
      <c r="I352" s="27">
        <v>925</v>
      </c>
    </row>
    <row r="353" spans="1:9" ht="33.75" customHeight="1" x14ac:dyDescent="0.25">
      <c r="A353" s="372" t="s">
        <v>146</v>
      </c>
      <c r="B353" s="366">
        <v>903</v>
      </c>
      <c r="C353" s="368" t="s">
        <v>314</v>
      </c>
      <c r="D353" s="368" t="s">
        <v>133</v>
      </c>
      <c r="E353" s="368" t="s">
        <v>957</v>
      </c>
      <c r="F353" s="368" t="s">
        <v>147</v>
      </c>
      <c r="G353" s="374">
        <f>G354</f>
        <v>715.6</v>
      </c>
      <c r="H353" s="27">
        <f t="shared" ref="H353:I353" si="186">H354</f>
        <v>1125</v>
      </c>
      <c r="I353" s="27">
        <f t="shared" si="186"/>
        <v>1125</v>
      </c>
    </row>
    <row r="354" spans="1:9" ht="36.75" customHeight="1" x14ac:dyDescent="0.25">
      <c r="A354" s="372" t="s">
        <v>148</v>
      </c>
      <c r="B354" s="366">
        <v>903</v>
      </c>
      <c r="C354" s="368" t="s">
        <v>314</v>
      </c>
      <c r="D354" s="368" t="s">
        <v>133</v>
      </c>
      <c r="E354" s="368" t="s">
        <v>957</v>
      </c>
      <c r="F354" s="368" t="s">
        <v>149</v>
      </c>
      <c r="G354" s="374">
        <f>250+921-455.4</f>
        <v>715.6</v>
      </c>
      <c r="H354" s="27">
        <v>1125</v>
      </c>
      <c r="I354" s="27">
        <v>1125</v>
      </c>
    </row>
    <row r="355" spans="1:9" s="222" customFormat="1" ht="36.75" customHeight="1" x14ac:dyDescent="0.25">
      <c r="A355" s="370" t="s">
        <v>1074</v>
      </c>
      <c r="B355" s="367">
        <v>903</v>
      </c>
      <c r="C355" s="371" t="s">
        <v>314</v>
      </c>
      <c r="D355" s="371" t="s">
        <v>133</v>
      </c>
      <c r="E355" s="371" t="s">
        <v>1162</v>
      </c>
      <c r="F355" s="371"/>
      <c r="G355" s="44">
        <f>G356</f>
        <v>588</v>
      </c>
      <c r="H355" s="44">
        <f t="shared" ref="H355:I357" si="187">H356</f>
        <v>585</v>
      </c>
      <c r="I355" s="44">
        <f t="shared" si="187"/>
        <v>585</v>
      </c>
    </row>
    <row r="356" spans="1:9" s="222" customFormat="1" ht="36.75" customHeight="1" x14ac:dyDescent="0.25">
      <c r="A356" s="372" t="s">
        <v>883</v>
      </c>
      <c r="B356" s="366">
        <v>903</v>
      </c>
      <c r="C356" s="368" t="s">
        <v>314</v>
      </c>
      <c r="D356" s="368" t="s">
        <v>133</v>
      </c>
      <c r="E356" s="368" t="s">
        <v>1163</v>
      </c>
      <c r="F356" s="368"/>
      <c r="G356" s="373">
        <f>G357</f>
        <v>588</v>
      </c>
      <c r="H356" s="26">
        <f t="shared" si="187"/>
        <v>585</v>
      </c>
      <c r="I356" s="26">
        <f t="shared" si="187"/>
        <v>585</v>
      </c>
    </row>
    <row r="357" spans="1:9" s="222" customFormat="1" ht="62.45" customHeight="1" x14ac:dyDescent="0.25">
      <c r="A357" s="372" t="s">
        <v>142</v>
      </c>
      <c r="B357" s="366">
        <v>903</v>
      </c>
      <c r="C357" s="368" t="s">
        <v>314</v>
      </c>
      <c r="D357" s="368" t="s">
        <v>133</v>
      </c>
      <c r="E357" s="368" t="s">
        <v>1163</v>
      </c>
      <c r="F357" s="368" t="s">
        <v>143</v>
      </c>
      <c r="G357" s="373">
        <f>G358</f>
        <v>588</v>
      </c>
      <c r="H357" s="26">
        <f t="shared" si="187"/>
        <v>585</v>
      </c>
      <c r="I357" s="26">
        <f t="shared" si="187"/>
        <v>585</v>
      </c>
    </row>
    <row r="358" spans="1:9" s="222" customFormat="1" ht="36.75" customHeight="1" x14ac:dyDescent="0.25">
      <c r="A358" s="372" t="s">
        <v>144</v>
      </c>
      <c r="B358" s="366">
        <v>903</v>
      </c>
      <c r="C358" s="368" t="s">
        <v>314</v>
      </c>
      <c r="D358" s="368" t="s">
        <v>133</v>
      </c>
      <c r="E358" s="368" t="s">
        <v>1163</v>
      </c>
      <c r="F358" s="368" t="s">
        <v>224</v>
      </c>
      <c r="G358" s="373">
        <v>588</v>
      </c>
      <c r="H358" s="26">
        <v>585</v>
      </c>
      <c r="I358" s="26">
        <v>585</v>
      </c>
    </row>
    <row r="359" spans="1:9" s="222" customFormat="1" ht="36.75" customHeight="1" x14ac:dyDescent="0.25">
      <c r="A359" s="245" t="s">
        <v>969</v>
      </c>
      <c r="B359" s="367">
        <v>903</v>
      </c>
      <c r="C359" s="371" t="s">
        <v>314</v>
      </c>
      <c r="D359" s="371" t="s">
        <v>133</v>
      </c>
      <c r="E359" s="371" t="s">
        <v>1164</v>
      </c>
      <c r="F359" s="371"/>
      <c r="G359" s="369">
        <f>G363+G360</f>
        <v>824.3</v>
      </c>
      <c r="H359" s="21">
        <f>H363</f>
        <v>0</v>
      </c>
      <c r="I359" s="21">
        <f>I363</f>
        <v>0</v>
      </c>
    </row>
    <row r="360" spans="1:9" s="362" customFormat="1" ht="81" customHeight="1" x14ac:dyDescent="0.25">
      <c r="A360" s="31" t="s">
        <v>308</v>
      </c>
      <c r="B360" s="366">
        <v>903</v>
      </c>
      <c r="C360" s="368" t="s">
        <v>314</v>
      </c>
      <c r="D360" s="368" t="s">
        <v>133</v>
      </c>
      <c r="E360" s="368" t="s">
        <v>1527</v>
      </c>
      <c r="F360" s="371"/>
      <c r="G360" s="373">
        <f>G361</f>
        <v>749.3</v>
      </c>
      <c r="H360" s="369"/>
      <c r="I360" s="369"/>
    </row>
    <row r="361" spans="1:9" s="362" customFormat="1" ht="69.75" customHeight="1" x14ac:dyDescent="0.25">
      <c r="A361" s="372" t="s">
        <v>142</v>
      </c>
      <c r="B361" s="366">
        <v>903</v>
      </c>
      <c r="C361" s="368" t="s">
        <v>314</v>
      </c>
      <c r="D361" s="368" t="s">
        <v>133</v>
      </c>
      <c r="E361" s="368" t="s">
        <v>1527</v>
      </c>
      <c r="F361" s="368" t="s">
        <v>143</v>
      </c>
      <c r="G361" s="373">
        <f>G362</f>
        <v>749.3</v>
      </c>
      <c r="H361" s="369"/>
      <c r="I361" s="369"/>
    </row>
    <row r="362" spans="1:9" s="362" customFormat="1" ht="36.75" customHeight="1" x14ac:dyDescent="0.25">
      <c r="A362" s="372" t="s">
        <v>223</v>
      </c>
      <c r="B362" s="366">
        <v>903</v>
      </c>
      <c r="C362" s="368" t="s">
        <v>314</v>
      </c>
      <c r="D362" s="368" t="s">
        <v>133</v>
      </c>
      <c r="E362" s="368" t="s">
        <v>1527</v>
      </c>
      <c r="F362" s="368" t="s">
        <v>224</v>
      </c>
      <c r="G362" s="373">
        <v>749.3</v>
      </c>
      <c r="H362" s="369"/>
      <c r="I362" s="369"/>
    </row>
    <row r="363" spans="1:9" s="222" customFormat="1" ht="79.5" customHeight="1" x14ac:dyDescent="0.25">
      <c r="A363" s="31" t="s">
        <v>308</v>
      </c>
      <c r="B363" s="366">
        <v>903</v>
      </c>
      <c r="C363" s="368" t="s">
        <v>314</v>
      </c>
      <c r="D363" s="368" t="s">
        <v>133</v>
      </c>
      <c r="E363" s="368" t="s">
        <v>1165</v>
      </c>
      <c r="F363" s="368"/>
      <c r="G363" s="373">
        <f>G364</f>
        <v>75</v>
      </c>
      <c r="H363" s="26">
        <f t="shared" ref="H363:I364" si="188">H364</f>
        <v>0</v>
      </c>
      <c r="I363" s="26">
        <f t="shared" si="188"/>
        <v>0</v>
      </c>
    </row>
    <row r="364" spans="1:9" s="222" customFormat="1" ht="66.2" customHeight="1" x14ac:dyDescent="0.25">
      <c r="A364" s="372" t="s">
        <v>142</v>
      </c>
      <c r="B364" s="366">
        <v>903</v>
      </c>
      <c r="C364" s="368" t="s">
        <v>314</v>
      </c>
      <c r="D364" s="368" t="s">
        <v>133</v>
      </c>
      <c r="E364" s="368" t="s">
        <v>1165</v>
      </c>
      <c r="F364" s="368" t="s">
        <v>143</v>
      </c>
      <c r="G364" s="373">
        <f>G365</f>
        <v>75</v>
      </c>
      <c r="H364" s="26">
        <f t="shared" si="188"/>
        <v>0</v>
      </c>
      <c r="I364" s="26">
        <f t="shared" si="188"/>
        <v>0</v>
      </c>
    </row>
    <row r="365" spans="1:9" s="222" customFormat="1" ht="21.75" customHeight="1" x14ac:dyDescent="0.25">
      <c r="A365" s="372" t="s">
        <v>223</v>
      </c>
      <c r="B365" s="366">
        <v>903</v>
      </c>
      <c r="C365" s="368" t="s">
        <v>314</v>
      </c>
      <c r="D365" s="368" t="s">
        <v>133</v>
      </c>
      <c r="E365" s="368" t="s">
        <v>1165</v>
      </c>
      <c r="F365" s="368" t="s">
        <v>224</v>
      </c>
      <c r="G365" s="373">
        <f>724.29+100+0.01-749.3</f>
        <v>75</v>
      </c>
      <c r="H365" s="26">
        <v>0</v>
      </c>
      <c r="I365" s="26">
        <v>0</v>
      </c>
    </row>
    <row r="366" spans="1:9" s="222" customFormat="1" ht="31.7" customHeight="1" x14ac:dyDescent="0.25">
      <c r="A366" s="238" t="s">
        <v>1408</v>
      </c>
      <c r="B366" s="367">
        <v>903</v>
      </c>
      <c r="C366" s="371" t="s">
        <v>314</v>
      </c>
      <c r="D366" s="371" t="s">
        <v>133</v>
      </c>
      <c r="E366" s="371" t="s">
        <v>1409</v>
      </c>
      <c r="F366" s="371"/>
      <c r="G366" s="369">
        <f>G367</f>
        <v>1330.923</v>
      </c>
      <c r="H366" s="26"/>
      <c r="I366" s="26"/>
    </row>
    <row r="367" spans="1:9" s="222" customFormat="1" ht="48.2" customHeight="1" x14ac:dyDescent="0.25">
      <c r="A367" s="99" t="s">
        <v>1410</v>
      </c>
      <c r="B367" s="366">
        <v>903</v>
      </c>
      <c r="C367" s="368" t="s">
        <v>314</v>
      </c>
      <c r="D367" s="368" t="s">
        <v>133</v>
      </c>
      <c r="E367" s="368" t="s">
        <v>1411</v>
      </c>
      <c r="F367" s="368"/>
      <c r="G367" s="373">
        <f>G368</f>
        <v>1330.923</v>
      </c>
      <c r="H367" s="26"/>
      <c r="I367" s="26"/>
    </row>
    <row r="368" spans="1:9" s="222" customFormat="1" ht="35.450000000000003" customHeight="1" x14ac:dyDescent="0.25">
      <c r="A368" s="372" t="s">
        <v>146</v>
      </c>
      <c r="B368" s="366">
        <v>903</v>
      </c>
      <c r="C368" s="368" t="s">
        <v>314</v>
      </c>
      <c r="D368" s="368" t="s">
        <v>133</v>
      </c>
      <c r="E368" s="368" t="s">
        <v>1411</v>
      </c>
      <c r="F368" s="368" t="s">
        <v>147</v>
      </c>
      <c r="G368" s="373">
        <f>G369</f>
        <v>1330.923</v>
      </c>
      <c r="H368" s="26"/>
      <c r="I368" s="26"/>
    </row>
    <row r="369" spans="1:9" s="222" customFormat="1" ht="34.5" customHeight="1" x14ac:dyDescent="0.25">
      <c r="A369" s="372" t="s">
        <v>148</v>
      </c>
      <c r="B369" s="366">
        <v>903</v>
      </c>
      <c r="C369" s="368" t="s">
        <v>314</v>
      </c>
      <c r="D369" s="368" t="s">
        <v>133</v>
      </c>
      <c r="E369" s="368" t="s">
        <v>1411</v>
      </c>
      <c r="F369" s="368" t="s">
        <v>149</v>
      </c>
      <c r="G369" s="373">
        <f>1253.5+77.423</f>
        <v>1330.923</v>
      </c>
      <c r="H369" s="26"/>
      <c r="I369" s="26"/>
    </row>
    <row r="370" spans="1:9" ht="37.5" customHeight="1" x14ac:dyDescent="0.25">
      <c r="A370" s="370" t="s">
        <v>327</v>
      </c>
      <c r="B370" s="367">
        <v>903</v>
      </c>
      <c r="C370" s="371" t="s">
        <v>314</v>
      </c>
      <c r="D370" s="371" t="s">
        <v>133</v>
      </c>
      <c r="E370" s="371" t="s">
        <v>328</v>
      </c>
      <c r="F370" s="371"/>
      <c r="G370" s="369">
        <f>G371+G379+G387+G394+G383</f>
        <v>23670.9</v>
      </c>
      <c r="H370" s="21" t="e">
        <f>H371+H379+H387+H394+H383</f>
        <v>#REF!</v>
      </c>
      <c r="I370" s="21" t="e">
        <f>I371+I379+I387+I394+I383</f>
        <v>#REF!</v>
      </c>
    </row>
    <row r="371" spans="1:9" s="222" customFormat="1" ht="37.5" customHeight="1" x14ac:dyDescent="0.25">
      <c r="A371" s="370" t="s">
        <v>954</v>
      </c>
      <c r="B371" s="367">
        <v>903</v>
      </c>
      <c r="C371" s="371" t="s">
        <v>314</v>
      </c>
      <c r="D371" s="371" t="s">
        <v>133</v>
      </c>
      <c r="E371" s="371" t="s">
        <v>958</v>
      </c>
      <c r="F371" s="371"/>
      <c r="G371" s="369">
        <f>G372</f>
        <v>21449.200000000001</v>
      </c>
      <c r="H371" s="21">
        <f t="shared" ref="H371:I371" si="189">H372</f>
        <v>18780.7</v>
      </c>
      <c r="I371" s="21">
        <f t="shared" si="189"/>
        <v>18780.7</v>
      </c>
    </row>
    <row r="372" spans="1:9" s="222" customFormat="1" ht="18" customHeight="1" x14ac:dyDescent="0.25">
      <c r="A372" s="372" t="s">
        <v>830</v>
      </c>
      <c r="B372" s="366">
        <v>903</v>
      </c>
      <c r="C372" s="368" t="s">
        <v>314</v>
      </c>
      <c r="D372" s="368" t="s">
        <v>133</v>
      </c>
      <c r="E372" s="368" t="s">
        <v>959</v>
      </c>
      <c r="F372" s="368"/>
      <c r="G372" s="373">
        <f>G373+G375+G377</f>
        <v>21449.200000000001</v>
      </c>
      <c r="H372" s="26">
        <f t="shared" ref="H372:I372" si="190">H373+H375+H377</f>
        <v>18780.7</v>
      </c>
      <c r="I372" s="26">
        <f t="shared" si="190"/>
        <v>18780.7</v>
      </c>
    </row>
    <row r="373" spans="1:9" s="222" customFormat="1" ht="60.75" customHeight="1" x14ac:dyDescent="0.25">
      <c r="A373" s="372" t="s">
        <v>142</v>
      </c>
      <c r="B373" s="366">
        <v>903</v>
      </c>
      <c r="C373" s="368" t="s">
        <v>314</v>
      </c>
      <c r="D373" s="368" t="s">
        <v>133</v>
      </c>
      <c r="E373" s="368" t="s">
        <v>959</v>
      </c>
      <c r="F373" s="368" t="s">
        <v>143</v>
      </c>
      <c r="G373" s="373">
        <f>G374</f>
        <v>17673.2</v>
      </c>
      <c r="H373" s="26">
        <f t="shared" ref="H373:I373" si="191">H374</f>
        <v>14886.2</v>
      </c>
      <c r="I373" s="26">
        <f t="shared" si="191"/>
        <v>14886.2</v>
      </c>
    </row>
    <row r="374" spans="1:9" s="222" customFormat="1" ht="18.75" customHeight="1" x14ac:dyDescent="0.25">
      <c r="A374" s="372" t="s">
        <v>223</v>
      </c>
      <c r="B374" s="366">
        <v>903</v>
      </c>
      <c r="C374" s="368" t="s">
        <v>314</v>
      </c>
      <c r="D374" s="368" t="s">
        <v>133</v>
      </c>
      <c r="E374" s="368" t="s">
        <v>959</v>
      </c>
      <c r="F374" s="368" t="s">
        <v>224</v>
      </c>
      <c r="G374" s="374">
        <f>19218-1544.8</f>
        <v>17673.2</v>
      </c>
      <c r="H374" s="27">
        <f t="shared" ref="H374:I374" si="192">15393.2-507</f>
        <v>14886.2</v>
      </c>
      <c r="I374" s="27">
        <f t="shared" si="192"/>
        <v>14886.2</v>
      </c>
    </row>
    <row r="375" spans="1:9" s="222" customFormat="1" ht="37.5" customHeight="1" x14ac:dyDescent="0.25">
      <c r="A375" s="372" t="s">
        <v>146</v>
      </c>
      <c r="B375" s="366">
        <v>903</v>
      </c>
      <c r="C375" s="368" t="s">
        <v>314</v>
      </c>
      <c r="D375" s="368" t="s">
        <v>133</v>
      </c>
      <c r="E375" s="368" t="s">
        <v>959</v>
      </c>
      <c r="F375" s="368" t="s">
        <v>147</v>
      </c>
      <c r="G375" s="373">
        <f>G376</f>
        <v>3750</v>
      </c>
      <c r="H375" s="26">
        <f t="shared" ref="H375:I375" si="193">H376</f>
        <v>3857.9</v>
      </c>
      <c r="I375" s="26">
        <f t="shared" si="193"/>
        <v>3857.9</v>
      </c>
    </row>
    <row r="376" spans="1:9" s="222" customFormat="1" ht="37.5" customHeight="1" x14ac:dyDescent="0.25">
      <c r="A376" s="372" t="s">
        <v>148</v>
      </c>
      <c r="B376" s="366">
        <v>903</v>
      </c>
      <c r="C376" s="368" t="s">
        <v>314</v>
      </c>
      <c r="D376" s="368" t="s">
        <v>133</v>
      </c>
      <c r="E376" s="368" t="s">
        <v>959</v>
      </c>
      <c r="F376" s="368" t="s">
        <v>149</v>
      </c>
      <c r="G376" s="374">
        <f>3450-500+500+300</f>
        <v>3750</v>
      </c>
      <c r="H376" s="27">
        <v>3857.9</v>
      </c>
      <c r="I376" s="27">
        <v>3857.9</v>
      </c>
    </row>
    <row r="377" spans="1:9" s="222" customFormat="1" ht="21.2" customHeight="1" x14ac:dyDescent="0.25">
      <c r="A377" s="372" t="s">
        <v>150</v>
      </c>
      <c r="B377" s="366">
        <v>903</v>
      </c>
      <c r="C377" s="368" t="s">
        <v>314</v>
      </c>
      <c r="D377" s="368" t="s">
        <v>133</v>
      </c>
      <c r="E377" s="368" t="s">
        <v>959</v>
      </c>
      <c r="F377" s="368" t="s">
        <v>160</v>
      </c>
      <c r="G377" s="373">
        <f>G378</f>
        <v>26</v>
      </c>
      <c r="H377" s="26">
        <f t="shared" ref="H377:I377" si="194">H378</f>
        <v>36.6</v>
      </c>
      <c r="I377" s="26">
        <f t="shared" si="194"/>
        <v>36.6</v>
      </c>
    </row>
    <row r="378" spans="1:9" s="222" customFormat="1" ht="22.7" customHeight="1" x14ac:dyDescent="0.25">
      <c r="A378" s="372" t="s">
        <v>583</v>
      </c>
      <c r="B378" s="366">
        <v>903</v>
      </c>
      <c r="C378" s="368" t="s">
        <v>314</v>
      </c>
      <c r="D378" s="368" t="s">
        <v>133</v>
      </c>
      <c r="E378" s="368" t="s">
        <v>959</v>
      </c>
      <c r="F378" s="368" t="s">
        <v>153</v>
      </c>
      <c r="G378" s="373">
        <v>26</v>
      </c>
      <c r="H378" s="26">
        <v>36.6</v>
      </c>
      <c r="I378" s="26">
        <v>36.6</v>
      </c>
    </row>
    <row r="379" spans="1:9" s="222" customFormat="1" ht="33" customHeight="1" x14ac:dyDescent="0.25">
      <c r="A379" s="370" t="s">
        <v>971</v>
      </c>
      <c r="B379" s="367">
        <v>903</v>
      </c>
      <c r="C379" s="371" t="s">
        <v>314</v>
      </c>
      <c r="D379" s="371" t="s">
        <v>133</v>
      </c>
      <c r="E379" s="371" t="s">
        <v>960</v>
      </c>
      <c r="F379" s="371"/>
      <c r="G379" s="369">
        <f>G380</f>
        <v>50</v>
      </c>
      <c r="H379" s="21">
        <f t="shared" ref="H379:I381" si="195">H380</f>
        <v>227.5</v>
      </c>
      <c r="I379" s="21">
        <f t="shared" si="195"/>
        <v>227.5</v>
      </c>
    </row>
    <row r="380" spans="1:9" s="222" customFormat="1" ht="32.25" customHeight="1" x14ac:dyDescent="0.25">
      <c r="A380" s="372" t="s">
        <v>864</v>
      </c>
      <c r="B380" s="366">
        <v>903</v>
      </c>
      <c r="C380" s="368" t="s">
        <v>314</v>
      </c>
      <c r="D380" s="368" t="s">
        <v>133</v>
      </c>
      <c r="E380" s="368" t="s">
        <v>961</v>
      </c>
      <c r="F380" s="368"/>
      <c r="G380" s="373">
        <f>G381</f>
        <v>50</v>
      </c>
      <c r="H380" s="26">
        <f t="shared" si="195"/>
        <v>227.5</v>
      </c>
      <c r="I380" s="26">
        <f t="shared" si="195"/>
        <v>227.5</v>
      </c>
    </row>
    <row r="381" spans="1:9" s="222" customFormat="1" ht="33.75" customHeight="1" x14ac:dyDescent="0.25">
      <c r="A381" s="372" t="s">
        <v>146</v>
      </c>
      <c r="B381" s="366">
        <v>903</v>
      </c>
      <c r="C381" s="368" t="s">
        <v>314</v>
      </c>
      <c r="D381" s="368" t="s">
        <v>133</v>
      </c>
      <c r="E381" s="368" t="s">
        <v>961</v>
      </c>
      <c r="F381" s="368" t="s">
        <v>147</v>
      </c>
      <c r="G381" s="373">
        <f>G382</f>
        <v>50</v>
      </c>
      <c r="H381" s="26">
        <f t="shared" si="195"/>
        <v>227.5</v>
      </c>
      <c r="I381" s="26">
        <f t="shared" si="195"/>
        <v>227.5</v>
      </c>
    </row>
    <row r="382" spans="1:9" s="222" customFormat="1" ht="31.7" customHeight="1" x14ac:dyDescent="0.25">
      <c r="A382" s="372" t="s">
        <v>148</v>
      </c>
      <c r="B382" s="366">
        <v>903</v>
      </c>
      <c r="C382" s="368" t="s">
        <v>314</v>
      </c>
      <c r="D382" s="368" t="s">
        <v>133</v>
      </c>
      <c r="E382" s="368" t="s">
        <v>961</v>
      </c>
      <c r="F382" s="368" t="s">
        <v>149</v>
      </c>
      <c r="G382" s="373">
        <v>50</v>
      </c>
      <c r="H382" s="26">
        <v>227.5</v>
      </c>
      <c r="I382" s="26">
        <v>227.5</v>
      </c>
    </row>
    <row r="383" spans="1:9" s="222" customFormat="1" ht="31.7" customHeight="1" x14ac:dyDescent="0.25">
      <c r="A383" s="370" t="s">
        <v>1074</v>
      </c>
      <c r="B383" s="367">
        <v>903</v>
      </c>
      <c r="C383" s="371" t="s">
        <v>314</v>
      </c>
      <c r="D383" s="371" t="s">
        <v>133</v>
      </c>
      <c r="E383" s="371" t="s">
        <v>962</v>
      </c>
      <c r="F383" s="371"/>
      <c r="G383" s="369">
        <f>G384</f>
        <v>507</v>
      </c>
      <c r="H383" s="21">
        <f t="shared" ref="H383:I385" si="196">H384</f>
        <v>507</v>
      </c>
      <c r="I383" s="21">
        <f t="shared" si="196"/>
        <v>507</v>
      </c>
    </row>
    <row r="384" spans="1:9" s="222" customFormat="1" ht="31.7" customHeight="1" x14ac:dyDescent="0.25">
      <c r="A384" s="372" t="s">
        <v>883</v>
      </c>
      <c r="B384" s="366">
        <v>903</v>
      </c>
      <c r="C384" s="368" t="s">
        <v>314</v>
      </c>
      <c r="D384" s="368" t="s">
        <v>133</v>
      </c>
      <c r="E384" s="368" t="s">
        <v>1252</v>
      </c>
      <c r="F384" s="368"/>
      <c r="G384" s="373">
        <f>G385</f>
        <v>507</v>
      </c>
      <c r="H384" s="26">
        <f t="shared" si="196"/>
        <v>507</v>
      </c>
      <c r="I384" s="26">
        <f t="shared" si="196"/>
        <v>507</v>
      </c>
    </row>
    <row r="385" spans="1:10" s="222" customFormat="1" ht="31.7" customHeight="1" x14ac:dyDescent="0.25">
      <c r="A385" s="372" t="s">
        <v>142</v>
      </c>
      <c r="B385" s="366">
        <v>903</v>
      </c>
      <c r="C385" s="368" t="s">
        <v>314</v>
      </c>
      <c r="D385" s="368" t="s">
        <v>133</v>
      </c>
      <c r="E385" s="368" t="s">
        <v>1252</v>
      </c>
      <c r="F385" s="368" t="s">
        <v>143</v>
      </c>
      <c r="G385" s="373">
        <f>G386</f>
        <v>507</v>
      </c>
      <c r="H385" s="26">
        <f t="shared" si="196"/>
        <v>507</v>
      </c>
      <c r="I385" s="26">
        <f t="shared" si="196"/>
        <v>507</v>
      </c>
    </row>
    <row r="386" spans="1:10" s="222" customFormat="1" ht="17.45" customHeight="1" x14ac:dyDescent="0.25">
      <c r="A386" s="372" t="s">
        <v>223</v>
      </c>
      <c r="B386" s="366">
        <v>903</v>
      </c>
      <c r="C386" s="368" t="s">
        <v>314</v>
      </c>
      <c r="D386" s="368" t="s">
        <v>133</v>
      </c>
      <c r="E386" s="368" t="s">
        <v>1252</v>
      </c>
      <c r="F386" s="368" t="s">
        <v>224</v>
      </c>
      <c r="G386" s="373">
        <v>507</v>
      </c>
      <c r="H386" s="26">
        <v>507</v>
      </c>
      <c r="I386" s="26">
        <v>507</v>
      </c>
    </row>
    <row r="387" spans="1:10" s="222" customFormat="1" ht="21.2" customHeight="1" x14ac:dyDescent="0.25">
      <c r="A387" s="370" t="s">
        <v>1161</v>
      </c>
      <c r="B387" s="367">
        <v>903</v>
      </c>
      <c r="C387" s="371" t="s">
        <v>314</v>
      </c>
      <c r="D387" s="371" t="s">
        <v>133</v>
      </c>
      <c r="E387" s="371" t="s">
        <v>963</v>
      </c>
      <c r="F387" s="371"/>
      <c r="G387" s="369">
        <f>G388+G391</f>
        <v>68.7</v>
      </c>
      <c r="H387" s="21">
        <f t="shared" ref="H387:I387" si="197">H388+H391</f>
        <v>72.599999999999994</v>
      </c>
      <c r="I387" s="21">
        <f t="shared" si="197"/>
        <v>72.599999999999994</v>
      </c>
    </row>
    <row r="388" spans="1:10" ht="15.75" x14ac:dyDescent="0.25">
      <c r="A388" s="372" t="s">
        <v>1296</v>
      </c>
      <c r="B388" s="366">
        <v>903</v>
      </c>
      <c r="C388" s="368" t="s">
        <v>314</v>
      </c>
      <c r="D388" s="368" t="s">
        <v>133</v>
      </c>
      <c r="E388" s="368" t="s">
        <v>1253</v>
      </c>
      <c r="F388" s="368"/>
      <c r="G388" s="373">
        <f>G389</f>
        <v>3.5</v>
      </c>
      <c r="H388" s="26">
        <f t="shared" ref="H388:I389" si="198">H389</f>
        <v>3.5</v>
      </c>
      <c r="I388" s="26">
        <f t="shared" si="198"/>
        <v>3.5</v>
      </c>
    </row>
    <row r="389" spans="1:10" ht="31.5" x14ac:dyDescent="0.25">
      <c r="A389" s="372" t="s">
        <v>146</v>
      </c>
      <c r="B389" s="366">
        <v>903</v>
      </c>
      <c r="C389" s="368" t="s">
        <v>314</v>
      </c>
      <c r="D389" s="368" t="s">
        <v>133</v>
      </c>
      <c r="E389" s="368" t="s">
        <v>1253</v>
      </c>
      <c r="F389" s="368" t="s">
        <v>147</v>
      </c>
      <c r="G389" s="373">
        <f>G390</f>
        <v>3.5</v>
      </c>
      <c r="H389" s="26">
        <f t="shared" si="198"/>
        <v>3.5</v>
      </c>
      <c r="I389" s="26">
        <f t="shared" si="198"/>
        <v>3.5</v>
      </c>
    </row>
    <row r="390" spans="1:10" ht="31.5" x14ac:dyDescent="0.25">
      <c r="A390" s="372" t="s">
        <v>148</v>
      </c>
      <c r="B390" s="366">
        <v>903</v>
      </c>
      <c r="C390" s="368" t="s">
        <v>314</v>
      </c>
      <c r="D390" s="368" t="s">
        <v>133</v>
      </c>
      <c r="E390" s="368" t="s">
        <v>1253</v>
      </c>
      <c r="F390" s="368" t="s">
        <v>149</v>
      </c>
      <c r="G390" s="373">
        <v>3.5</v>
      </c>
      <c r="H390" s="26">
        <v>3.5</v>
      </c>
      <c r="I390" s="26">
        <v>3.5</v>
      </c>
    </row>
    <row r="391" spans="1:10" ht="15.75" x14ac:dyDescent="0.25">
      <c r="A391" s="372" t="s">
        <v>344</v>
      </c>
      <c r="B391" s="366">
        <v>903</v>
      </c>
      <c r="C391" s="368" t="s">
        <v>314</v>
      </c>
      <c r="D391" s="368" t="s">
        <v>133</v>
      </c>
      <c r="E391" s="368" t="s">
        <v>1254</v>
      </c>
      <c r="F391" s="368"/>
      <c r="G391" s="373">
        <f>G392</f>
        <v>65.2</v>
      </c>
      <c r="H391" s="26">
        <f t="shared" ref="H391:I392" si="199">H392</f>
        <v>69.099999999999994</v>
      </c>
      <c r="I391" s="26">
        <f t="shared" si="199"/>
        <v>69.099999999999994</v>
      </c>
    </row>
    <row r="392" spans="1:10" ht="31.5" x14ac:dyDescent="0.25">
      <c r="A392" s="372" t="s">
        <v>146</v>
      </c>
      <c r="B392" s="366">
        <v>903</v>
      </c>
      <c r="C392" s="368" t="s">
        <v>314</v>
      </c>
      <c r="D392" s="368" t="s">
        <v>133</v>
      </c>
      <c r="E392" s="368" t="s">
        <v>1254</v>
      </c>
      <c r="F392" s="368" t="s">
        <v>147</v>
      </c>
      <c r="G392" s="373">
        <f>G393</f>
        <v>65.2</v>
      </c>
      <c r="H392" s="26">
        <f t="shared" si="199"/>
        <v>69.099999999999994</v>
      </c>
      <c r="I392" s="26">
        <f t="shared" si="199"/>
        <v>69.099999999999994</v>
      </c>
    </row>
    <row r="393" spans="1:10" ht="31.5" x14ac:dyDescent="0.25">
      <c r="A393" s="372" t="s">
        <v>148</v>
      </c>
      <c r="B393" s="366">
        <v>903</v>
      </c>
      <c r="C393" s="368" t="s">
        <v>314</v>
      </c>
      <c r="D393" s="368" t="s">
        <v>133</v>
      </c>
      <c r="E393" s="368" t="s">
        <v>1254</v>
      </c>
      <c r="F393" s="38">
        <v>240</v>
      </c>
      <c r="G393" s="373">
        <v>65.2</v>
      </c>
      <c r="H393" s="26">
        <v>69.099999999999994</v>
      </c>
      <c r="I393" s="26">
        <v>69.099999999999994</v>
      </c>
    </row>
    <row r="394" spans="1:10" ht="36" customHeight="1" x14ac:dyDescent="0.25">
      <c r="A394" s="245" t="s">
        <v>969</v>
      </c>
      <c r="B394" s="367">
        <v>903</v>
      </c>
      <c r="C394" s="371" t="s">
        <v>314</v>
      </c>
      <c r="D394" s="371" t="s">
        <v>133</v>
      </c>
      <c r="E394" s="371" t="s">
        <v>1255</v>
      </c>
      <c r="F394" s="371"/>
      <c r="G394" s="369">
        <f>G398+G401+G395</f>
        <v>1596</v>
      </c>
      <c r="H394" s="21" t="e">
        <f>H398+H401+#REF!</f>
        <v>#REF!</v>
      </c>
      <c r="I394" s="21" t="e">
        <f>I398+I401+#REF!</f>
        <v>#REF!</v>
      </c>
    </row>
    <row r="395" spans="1:10" s="362" customFormat="1" ht="79.5" customHeight="1" x14ac:dyDescent="0.25">
      <c r="A395" s="31" t="s">
        <v>308</v>
      </c>
      <c r="B395" s="366">
        <v>903</v>
      </c>
      <c r="C395" s="368" t="s">
        <v>314</v>
      </c>
      <c r="D395" s="368" t="s">
        <v>133</v>
      </c>
      <c r="E395" s="368" t="s">
        <v>1528</v>
      </c>
      <c r="F395" s="368"/>
      <c r="G395" s="373">
        <f>G396</f>
        <v>1159.3</v>
      </c>
      <c r="H395" s="369"/>
      <c r="I395" s="369"/>
    </row>
    <row r="396" spans="1:10" s="362" customFormat="1" ht="64.5" customHeight="1" x14ac:dyDescent="0.25">
      <c r="A396" s="372" t="s">
        <v>142</v>
      </c>
      <c r="B396" s="366">
        <v>903</v>
      </c>
      <c r="C396" s="368" t="s">
        <v>314</v>
      </c>
      <c r="D396" s="368" t="s">
        <v>133</v>
      </c>
      <c r="E396" s="368" t="s">
        <v>1528</v>
      </c>
      <c r="F396" s="368" t="s">
        <v>143</v>
      </c>
      <c r="G396" s="373">
        <f>G397</f>
        <v>1159.3</v>
      </c>
      <c r="H396" s="369"/>
      <c r="I396" s="369"/>
    </row>
    <row r="397" spans="1:10" s="362" customFormat="1" ht="36" customHeight="1" x14ac:dyDescent="0.25">
      <c r="A397" s="372" t="s">
        <v>223</v>
      </c>
      <c r="B397" s="366">
        <v>903</v>
      </c>
      <c r="C397" s="368" t="s">
        <v>314</v>
      </c>
      <c r="D397" s="368" t="s">
        <v>133</v>
      </c>
      <c r="E397" s="368" t="s">
        <v>1528</v>
      </c>
      <c r="F397" s="368" t="s">
        <v>224</v>
      </c>
      <c r="G397" s="373">
        <v>1159.3</v>
      </c>
      <c r="H397" s="369"/>
      <c r="I397" s="369"/>
      <c r="J397" s="380"/>
    </row>
    <row r="398" spans="1:10" s="222" customFormat="1" ht="63" x14ac:dyDescent="0.25">
      <c r="A398" s="372" t="s">
        <v>346</v>
      </c>
      <c r="B398" s="366">
        <v>903</v>
      </c>
      <c r="C398" s="368" t="s">
        <v>314</v>
      </c>
      <c r="D398" s="368" t="s">
        <v>133</v>
      </c>
      <c r="E398" s="368" t="s">
        <v>1256</v>
      </c>
      <c r="F398" s="368"/>
      <c r="G398" s="373">
        <f>G399</f>
        <v>319.7</v>
      </c>
      <c r="H398" s="26">
        <f t="shared" ref="H398:I399" si="200">H399</f>
        <v>273.7</v>
      </c>
      <c r="I398" s="26">
        <f t="shared" si="200"/>
        <v>273.7</v>
      </c>
    </row>
    <row r="399" spans="1:10" s="222" customFormat="1" ht="63" x14ac:dyDescent="0.25">
      <c r="A399" s="372" t="s">
        <v>142</v>
      </c>
      <c r="B399" s="366">
        <v>903</v>
      </c>
      <c r="C399" s="368" t="s">
        <v>314</v>
      </c>
      <c r="D399" s="368" t="s">
        <v>133</v>
      </c>
      <c r="E399" s="368" t="s">
        <v>1256</v>
      </c>
      <c r="F399" s="368" t="s">
        <v>143</v>
      </c>
      <c r="G399" s="373">
        <f>G400</f>
        <v>319.7</v>
      </c>
      <c r="H399" s="26">
        <f t="shared" si="200"/>
        <v>273.7</v>
      </c>
      <c r="I399" s="26">
        <f t="shared" si="200"/>
        <v>273.7</v>
      </c>
    </row>
    <row r="400" spans="1:10" s="222" customFormat="1" ht="15.75" x14ac:dyDescent="0.25">
      <c r="A400" s="372" t="s">
        <v>223</v>
      </c>
      <c r="B400" s="366">
        <v>903</v>
      </c>
      <c r="C400" s="368" t="s">
        <v>314</v>
      </c>
      <c r="D400" s="368" t="s">
        <v>133</v>
      </c>
      <c r="E400" s="368" t="s">
        <v>1256</v>
      </c>
      <c r="F400" s="368" t="s">
        <v>224</v>
      </c>
      <c r="G400" s="373">
        <v>319.7</v>
      </c>
      <c r="H400" s="26">
        <v>273.7</v>
      </c>
      <c r="I400" s="26">
        <v>273.7</v>
      </c>
    </row>
    <row r="401" spans="1:9" s="222" customFormat="1" ht="78.75" x14ac:dyDescent="0.25">
      <c r="A401" s="31" t="s">
        <v>308</v>
      </c>
      <c r="B401" s="366">
        <v>903</v>
      </c>
      <c r="C401" s="368" t="s">
        <v>314</v>
      </c>
      <c r="D401" s="368" t="s">
        <v>133</v>
      </c>
      <c r="E401" s="368" t="s">
        <v>1257</v>
      </c>
      <c r="F401" s="368"/>
      <c r="G401" s="373">
        <f>G402</f>
        <v>117</v>
      </c>
      <c r="H401" s="26">
        <f t="shared" ref="H401:I402" si="201">H402</f>
        <v>1673.7</v>
      </c>
      <c r="I401" s="26">
        <f t="shared" si="201"/>
        <v>1673.7</v>
      </c>
    </row>
    <row r="402" spans="1:9" s="222" customFormat="1" ht="63" x14ac:dyDescent="0.25">
      <c r="A402" s="372" t="s">
        <v>142</v>
      </c>
      <c r="B402" s="366">
        <v>903</v>
      </c>
      <c r="C402" s="368" t="s">
        <v>314</v>
      </c>
      <c r="D402" s="368" t="s">
        <v>133</v>
      </c>
      <c r="E402" s="368" t="s">
        <v>1257</v>
      </c>
      <c r="F402" s="368" t="s">
        <v>143</v>
      </c>
      <c r="G402" s="373">
        <f>G403</f>
        <v>117</v>
      </c>
      <c r="H402" s="26">
        <f t="shared" si="201"/>
        <v>1673.7</v>
      </c>
      <c r="I402" s="26">
        <f t="shared" si="201"/>
        <v>1673.7</v>
      </c>
    </row>
    <row r="403" spans="1:9" ht="15.75" x14ac:dyDescent="0.25">
      <c r="A403" s="372" t="s">
        <v>223</v>
      </c>
      <c r="B403" s="366">
        <v>903</v>
      </c>
      <c r="C403" s="368" t="s">
        <v>314</v>
      </c>
      <c r="D403" s="368" t="s">
        <v>133</v>
      </c>
      <c r="E403" s="368" t="s">
        <v>1257</v>
      </c>
      <c r="F403" s="368" t="s">
        <v>224</v>
      </c>
      <c r="G403" s="373">
        <f>1075.09+201.22-0.01-1159.3</f>
        <v>117</v>
      </c>
      <c r="H403" s="26">
        <v>1673.7</v>
      </c>
      <c r="I403" s="26">
        <v>1673.7</v>
      </c>
    </row>
    <row r="404" spans="1:9" ht="47.25" x14ac:dyDescent="0.25">
      <c r="A404" s="34" t="s">
        <v>803</v>
      </c>
      <c r="B404" s="367">
        <v>903</v>
      </c>
      <c r="C404" s="371" t="s">
        <v>314</v>
      </c>
      <c r="D404" s="371" t="s">
        <v>133</v>
      </c>
      <c r="E404" s="371" t="s">
        <v>339</v>
      </c>
      <c r="F404" s="371"/>
      <c r="G404" s="369">
        <f>G406</f>
        <v>100</v>
      </c>
      <c r="H404" s="21">
        <f t="shared" ref="H404:I404" si="202">H406</f>
        <v>0</v>
      </c>
      <c r="I404" s="21">
        <f t="shared" si="202"/>
        <v>0</v>
      </c>
    </row>
    <row r="405" spans="1:9" s="222" customFormat="1" ht="47.25" x14ac:dyDescent="0.25">
      <c r="A405" s="34" t="s">
        <v>1189</v>
      </c>
      <c r="B405" s="367">
        <v>903</v>
      </c>
      <c r="C405" s="371" t="s">
        <v>314</v>
      </c>
      <c r="D405" s="371" t="s">
        <v>133</v>
      </c>
      <c r="E405" s="371" t="s">
        <v>1023</v>
      </c>
      <c r="F405" s="371"/>
      <c r="G405" s="369">
        <f>G408</f>
        <v>100</v>
      </c>
      <c r="H405" s="21">
        <f t="shared" ref="H405:I405" si="203">H408</f>
        <v>0</v>
      </c>
      <c r="I405" s="21">
        <f t="shared" si="203"/>
        <v>0</v>
      </c>
    </row>
    <row r="406" spans="1:9" ht="47.25" x14ac:dyDescent="0.25">
      <c r="A406" s="31" t="s">
        <v>1273</v>
      </c>
      <c r="B406" s="366">
        <v>903</v>
      </c>
      <c r="C406" s="368" t="s">
        <v>314</v>
      </c>
      <c r="D406" s="368" t="s">
        <v>133</v>
      </c>
      <c r="E406" s="368" t="s">
        <v>1190</v>
      </c>
      <c r="F406" s="368"/>
      <c r="G406" s="373">
        <f>G407</f>
        <v>100</v>
      </c>
      <c r="H406" s="26">
        <f t="shared" ref="H406:I407" si="204">H407</f>
        <v>0</v>
      </c>
      <c r="I406" s="26">
        <f t="shared" si="204"/>
        <v>0</v>
      </c>
    </row>
    <row r="407" spans="1:9" ht="31.5" x14ac:dyDescent="0.25">
      <c r="A407" s="372" t="s">
        <v>146</v>
      </c>
      <c r="B407" s="366">
        <v>903</v>
      </c>
      <c r="C407" s="368" t="s">
        <v>314</v>
      </c>
      <c r="D407" s="368" t="s">
        <v>133</v>
      </c>
      <c r="E407" s="368" t="s">
        <v>1190</v>
      </c>
      <c r="F407" s="368" t="s">
        <v>147</v>
      </c>
      <c r="G407" s="373">
        <f>G408</f>
        <v>100</v>
      </c>
      <c r="H407" s="26">
        <f t="shared" si="204"/>
        <v>0</v>
      </c>
      <c r="I407" s="26">
        <f t="shared" si="204"/>
        <v>0</v>
      </c>
    </row>
    <row r="408" spans="1:9" ht="31.5" x14ac:dyDescent="0.25">
      <c r="A408" s="372" t="s">
        <v>148</v>
      </c>
      <c r="B408" s="366">
        <v>903</v>
      </c>
      <c r="C408" s="368" t="s">
        <v>314</v>
      </c>
      <c r="D408" s="368" t="s">
        <v>133</v>
      </c>
      <c r="E408" s="368" t="s">
        <v>1190</v>
      </c>
      <c r="F408" s="368" t="s">
        <v>149</v>
      </c>
      <c r="G408" s="373">
        <v>100</v>
      </c>
      <c r="H408" s="26">
        <v>0</v>
      </c>
      <c r="I408" s="26">
        <v>0</v>
      </c>
    </row>
    <row r="409" spans="1:9" ht="47.25" x14ac:dyDescent="0.25">
      <c r="A409" s="41" t="s">
        <v>1183</v>
      </c>
      <c r="B409" s="367">
        <v>903</v>
      </c>
      <c r="C409" s="371" t="s">
        <v>314</v>
      </c>
      <c r="D409" s="371" t="s">
        <v>133</v>
      </c>
      <c r="E409" s="371" t="s">
        <v>726</v>
      </c>
      <c r="F409" s="250"/>
      <c r="G409" s="369">
        <f>G410</f>
        <v>834.6</v>
      </c>
      <c r="H409" s="21">
        <f t="shared" ref="H409:I412" si="205">H410</f>
        <v>793.2</v>
      </c>
      <c r="I409" s="21">
        <f t="shared" si="205"/>
        <v>793.2</v>
      </c>
    </row>
    <row r="410" spans="1:9" s="222" customFormat="1" ht="47.25" x14ac:dyDescent="0.25">
      <c r="A410" s="41" t="s">
        <v>947</v>
      </c>
      <c r="B410" s="367">
        <v>903</v>
      </c>
      <c r="C410" s="371" t="s">
        <v>314</v>
      </c>
      <c r="D410" s="371" t="s">
        <v>133</v>
      </c>
      <c r="E410" s="371" t="s">
        <v>945</v>
      </c>
      <c r="F410" s="250"/>
      <c r="G410" s="369">
        <f>G411</f>
        <v>834.6</v>
      </c>
      <c r="H410" s="21">
        <f t="shared" si="205"/>
        <v>793.2</v>
      </c>
      <c r="I410" s="21">
        <f t="shared" si="205"/>
        <v>793.2</v>
      </c>
    </row>
    <row r="411" spans="1:9" ht="31.5" x14ac:dyDescent="0.25">
      <c r="A411" s="99" t="s">
        <v>1185</v>
      </c>
      <c r="B411" s="366">
        <v>903</v>
      </c>
      <c r="C411" s="368" t="s">
        <v>314</v>
      </c>
      <c r="D411" s="368" t="s">
        <v>133</v>
      </c>
      <c r="E411" s="368" t="s">
        <v>946</v>
      </c>
      <c r="F411" s="32"/>
      <c r="G411" s="373">
        <f>G412</f>
        <v>834.6</v>
      </c>
      <c r="H411" s="26">
        <f t="shared" si="205"/>
        <v>793.2</v>
      </c>
      <c r="I411" s="26">
        <f t="shared" si="205"/>
        <v>793.2</v>
      </c>
    </row>
    <row r="412" spans="1:9" ht="31.5" x14ac:dyDescent="0.25">
      <c r="A412" s="372" t="s">
        <v>146</v>
      </c>
      <c r="B412" s="366">
        <v>903</v>
      </c>
      <c r="C412" s="368" t="s">
        <v>314</v>
      </c>
      <c r="D412" s="368" t="s">
        <v>133</v>
      </c>
      <c r="E412" s="368" t="s">
        <v>946</v>
      </c>
      <c r="F412" s="32" t="s">
        <v>147</v>
      </c>
      <c r="G412" s="373">
        <f>G413</f>
        <v>834.6</v>
      </c>
      <c r="H412" s="26">
        <f t="shared" si="205"/>
        <v>793.2</v>
      </c>
      <c r="I412" s="26">
        <f t="shared" si="205"/>
        <v>793.2</v>
      </c>
    </row>
    <row r="413" spans="1:9" ht="31.5" x14ac:dyDescent="0.25">
      <c r="A413" s="372" t="s">
        <v>148</v>
      </c>
      <c r="B413" s="366">
        <v>903</v>
      </c>
      <c r="C413" s="368" t="s">
        <v>314</v>
      </c>
      <c r="D413" s="368" t="s">
        <v>133</v>
      </c>
      <c r="E413" s="368" t="s">
        <v>946</v>
      </c>
      <c r="F413" s="32" t="s">
        <v>149</v>
      </c>
      <c r="G413" s="373">
        <f>793.2+41.4</f>
        <v>834.6</v>
      </c>
      <c r="H413" s="26">
        <v>793.2</v>
      </c>
      <c r="I413" s="26">
        <v>793.2</v>
      </c>
    </row>
    <row r="414" spans="1:9" ht="15.75" x14ac:dyDescent="0.25">
      <c r="A414" s="370" t="s">
        <v>348</v>
      </c>
      <c r="B414" s="367">
        <v>903</v>
      </c>
      <c r="C414" s="371" t="s">
        <v>314</v>
      </c>
      <c r="D414" s="371" t="s">
        <v>165</v>
      </c>
      <c r="E414" s="371"/>
      <c r="F414" s="371"/>
      <c r="G414" s="369">
        <f>G415+G425+G437</f>
        <v>17894.599999999999</v>
      </c>
      <c r="H414" s="21">
        <f t="shared" ref="H414:I414" si="206">H415+H425+H437</f>
        <v>19078.099999999999</v>
      </c>
      <c r="I414" s="21">
        <f t="shared" si="206"/>
        <v>19078.099999999999</v>
      </c>
    </row>
    <row r="415" spans="1:9" s="222" customFormat="1" ht="31.5" x14ac:dyDescent="0.25">
      <c r="A415" s="370" t="s">
        <v>988</v>
      </c>
      <c r="B415" s="367">
        <v>903</v>
      </c>
      <c r="C415" s="371" t="s">
        <v>314</v>
      </c>
      <c r="D415" s="371" t="s">
        <v>165</v>
      </c>
      <c r="E415" s="371" t="s">
        <v>902</v>
      </c>
      <c r="F415" s="371"/>
      <c r="G415" s="369">
        <f>G416</f>
        <v>7272.5</v>
      </c>
      <c r="H415" s="21">
        <f t="shared" ref="H415:I415" si="207">H416</f>
        <v>7186.8</v>
      </c>
      <c r="I415" s="21">
        <f t="shared" si="207"/>
        <v>7186.8</v>
      </c>
    </row>
    <row r="416" spans="1:9" s="222" customFormat="1" ht="15.75" x14ac:dyDescent="0.25">
      <c r="A416" s="370" t="s">
        <v>989</v>
      </c>
      <c r="B416" s="367">
        <v>903</v>
      </c>
      <c r="C416" s="371" t="s">
        <v>314</v>
      </c>
      <c r="D416" s="371" t="s">
        <v>165</v>
      </c>
      <c r="E416" s="371" t="s">
        <v>903</v>
      </c>
      <c r="F416" s="371"/>
      <c r="G416" s="369">
        <f>G417+G422</f>
        <v>7272.5</v>
      </c>
      <c r="H416" s="21">
        <f t="shared" ref="H416:I416" si="208">H417+H422</f>
        <v>7186.8</v>
      </c>
      <c r="I416" s="21">
        <f t="shared" si="208"/>
        <v>7186.8</v>
      </c>
    </row>
    <row r="417" spans="1:9" s="222" customFormat="1" ht="31.5" x14ac:dyDescent="0.25">
      <c r="A417" s="372" t="s">
        <v>965</v>
      </c>
      <c r="B417" s="366">
        <v>903</v>
      </c>
      <c r="C417" s="368" t="s">
        <v>314</v>
      </c>
      <c r="D417" s="368" t="s">
        <v>165</v>
      </c>
      <c r="E417" s="368" t="s">
        <v>904</v>
      </c>
      <c r="F417" s="368"/>
      <c r="G417" s="373">
        <f>G418+G420</f>
        <v>7146.5</v>
      </c>
      <c r="H417" s="26">
        <f t="shared" ref="H417:I417" si="209">H418+H420</f>
        <v>7186.8</v>
      </c>
      <c r="I417" s="26">
        <f t="shared" si="209"/>
        <v>7186.8</v>
      </c>
    </row>
    <row r="418" spans="1:9" s="222" customFormat="1" ht="63" x14ac:dyDescent="0.25">
      <c r="A418" s="372" t="s">
        <v>142</v>
      </c>
      <c r="B418" s="366">
        <v>903</v>
      </c>
      <c r="C418" s="368" t="s">
        <v>314</v>
      </c>
      <c r="D418" s="368" t="s">
        <v>165</v>
      </c>
      <c r="E418" s="368" t="s">
        <v>904</v>
      </c>
      <c r="F418" s="368" t="s">
        <v>143</v>
      </c>
      <c r="G418" s="373">
        <f>G419</f>
        <v>7146.5</v>
      </c>
      <c r="H418" s="26">
        <f t="shared" ref="H418:I418" si="210">H419</f>
        <v>7186.8</v>
      </c>
      <c r="I418" s="26">
        <f t="shared" si="210"/>
        <v>7186.8</v>
      </c>
    </row>
    <row r="419" spans="1:9" s="222" customFormat="1" ht="31.5" x14ac:dyDescent="0.25">
      <c r="A419" s="372" t="s">
        <v>144</v>
      </c>
      <c r="B419" s="366">
        <v>903</v>
      </c>
      <c r="C419" s="368" t="s">
        <v>314</v>
      </c>
      <c r="D419" s="368" t="s">
        <v>165</v>
      </c>
      <c r="E419" s="368" t="s">
        <v>904</v>
      </c>
      <c r="F419" s="368" t="s">
        <v>145</v>
      </c>
      <c r="G419" s="374">
        <f>6744+343+59.5</f>
        <v>7146.5</v>
      </c>
      <c r="H419" s="27">
        <v>7186.8</v>
      </c>
      <c r="I419" s="27">
        <v>7186.8</v>
      </c>
    </row>
    <row r="420" spans="1:9" s="222" customFormat="1" ht="31.5" hidden="1" x14ac:dyDescent="0.25">
      <c r="A420" s="372" t="s">
        <v>146</v>
      </c>
      <c r="B420" s="366">
        <v>903</v>
      </c>
      <c r="C420" s="368" t="s">
        <v>314</v>
      </c>
      <c r="D420" s="368" t="s">
        <v>165</v>
      </c>
      <c r="E420" s="368" t="s">
        <v>904</v>
      </c>
      <c r="F420" s="368" t="s">
        <v>147</v>
      </c>
      <c r="G420" s="373">
        <f>G421</f>
        <v>0</v>
      </c>
      <c r="H420" s="26">
        <f t="shared" ref="H420:I420" si="211">H421</f>
        <v>0</v>
      </c>
      <c r="I420" s="26">
        <f t="shared" si="211"/>
        <v>0</v>
      </c>
    </row>
    <row r="421" spans="1:9" s="222" customFormat="1" ht="31.5" hidden="1" x14ac:dyDescent="0.25">
      <c r="A421" s="372" t="s">
        <v>148</v>
      </c>
      <c r="B421" s="366">
        <v>903</v>
      </c>
      <c r="C421" s="368" t="s">
        <v>314</v>
      </c>
      <c r="D421" s="368" t="s">
        <v>165</v>
      </c>
      <c r="E421" s="368" t="s">
        <v>904</v>
      </c>
      <c r="F421" s="368" t="s">
        <v>149</v>
      </c>
      <c r="G421" s="373">
        <v>0</v>
      </c>
      <c r="H421" s="26">
        <v>0</v>
      </c>
      <c r="I421" s="26">
        <v>0</v>
      </c>
    </row>
    <row r="422" spans="1:9" s="222" customFormat="1" ht="31.5" x14ac:dyDescent="0.25">
      <c r="A422" s="372" t="s">
        <v>883</v>
      </c>
      <c r="B422" s="366">
        <v>903</v>
      </c>
      <c r="C422" s="368" t="s">
        <v>314</v>
      </c>
      <c r="D422" s="368" t="s">
        <v>165</v>
      </c>
      <c r="E422" s="368" t="s">
        <v>906</v>
      </c>
      <c r="F422" s="368"/>
      <c r="G422" s="373">
        <f>G423</f>
        <v>126</v>
      </c>
      <c r="H422" s="26">
        <f t="shared" ref="H422:I423" si="212">H423</f>
        <v>0</v>
      </c>
      <c r="I422" s="26">
        <f t="shared" si="212"/>
        <v>0</v>
      </c>
    </row>
    <row r="423" spans="1:9" s="222" customFormat="1" ht="63" x14ac:dyDescent="0.25">
      <c r="A423" s="372" t="s">
        <v>142</v>
      </c>
      <c r="B423" s="366">
        <v>903</v>
      </c>
      <c r="C423" s="368" t="s">
        <v>314</v>
      </c>
      <c r="D423" s="368" t="s">
        <v>165</v>
      </c>
      <c r="E423" s="368" t="s">
        <v>906</v>
      </c>
      <c r="F423" s="368" t="s">
        <v>143</v>
      </c>
      <c r="G423" s="373">
        <f>G424</f>
        <v>126</v>
      </c>
      <c r="H423" s="26">
        <f t="shared" si="212"/>
        <v>0</v>
      </c>
      <c r="I423" s="26">
        <f t="shared" si="212"/>
        <v>0</v>
      </c>
    </row>
    <row r="424" spans="1:9" s="222" customFormat="1" ht="31.5" x14ac:dyDescent="0.25">
      <c r="A424" s="372" t="s">
        <v>144</v>
      </c>
      <c r="B424" s="366">
        <v>903</v>
      </c>
      <c r="C424" s="368" t="s">
        <v>314</v>
      </c>
      <c r="D424" s="368" t="s">
        <v>165</v>
      </c>
      <c r="E424" s="368" t="s">
        <v>906</v>
      </c>
      <c r="F424" s="368" t="s">
        <v>145</v>
      </c>
      <c r="G424" s="373">
        <v>126</v>
      </c>
      <c r="H424" s="26"/>
      <c r="I424" s="26"/>
    </row>
    <row r="425" spans="1:9" s="222" customFormat="1" ht="15.75" x14ac:dyDescent="0.25">
      <c r="A425" s="370" t="s">
        <v>997</v>
      </c>
      <c r="B425" s="367">
        <v>903</v>
      </c>
      <c r="C425" s="371" t="s">
        <v>314</v>
      </c>
      <c r="D425" s="371" t="s">
        <v>165</v>
      </c>
      <c r="E425" s="371" t="s">
        <v>910</v>
      </c>
      <c r="F425" s="371"/>
      <c r="G425" s="369">
        <f>G426</f>
        <v>10362.1</v>
      </c>
      <c r="H425" s="21">
        <f t="shared" ref="H425:I425" si="213">H426</f>
        <v>11631.3</v>
      </c>
      <c r="I425" s="21">
        <f t="shared" si="213"/>
        <v>11631.3</v>
      </c>
    </row>
    <row r="426" spans="1:9" s="222" customFormat="1" ht="31.7" customHeight="1" x14ac:dyDescent="0.25">
      <c r="A426" s="370" t="s">
        <v>1000</v>
      </c>
      <c r="B426" s="367">
        <v>903</v>
      </c>
      <c r="C426" s="371" t="s">
        <v>314</v>
      </c>
      <c r="D426" s="371" t="s">
        <v>165</v>
      </c>
      <c r="E426" s="371" t="s">
        <v>985</v>
      </c>
      <c r="F426" s="371"/>
      <c r="G426" s="369">
        <f>G427+G434</f>
        <v>10362.1</v>
      </c>
      <c r="H426" s="21">
        <f t="shared" ref="H426:I426" si="214">H427+H434</f>
        <v>11631.3</v>
      </c>
      <c r="I426" s="21">
        <f t="shared" si="214"/>
        <v>11631.3</v>
      </c>
    </row>
    <row r="427" spans="1:9" s="222" customFormat="1" ht="30.75" customHeight="1" x14ac:dyDescent="0.25">
      <c r="A427" s="372" t="s">
        <v>972</v>
      </c>
      <c r="B427" s="366">
        <v>903</v>
      </c>
      <c r="C427" s="368" t="s">
        <v>314</v>
      </c>
      <c r="D427" s="368" t="s">
        <v>165</v>
      </c>
      <c r="E427" s="368" t="s">
        <v>986</v>
      </c>
      <c r="F427" s="368"/>
      <c r="G427" s="373">
        <f>G428+G430+G432</f>
        <v>10152.1</v>
      </c>
      <c r="H427" s="26">
        <f t="shared" ref="H427:I427" si="215">H428+H430+H432</f>
        <v>11631.3</v>
      </c>
      <c r="I427" s="26">
        <f t="shared" si="215"/>
        <v>11631.3</v>
      </c>
    </row>
    <row r="428" spans="1:9" s="222" customFormat="1" ht="63" x14ac:dyDescent="0.25">
      <c r="A428" s="372" t="s">
        <v>142</v>
      </c>
      <c r="B428" s="366">
        <v>903</v>
      </c>
      <c r="C428" s="368" t="s">
        <v>314</v>
      </c>
      <c r="D428" s="368" t="s">
        <v>165</v>
      </c>
      <c r="E428" s="368" t="s">
        <v>986</v>
      </c>
      <c r="F428" s="368" t="s">
        <v>143</v>
      </c>
      <c r="G428" s="373">
        <f>G429</f>
        <v>8201.1</v>
      </c>
      <c r="H428" s="26">
        <f t="shared" ref="H428:I428" si="216">H429</f>
        <v>9680.7999999999993</v>
      </c>
      <c r="I428" s="26">
        <f t="shared" si="216"/>
        <v>9680.7999999999993</v>
      </c>
    </row>
    <row r="429" spans="1:9" s="222" customFormat="1" ht="33" customHeight="1" x14ac:dyDescent="0.25">
      <c r="A429" s="372" t="s">
        <v>357</v>
      </c>
      <c r="B429" s="366">
        <v>903</v>
      </c>
      <c r="C429" s="368" t="s">
        <v>314</v>
      </c>
      <c r="D429" s="368" t="s">
        <v>165</v>
      </c>
      <c r="E429" s="368" t="s">
        <v>986</v>
      </c>
      <c r="F429" s="368" t="s">
        <v>224</v>
      </c>
      <c r="G429" s="374">
        <f>8048+116.1+37</f>
        <v>8201.1</v>
      </c>
      <c r="H429" s="27">
        <v>9680.7999999999993</v>
      </c>
      <c r="I429" s="27">
        <v>9680.7999999999993</v>
      </c>
    </row>
    <row r="430" spans="1:9" s="222" customFormat="1" ht="31.5" x14ac:dyDescent="0.25">
      <c r="A430" s="372" t="s">
        <v>146</v>
      </c>
      <c r="B430" s="366">
        <v>903</v>
      </c>
      <c r="C430" s="368" t="s">
        <v>314</v>
      </c>
      <c r="D430" s="368" t="s">
        <v>165</v>
      </c>
      <c r="E430" s="368" t="s">
        <v>986</v>
      </c>
      <c r="F430" s="368" t="s">
        <v>147</v>
      </c>
      <c r="G430" s="373">
        <f>G431</f>
        <v>1937</v>
      </c>
      <c r="H430" s="26">
        <f t="shared" ref="H430:I430" si="217">H431</f>
        <v>1936.4</v>
      </c>
      <c r="I430" s="26">
        <f t="shared" si="217"/>
        <v>1936.4</v>
      </c>
    </row>
    <row r="431" spans="1:9" s="222" customFormat="1" ht="31.5" x14ac:dyDescent="0.25">
      <c r="A431" s="372" t="s">
        <v>148</v>
      </c>
      <c r="B431" s="366">
        <v>903</v>
      </c>
      <c r="C431" s="368" t="s">
        <v>314</v>
      </c>
      <c r="D431" s="368" t="s">
        <v>165</v>
      </c>
      <c r="E431" s="368" t="s">
        <v>986</v>
      </c>
      <c r="F431" s="368" t="s">
        <v>149</v>
      </c>
      <c r="G431" s="374">
        <f>1936.4+0.6</f>
        <v>1937</v>
      </c>
      <c r="H431" s="27">
        <v>1936.4</v>
      </c>
      <c r="I431" s="27">
        <v>1936.4</v>
      </c>
    </row>
    <row r="432" spans="1:9" s="222" customFormat="1" ht="15.75" x14ac:dyDescent="0.25">
      <c r="A432" s="372" t="s">
        <v>150</v>
      </c>
      <c r="B432" s="366">
        <v>903</v>
      </c>
      <c r="C432" s="368" t="s">
        <v>314</v>
      </c>
      <c r="D432" s="368" t="s">
        <v>165</v>
      </c>
      <c r="E432" s="368" t="s">
        <v>986</v>
      </c>
      <c r="F432" s="368" t="s">
        <v>160</v>
      </c>
      <c r="G432" s="373">
        <f>G433</f>
        <v>14</v>
      </c>
      <c r="H432" s="26">
        <f t="shared" ref="H432:I432" si="218">H433</f>
        <v>14.1</v>
      </c>
      <c r="I432" s="26">
        <f t="shared" si="218"/>
        <v>14.1</v>
      </c>
    </row>
    <row r="433" spans="1:9" s="222" customFormat="1" ht="15.75" x14ac:dyDescent="0.25">
      <c r="A433" s="372" t="s">
        <v>583</v>
      </c>
      <c r="B433" s="366">
        <v>903</v>
      </c>
      <c r="C433" s="368" t="s">
        <v>314</v>
      </c>
      <c r="D433" s="368" t="s">
        <v>165</v>
      </c>
      <c r="E433" s="368" t="s">
        <v>986</v>
      </c>
      <c r="F433" s="368" t="s">
        <v>153</v>
      </c>
      <c r="G433" s="373">
        <v>14</v>
      </c>
      <c r="H433" s="26">
        <v>14.1</v>
      </c>
      <c r="I433" s="26">
        <v>14.1</v>
      </c>
    </row>
    <row r="434" spans="1:9" s="222" customFormat="1" ht="31.5" x14ac:dyDescent="0.25">
      <c r="A434" s="372" t="s">
        <v>883</v>
      </c>
      <c r="B434" s="366">
        <v>903</v>
      </c>
      <c r="C434" s="368" t="s">
        <v>314</v>
      </c>
      <c r="D434" s="368" t="s">
        <v>165</v>
      </c>
      <c r="E434" s="368" t="s">
        <v>987</v>
      </c>
      <c r="F434" s="368"/>
      <c r="G434" s="373">
        <f>G435</f>
        <v>210</v>
      </c>
      <c r="H434" s="26">
        <f t="shared" ref="H434:I435" si="219">H435</f>
        <v>0</v>
      </c>
      <c r="I434" s="26">
        <f t="shared" si="219"/>
        <v>0</v>
      </c>
    </row>
    <row r="435" spans="1:9" s="222" customFormat="1" ht="63" x14ac:dyDescent="0.25">
      <c r="A435" s="372" t="s">
        <v>142</v>
      </c>
      <c r="B435" s="366">
        <v>903</v>
      </c>
      <c r="C435" s="368" t="s">
        <v>314</v>
      </c>
      <c r="D435" s="368" t="s">
        <v>165</v>
      </c>
      <c r="E435" s="368" t="s">
        <v>987</v>
      </c>
      <c r="F435" s="368" t="s">
        <v>143</v>
      </c>
      <c r="G435" s="373">
        <f>G436</f>
        <v>210</v>
      </c>
      <c r="H435" s="26">
        <f t="shared" si="219"/>
        <v>0</v>
      </c>
      <c r="I435" s="26">
        <f t="shared" si="219"/>
        <v>0</v>
      </c>
    </row>
    <row r="436" spans="1:9" s="222" customFormat="1" ht="15.75" x14ac:dyDescent="0.25">
      <c r="A436" s="372" t="s">
        <v>357</v>
      </c>
      <c r="B436" s="366">
        <v>903</v>
      </c>
      <c r="C436" s="368" t="s">
        <v>314</v>
      </c>
      <c r="D436" s="368" t="s">
        <v>165</v>
      </c>
      <c r="E436" s="368" t="s">
        <v>987</v>
      </c>
      <c r="F436" s="368" t="s">
        <v>224</v>
      </c>
      <c r="G436" s="373">
        <v>210</v>
      </c>
      <c r="H436" s="26"/>
      <c r="I436" s="26"/>
    </row>
    <row r="437" spans="1:9" ht="47.25" x14ac:dyDescent="0.25">
      <c r="A437" s="370" t="s">
        <v>358</v>
      </c>
      <c r="B437" s="367">
        <v>903</v>
      </c>
      <c r="C437" s="371" t="s">
        <v>314</v>
      </c>
      <c r="D437" s="371" t="s">
        <v>165</v>
      </c>
      <c r="E437" s="371" t="s">
        <v>359</v>
      </c>
      <c r="F437" s="371"/>
      <c r="G437" s="369">
        <f>G438</f>
        <v>260</v>
      </c>
      <c r="H437" s="21">
        <f t="shared" ref="H437:I441" si="220">H438</f>
        <v>260</v>
      </c>
      <c r="I437" s="21">
        <f t="shared" si="220"/>
        <v>260</v>
      </c>
    </row>
    <row r="438" spans="1:9" ht="47.25" x14ac:dyDescent="0.25">
      <c r="A438" s="370" t="s">
        <v>379</v>
      </c>
      <c r="B438" s="367">
        <v>903</v>
      </c>
      <c r="C438" s="371" t="s">
        <v>314</v>
      </c>
      <c r="D438" s="371" t="s">
        <v>165</v>
      </c>
      <c r="E438" s="371" t="s">
        <v>380</v>
      </c>
      <c r="F438" s="371"/>
      <c r="G438" s="369">
        <f>G439</f>
        <v>260</v>
      </c>
      <c r="H438" s="21">
        <f t="shared" si="220"/>
        <v>260</v>
      </c>
      <c r="I438" s="21">
        <f t="shared" si="220"/>
        <v>260</v>
      </c>
    </row>
    <row r="439" spans="1:9" s="222" customFormat="1" ht="31.5" x14ac:dyDescent="0.25">
      <c r="A439" s="370" t="s">
        <v>1145</v>
      </c>
      <c r="B439" s="367">
        <v>903</v>
      </c>
      <c r="C439" s="371" t="s">
        <v>314</v>
      </c>
      <c r="D439" s="371" t="s">
        <v>165</v>
      </c>
      <c r="E439" s="371" t="s">
        <v>964</v>
      </c>
      <c r="F439" s="371"/>
      <c r="G439" s="369">
        <f>G440</f>
        <v>260</v>
      </c>
      <c r="H439" s="21">
        <f t="shared" si="220"/>
        <v>260</v>
      </c>
      <c r="I439" s="21">
        <f t="shared" si="220"/>
        <v>260</v>
      </c>
    </row>
    <row r="440" spans="1:9" ht="15.75" x14ac:dyDescent="0.25">
      <c r="A440" s="372" t="s">
        <v>1144</v>
      </c>
      <c r="B440" s="366">
        <v>903</v>
      </c>
      <c r="C440" s="368" t="s">
        <v>314</v>
      </c>
      <c r="D440" s="368" t="s">
        <v>165</v>
      </c>
      <c r="E440" s="368" t="s">
        <v>1223</v>
      </c>
      <c r="F440" s="368"/>
      <c r="G440" s="373">
        <f>G441</f>
        <v>260</v>
      </c>
      <c r="H440" s="26">
        <f t="shared" si="220"/>
        <v>260</v>
      </c>
      <c r="I440" s="26">
        <f t="shared" si="220"/>
        <v>260</v>
      </c>
    </row>
    <row r="441" spans="1:9" ht="31.5" x14ac:dyDescent="0.25">
      <c r="A441" s="372" t="s">
        <v>146</v>
      </c>
      <c r="B441" s="366">
        <v>903</v>
      </c>
      <c r="C441" s="368" t="s">
        <v>314</v>
      </c>
      <c r="D441" s="368" t="s">
        <v>165</v>
      </c>
      <c r="E441" s="368" t="s">
        <v>1223</v>
      </c>
      <c r="F441" s="368" t="s">
        <v>147</v>
      </c>
      <c r="G441" s="373">
        <f>G442</f>
        <v>260</v>
      </c>
      <c r="H441" s="26">
        <f t="shared" si="220"/>
        <v>260</v>
      </c>
      <c r="I441" s="26">
        <f t="shared" si="220"/>
        <v>260</v>
      </c>
    </row>
    <row r="442" spans="1:9" ht="31.5" x14ac:dyDescent="0.25">
      <c r="A442" s="372" t="s">
        <v>148</v>
      </c>
      <c r="B442" s="366">
        <v>903</v>
      </c>
      <c r="C442" s="368" t="s">
        <v>314</v>
      </c>
      <c r="D442" s="368" t="s">
        <v>165</v>
      </c>
      <c r="E442" s="368" t="s">
        <v>1223</v>
      </c>
      <c r="F442" s="368" t="s">
        <v>149</v>
      </c>
      <c r="G442" s="373">
        <f>210+50</f>
        <v>260</v>
      </c>
      <c r="H442" s="26">
        <f t="shared" ref="H442:I442" si="221">210+50</f>
        <v>260</v>
      </c>
      <c r="I442" s="26">
        <f t="shared" si="221"/>
        <v>260</v>
      </c>
    </row>
    <row r="443" spans="1:9" ht="15.75" x14ac:dyDescent="0.25">
      <c r="A443" s="370" t="s">
        <v>258</v>
      </c>
      <c r="B443" s="367">
        <v>903</v>
      </c>
      <c r="C443" s="371" t="s">
        <v>259</v>
      </c>
      <c r="D443" s="371"/>
      <c r="E443" s="371"/>
      <c r="F443" s="371"/>
      <c r="G443" s="369">
        <f>G444</f>
        <v>1949.2</v>
      </c>
      <c r="H443" s="21">
        <f t="shared" ref="H443:I444" si="222">H444</f>
        <v>2500.4</v>
      </c>
      <c r="I443" s="21">
        <f t="shared" si="222"/>
        <v>2500.4</v>
      </c>
    </row>
    <row r="444" spans="1:9" ht="15.75" x14ac:dyDescent="0.25">
      <c r="A444" s="370" t="s">
        <v>267</v>
      </c>
      <c r="B444" s="367">
        <v>903</v>
      </c>
      <c r="C444" s="371" t="s">
        <v>259</v>
      </c>
      <c r="D444" s="371" t="s">
        <v>230</v>
      </c>
      <c r="E444" s="371"/>
      <c r="F444" s="371"/>
      <c r="G444" s="369">
        <f>G445</f>
        <v>1949.2</v>
      </c>
      <c r="H444" s="21">
        <f t="shared" si="222"/>
        <v>2500.4</v>
      </c>
      <c r="I444" s="21">
        <f t="shared" si="222"/>
        <v>2500.4</v>
      </c>
    </row>
    <row r="445" spans="1:9" ht="47.25" x14ac:dyDescent="0.25">
      <c r="A445" s="370" t="s">
        <v>358</v>
      </c>
      <c r="B445" s="367">
        <v>903</v>
      </c>
      <c r="C445" s="371" t="s">
        <v>259</v>
      </c>
      <c r="D445" s="371" t="s">
        <v>230</v>
      </c>
      <c r="E445" s="371" t="s">
        <v>359</v>
      </c>
      <c r="F445" s="371"/>
      <c r="G445" s="369">
        <f>G446+G451+G456+G467</f>
        <v>1949.2</v>
      </c>
      <c r="H445" s="21">
        <f t="shared" ref="H445:I445" si="223">H446+H451+H456+H467</f>
        <v>2500.4</v>
      </c>
      <c r="I445" s="21">
        <f t="shared" si="223"/>
        <v>2500.4</v>
      </c>
    </row>
    <row r="446" spans="1:9" ht="15.75" x14ac:dyDescent="0.25">
      <c r="A446" s="370" t="s">
        <v>367</v>
      </c>
      <c r="B446" s="367">
        <v>903</v>
      </c>
      <c r="C446" s="371" t="s">
        <v>259</v>
      </c>
      <c r="D446" s="371" t="s">
        <v>230</v>
      </c>
      <c r="E446" s="371" t="s">
        <v>368</v>
      </c>
      <c r="F446" s="371"/>
      <c r="G446" s="369">
        <f>G447</f>
        <v>169.20000000000002</v>
      </c>
      <c r="H446" s="21">
        <f t="shared" ref="H446:I449" si="224">H447</f>
        <v>434.7</v>
      </c>
      <c r="I446" s="21">
        <f t="shared" si="224"/>
        <v>434.7</v>
      </c>
    </row>
    <row r="447" spans="1:9" s="222" customFormat="1" ht="33.75" customHeight="1" x14ac:dyDescent="0.25">
      <c r="A447" s="370" t="s">
        <v>974</v>
      </c>
      <c r="B447" s="367">
        <v>903</v>
      </c>
      <c r="C447" s="371" t="s">
        <v>259</v>
      </c>
      <c r="D447" s="371" t="s">
        <v>230</v>
      </c>
      <c r="E447" s="371" t="s">
        <v>973</v>
      </c>
      <c r="F447" s="371"/>
      <c r="G447" s="369">
        <f>G448</f>
        <v>169.20000000000002</v>
      </c>
      <c r="H447" s="21">
        <f t="shared" si="224"/>
        <v>434.7</v>
      </c>
      <c r="I447" s="21">
        <f t="shared" si="224"/>
        <v>434.7</v>
      </c>
    </row>
    <row r="448" spans="1:9" ht="31.5" x14ac:dyDescent="0.25">
      <c r="A448" s="372" t="s">
        <v>867</v>
      </c>
      <c r="B448" s="366">
        <v>903</v>
      </c>
      <c r="C448" s="368" t="s">
        <v>259</v>
      </c>
      <c r="D448" s="368" t="s">
        <v>230</v>
      </c>
      <c r="E448" s="368" t="s">
        <v>975</v>
      </c>
      <c r="F448" s="368"/>
      <c r="G448" s="373">
        <f>G449</f>
        <v>169.20000000000002</v>
      </c>
      <c r="H448" s="26">
        <f t="shared" si="224"/>
        <v>434.7</v>
      </c>
      <c r="I448" s="26">
        <f t="shared" si="224"/>
        <v>434.7</v>
      </c>
    </row>
    <row r="449" spans="1:9" ht="15.75" x14ac:dyDescent="0.25">
      <c r="A449" s="372" t="s">
        <v>263</v>
      </c>
      <c r="B449" s="366">
        <v>903</v>
      </c>
      <c r="C449" s="368" t="s">
        <v>259</v>
      </c>
      <c r="D449" s="368" t="s">
        <v>230</v>
      </c>
      <c r="E449" s="368" t="s">
        <v>975</v>
      </c>
      <c r="F449" s="368" t="s">
        <v>264</v>
      </c>
      <c r="G449" s="373">
        <f>G450</f>
        <v>169.20000000000002</v>
      </c>
      <c r="H449" s="26">
        <f t="shared" si="224"/>
        <v>434.7</v>
      </c>
      <c r="I449" s="26">
        <f t="shared" si="224"/>
        <v>434.7</v>
      </c>
    </row>
    <row r="450" spans="1:9" ht="31.5" x14ac:dyDescent="0.25">
      <c r="A450" s="372" t="s">
        <v>265</v>
      </c>
      <c r="B450" s="366">
        <v>903</v>
      </c>
      <c r="C450" s="368" t="s">
        <v>259</v>
      </c>
      <c r="D450" s="368" t="s">
        <v>230</v>
      </c>
      <c r="E450" s="368" t="s">
        <v>975</v>
      </c>
      <c r="F450" s="368" t="s">
        <v>266</v>
      </c>
      <c r="G450" s="373">
        <f>28.9+140.3</f>
        <v>169.20000000000002</v>
      </c>
      <c r="H450" s="26">
        <f t="shared" ref="H450:I450" si="225">148.4-30.7+32.3+284.7</f>
        <v>434.7</v>
      </c>
      <c r="I450" s="26">
        <f t="shared" si="225"/>
        <v>434.7</v>
      </c>
    </row>
    <row r="451" spans="1:9" ht="31.5" x14ac:dyDescent="0.25">
      <c r="A451" s="370" t="s">
        <v>370</v>
      </c>
      <c r="B451" s="367">
        <v>903</v>
      </c>
      <c r="C451" s="367">
        <v>10</v>
      </c>
      <c r="D451" s="371" t="s">
        <v>230</v>
      </c>
      <c r="E451" s="371" t="s">
        <v>371</v>
      </c>
      <c r="F451" s="371"/>
      <c r="G451" s="369">
        <f>G453</f>
        <v>420</v>
      </c>
      <c r="H451" s="21">
        <f t="shared" ref="H451:I451" si="226">H453</f>
        <v>420</v>
      </c>
      <c r="I451" s="21">
        <f t="shared" si="226"/>
        <v>420</v>
      </c>
    </row>
    <row r="452" spans="1:9" s="222" customFormat="1" ht="31.5" x14ac:dyDescent="0.25">
      <c r="A452" s="370" t="s">
        <v>1146</v>
      </c>
      <c r="B452" s="367">
        <v>903</v>
      </c>
      <c r="C452" s="367">
        <v>10</v>
      </c>
      <c r="D452" s="371" t="s">
        <v>230</v>
      </c>
      <c r="E452" s="371" t="s">
        <v>976</v>
      </c>
      <c r="F452" s="371"/>
      <c r="G452" s="369">
        <f>G453</f>
        <v>420</v>
      </c>
      <c r="H452" s="21">
        <f t="shared" ref="H452:I454" si="227">H453</f>
        <v>420</v>
      </c>
      <c r="I452" s="21">
        <f t="shared" si="227"/>
        <v>420</v>
      </c>
    </row>
    <row r="453" spans="1:9" ht="15.75" x14ac:dyDescent="0.25">
      <c r="A453" s="372" t="s">
        <v>1203</v>
      </c>
      <c r="B453" s="366">
        <v>903</v>
      </c>
      <c r="C453" s="368" t="s">
        <v>259</v>
      </c>
      <c r="D453" s="368" t="s">
        <v>230</v>
      </c>
      <c r="E453" s="368" t="s">
        <v>977</v>
      </c>
      <c r="F453" s="368"/>
      <c r="G453" s="373">
        <f>G454</f>
        <v>420</v>
      </c>
      <c r="H453" s="26">
        <f t="shared" si="227"/>
        <v>420</v>
      </c>
      <c r="I453" s="26">
        <f t="shared" si="227"/>
        <v>420</v>
      </c>
    </row>
    <row r="454" spans="1:9" ht="15.75" x14ac:dyDescent="0.25">
      <c r="A454" s="372" t="s">
        <v>263</v>
      </c>
      <c r="B454" s="366">
        <v>903</v>
      </c>
      <c r="C454" s="368" t="s">
        <v>259</v>
      </c>
      <c r="D454" s="368" t="s">
        <v>230</v>
      </c>
      <c r="E454" s="368" t="s">
        <v>977</v>
      </c>
      <c r="F454" s="368" t="s">
        <v>264</v>
      </c>
      <c r="G454" s="373">
        <f>G455</f>
        <v>420</v>
      </c>
      <c r="H454" s="26">
        <f t="shared" si="227"/>
        <v>420</v>
      </c>
      <c r="I454" s="26">
        <f t="shared" si="227"/>
        <v>420</v>
      </c>
    </row>
    <row r="455" spans="1:9" ht="15.75" x14ac:dyDescent="0.25">
      <c r="A455" s="372" t="s">
        <v>363</v>
      </c>
      <c r="B455" s="366">
        <v>903</v>
      </c>
      <c r="C455" s="368" t="s">
        <v>259</v>
      </c>
      <c r="D455" s="368" t="s">
        <v>230</v>
      </c>
      <c r="E455" s="368" t="s">
        <v>977</v>
      </c>
      <c r="F455" s="368" t="s">
        <v>364</v>
      </c>
      <c r="G455" s="373">
        <v>420</v>
      </c>
      <c r="H455" s="26">
        <v>420</v>
      </c>
      <c r="I455" s="26">
        <v>420</v>
      </c>
    </row>
    <row r="456" spans="1:9" ht="15.75" x14ac:dyDescent="0.25">
      <c r="A456" s="370" t="s">
        <v>373</v>
      </c>
      <c r="B456" s="367">
        <v>903</v>
      </c>
      <c r="C456" s="367">
        <v>10</v>
      </c>
      <c r="D456" s="371" t="s">
        <v>230</v>
      </c>
      <c r="E456" s="371" t="s">
        <v>374</v>
      </c>
      <c r="F456" s="371"/>
      <c r="G456" s="369">
        <f>G461+G457</f>
        <v>1110</v>
      </c>
      <c r="H456" s="21">
        <f t="shared" ref="H456:I456" si="228">H461+H457</f>
        <v>1395.7</v>
      </c>
      <c r="I456" s="21">
        <f t="shared" si="228"/>
        <v>1395.7</v>
      </c>
    </row>
    <row r="457" spans="1:9" s="222" customFormat="1" ht="31.5" x14ac:dyDescent="0.25">
      <c r="A457" s="370" t="s">
        <v>1205</v>
      </c>
      <c r="B457" s="367">
        <v>903</v>
      </c>
      <c r="C457" s="371" t="s">
        <v>259</v>
      </c>
      <c r="D457" s="371" t="s">
        <v>230</v>
      </c>
      <c r="E457" s="371" t="s">
        <v>979</v>
      </c>
      <c r="F457" s="371"/>
      <c r="G457" s="369">
        <f>G458</f>
        <v>630</v>
      </c>
      <c r="H457" s="21">
        <f t="shared" ref="H457:I459" si="229">H458</f>
        <v>915.7</v>
      </c>
      <c r="I457" s="21">
        <f t="shared" si="229"/>
        <v>915.7</v>
      </c>
    </row>
    <row r="458" spans="1:9" s="222" customFormat="1" ht="34.5" customHeight="1" x14ac:dyDescent="0.25">
      <c r="A458" s="99" t="s">
        <v>1206</v>
      </c>
      <c r="B458" s="366">
        <v>903</v>
      </c>
      <c r="C458" s="368" t="s">
        <v>259</v>
      </c>
      <c r="D458" s="368" t="s">
        <v>230</v>
      </c>
      <c r="E458" s="368" t="s">
        <v>980</v>
      </c>
      <c r="F458" s="368"/>
      <c r="G458" s="373">
        <f>G459</f>
        <v>630</v>
      </c>
      <c r="H458" s="26">
        <f t="shared" si="229"/>
        <v>915.7</v>
      </c>
      <c r="I458" s="26">
        <f t="shared" si="229"/>
        <v>915.7</v>
      </c>
    </row>
    <row r="459" spans="1:9" s="222" customFormat="1" ht="15.75" x14ac:dyDescent="0.25">
      <c r="A459" s="372" t="s">
        <v>263</v>
      </c>
      <c r="B459" s="366">
        <v>903</v>
      </c>
      <c r="C459" s="368" t="s">
        <v>259</v>
      </c>
      <c r="D459" s="368" t="s">
        <v>230</v>
      </c>
      <c r="E459" s="368" t="s">
        <v>980</v>
      </c>
      <c r="F459" s="368" t="s">
        <v>264</v>
      </c>
      <c r="G459" s="373">
        <f>G460</f>
        <v>630</v>
      </c>
      <c r="H459" s="26">
        <f t="shared" si="229"/>
        <v>915.7</v>
      </c>
      <c r="I459" s="26">
        <f t="shared" si="229"/>
        <v>915.7</v>
      </c>
    </row>
    <row r="460" spans="1:9" s="222" customFormat="1" ht="15.75" x14ac:dyDescent="0.25">
      <c r="A460" s="372" t="s">
        <v>363</v>
      </c>
      <c r="B460" s="366">
        <v>903</v>
      </c>
      <c r="C460" s="368" t="s">
        <v>259</v>
      </c>
      <c r="D460" s="368" t="s">
        <v>230</v>
      </c>
      <c r="E460" s="368" t="s">
        <v>980</v>
      </c>
      <c r="F460" s="368" t="s">
        <v>364</v>
      </c>
      <c r="G460" s="373">
        <v>630</v>
      </c>
      <c r="H460" s="26">
        <f t="shared" ref="H460:I460" si="230">1015.7-100</f>
        <v>915.7</v>
      </c>
      <c r="I460" s="26">
        <f t="shared" si="230"/>
        <v>915.7</v>
      </c>
    </row>
    <row r="461" spans="1:9" s="222" customFormat="1" ht="31.5" x14ac:dyDescent="0.25">
      <c r="A461" s="370" t="s">
        <v>978</v>
      </c>
      <c r="B461" s="367">
        <v>903</v>
      </c>
      <c r="C461" s="367">
        <v>10</v>
      </c>
      <c r="D461" s="371" t="s">
        <v>230</v>
      </c>
      <c r="E461" s="371" t="s">
        <v>981</v>
      </c>
      <c r="F461" s="371"/>
      <c r="G461" s="369">
        <f>G462+G465</f>
        <v>480</v>
      </c>
      <c r="H461" s="21">
        <f t="shared" ref="H461:I461" si="231">H462+H465</f>
        <v>480</v>
      </c>
      <c r="I461" s="21">
        <f t="shared" si="231"/>
        <v>480</v>
      </c>
    </row>
    <row r="462" spans="1:9" ht="15.75" x14ac:dyDescent="0.25">
      <c r="A462" s="372" t="s">
        <v>1147</v>
      </c>
      <c r="B462" s="366">
        <v>903</v>
      </c>
      <c r="C462" s="368" t="s">
        <v>259</v>
      </c>
      <c r="D462" s="368" t="s">
        <v>230</v>
      </c>
      <c r="E462" s="368" t="s">
        <v>982</v>
      </c>
      <c r="F462" s="368"/>
      <c r="G462" s="373">
        <f>G463</f>
        <v>270</v>
      </c>
      <c r="H462" s="26">
        <f t="shared" ref="H462:I463" si="232">H463</f>
        <v>270</v>
      </c>
      <c r="I462" s="26">
        <f t="shared" si="232"/>
        <v>270</v>
      </c>
    </row>
    <row r="463" spans="1:9" ht="31.5" x14ac:dyDescent="0.25">
      <c r="A463" s="372" t="s">
        <v>146</v>
      </c>
      <c r="B463" s="366">
        <v>903</v>
      </c>
      <c r="C463" s="368" t="s">
        <v>259</v>
      </c>
      <c r="D463" s="368" t="s">
        <v>230</v>
      </c>
      <c r="E463" s="368" t="s">
        <v>982</v>
      </c>
      <c r="F463" s="368" t="s">
        <v>147</v>
      </c>
      <c r="G463" s="373">
        <f>G464</f>
        <v>270</v>
      </c>
      <c r="H463" s="26">
        <f t="shared" si="232"/>
        <v>270</v>
      </c>
      <c r="I463" s="26">
        <f t="shared" si="232"/>
        <v>270</v>
      </c>
    </row>
    <row r="464" spans="1:9" ht="31.5" x14ac:dyDescent="0.25">
      <c r="A464" s="372" t="s">
        <v>148</v>
      </c>
      <c r="B464" s="366">
        <v>903</v>
      </c>
      <c r="C464" s="368" t="s">
        <v>259</v>
      </c>
      <c r="D464" s="368" t="s">
        <v>230</v>
      </c>
      <c r="E464" s="368" t="s">
        <v>982</v>
      </c>
      <c r="F464" s="368" t="s">
        <v>149</v>
      </c>
      <c r="G464" s="373">
        <v>270</v>
      </c>
      <c r="H464" s="26">
        <f>G464</f>
        <v>270</v>
      </c>
      <c r="I464" s="26">
        <f>H464</f>
        <v>270</v>
      </c>
    </row>
    <row r="465" spans="1:9" s="222" customFormat="1" ht="15.75" x14ac:dyDescent="0.25">
      <c r="A465" s="372" t="s">
        <v>263</v>
      </c>
      <c r="B465" s="366">
        <v>903</v>
      </c>
      <c r="C465" s="368" t="s">
        <v>259</v>
      </c>
      <c r="D465" s="368" t="s">
        <v>230</v>
      </c>
      <c r="E465" s="368" t="s">
        <v>982</v>
      </c>
      <c r="F465" s="368" t="s">
        <v>264</v>
      </c>
      <c r="G465" s="373">
        <f>G466</f>
        <v>210</v>
      </c>
      <c r="H465" s="26">
        <f t="shared" ref="H465:I465" si="233">H466</f>
        <v>210</v>
      </c>
      <c r="I465" s="26">
        <f t="shared" si="233"/>
        <v>210</v>
      </c>
    </row>
    <row r="466" spans="1:9" s="222" customFormat="1" ht="15.75" x14ac:dyDescent="0.25">
      <c r="A466" s="372" t="s">
        <v>363</v>
      </c>
      <c r="B466" s="366">
        <v>903</v>
      </c>
      <c r="C466" s="368" t="s">
        <v>259</v>
      </c>
      <c r="D466" s="368" t="s">
        <v>230</v>
      </c>
      <c r="E466" s="368" t="s">
        <v>982</v>
      </c>
      <c r="F466" s="368" t="s">
        <v>364</v>
      </c>
      <c r="G466" s="373">
        <v>210</v>
      </c>
      <c r="H466" s="26">
        <f>G466</f>
        <v>210</v>
      </c>
      <c r="I466" s="26">
        <f>H466</f>
        <v>210</v>
      </c>
    </row>
    <row r="467" spans="1:9" ht="37.5" customHeight="1" x14ac:dyDescent="0.25">
      <c r="A467" s="370" t="s">
        <v>376</v>
      </c>
      <c r="B467" s="367">
        <v>903</v>
      </c>
      <c r="C467" s="371" t="s">
        <v>259</v>
      </c>
      <c r="D467" s="371" t="s">
        <v>230</v>
      </c>
      <c r="E467" s="371" t="s">
        <v>377</v>
      </c>
      <c r="F467" s="371"/>
      <c r="G467" s="369">
        <f>G468</f>
        <v>250</v>
      </c>
      <c r="H467" s="21">
        <f t="shared" ref="H467:I470" si="234">H468</f>
        <v>250</v>
      </c>
      <c r="I467" s="21">
        <f t="shared" si="234"/>
        <v>250</v>
      </c>
    </row>
    <row r="468" spans="1:9" s="222" customFormat="1" ht="38.25" customHeight="1" x14ac:dyDescent="0.25">
      <c r="A468" s="370" t="s">
        <v>1208</v>
      </c>
      <c r="B468" s="367">
        <v>903</v>
      </c>
      <c r="C468" s="371" t="s">
        <v>259</v>
      </c>
      <c r="D468" s="371" t="s">
        <v>230</v>
      </c>
      <c r="E468" s="371" t="s">
        <v>984</v>
      </c>
      <c r="F468" s="371"/>
      <c r="G468" s="369">
        <f>G469</f>
        <v>250</v>
      </c>
      <c r="H468" s="21">
        <f t="shared" si="234"/>
        <v>250</v>
      </c>
      <c r="I468" s="21">
        <f t="shared" si="234"/>
        <v>250</v>
      </c>
    </row>
    <row r="469" spans="1:9" ht="35.450000000000003" customHeight="1" x14ac:dyDescent="0.25">
      <c r="A469" s="372" t="s">
        <v>1207</v>
      </c>
      <c r="B469" s="366">
        <v>903</v>
      </c>
      <c r="C469" s="368" t="s">
        <v>259</v>
      </c>
      <c r="D469" s="368" t="s">
        <v>230</v>
      </c>
      <c r="E469" s="368" t="s">
        <v>983</v>
      </c>
      <c r="F469" s="368"/>
      <c r="G469" s="373">
        <f>G470</f>
        <v>250</v>
      </c>
      <c r="H469" s="26">
        <f t="shared" si="234"/>
        <v>250</v>
      </c>
      <c r="I469" s="26">
        <f t="shared" si="234"/>
        <v>250</v>
      </c>
    </row>
    <row r="470" spans="1:9" ht="15.75" x14ac:dyDescent="0.25">
      <c r="A470" s="372" t="s">
        <v>263</v>
      </c>
      <c r="B470" s="366">
        <v>903</v>
      </c>
      <c r="C470" s="368" t="s">
        <v>259</v>
      </c>
      <c r="D470" s="368" t="s">
        <v>230</v>
      </c>
      <c r="E470" s="368" t="s">
        <v>983</v>
      </c>
      <c r="F470" s="368" t="s">
        <v>264</v>
      </c>
      <c r="G470" s="373">
        <f>G471</f>
        <v>250</v>
      </c>
      <c r="H470" s="26">
        <f t="shared" si="234"/>
        <v>250</v>
      </c>
      <c r="I470" s="26">
        <f t="shared" si="234"/>
        <v>250</v>
      </c>
    </row>
    <row r="471" spans="1:9" ht="15.75" x14ac:dyDescent="0.25">
      <c r="A471" s="372" t="s">
        <v>363</v>
      </c>
      <c r="B471" s="366">
        <v>903</v>
      </c>
      <c r="C471" s="368" t="s">
        <v>259</v>
      </c>
      <c r="D471" s="368" t="s">
        <v>230</v>
      </c>
      <c r="E471" s="368" t="s">
        <v>983</v>
      </c>
      <c r="F471" s="368" t="s">
        <v>364</v>
      </c>
      <c r="G471" s="373">
        <v>250</v>
      </c>
      <c r="H471" s="26">
        <v>250</v>
      </c>
      <c r="I471" s="26">
        <v>250</v>
      </c>
    </row>
    <row r="472" spans="1:9" s="222" customFormat="1" ht="15.75" x14ac:dyDescent="0.25">
      <c r="A472" s="370" t="s">
        <v>597</v>
      </c>
      <c r="B472" s="367">
        <v>903</v>
      </c>
      <c r="C472" s="371" t="s">
        <v>253</v>
      </c>
      <c r="D472" s="368"/>
      <c r="E472" s="368"/>
      <c r="F472" s="368"/>
      <c r="G472" s="369">
        <f>G473</f>
        <v>6661</v>
      </c>
      <c r="H472" s="26"/>
      <c r="I472" s="26"/>
    </row>
    <row r="473" spans="1:9" s="222" customFormat="1" ht="15.75" x14ac:dyDescent="0.25">
      <c r="A473" s="370" t="s">
        <v>598</v>
      </c>
      <c r="B473" s="367">
        <v>903</v>
      </c>
      <c r="C473" s="371" t="s">
        <v>253</v>
      </c>
      <c r="D473" s="371" t="s">
        <v>228</v>
      </c>
      <c r="E473" s="371"/>
      <c r="F473" s="371"/>
      <c r="G473" s="369">
        <f>G474+G486</f>
        <v>6661</v>
      </c>
      <c r="H473" s="26"/>
      <c r="I473" s="26"/>
    </row>
    <row r="474" spans="1:9" s="222" customFormat="1" ht="15.75" x14ac:dyDescent="0.25">
      <c r="A474" s="370" t="s">
        <v>156</v>
      </c>
      <c r="B474" s="367">
        <v>903</v>
      </c>
      <c r="C474" s="371" t="s">
        <v>253</v>
      </c>
      <c r="D474" s="371" t="s">
        <v>228</v>
      </c>
      <c r="E474" s="371" t="s">
        <v>910</v>
      </c>
      <c r="F474" s="371"/>
      <c r="G474" s="369">
        <f>G475</f>
        <v>6589</v>
      </c>
      <c r="H474" s="26"/>
      <c r="I474" s="26"/>
    </row>
    <row r="475" spans="1:9" s="222" customFormat="1" ht="15.75" x14ac:dyDescent="0.25">
      <c r="A475" s="370" t="s">
        <v>1088</v>
      </c>
      <c r="B475" s="367">
        <v>903</v>
      </c>
      <c r="C475" s="371" t="s">
        <v>253</v>
      </c>
      <c r="D475" s="371" t="s">
        <v>228</v>
      </c>
      <c r="E475" s="371" t="s">
        <v>1087</v>
      </c>
      <c r="F475" s="371"/>
      <c r="G475" s="369">
        <f>G476+G483</f>
        <v>6589</v>
      </c>
      <c r="H475" s="26"/>
      <c r="I475" s="26"/>
    </row>
    <row r="476" spans="1:9" s="222" customFormat="1" ht="15.75" x14ac:dyDescent="0.25">
      <c r="A476" s="372" t="s">
        <v>832</v>
      </c>
      <c r="B476" s="366">
        <v>903</v>
      </c>
      <c r="C476" s="368" t="s">
        <v>253</v>
      </c>
      <c r="D476" s="368" t="s">
        <v>228</v>
      </c>
      <c r="E476" s="368" t="s">
        <v>1089</v>
      </c>
      <c r="F476" s="368"/>
      <c r="G476" s="373">
        <f>G477+G479+G481</f>
        <v>6379</v>
      </c>
      <c r="H476" s="26"/>
      <c r="I476" s="26"/>
    </row>
    <row r="477" spans="1:9" s="222" customFormat="1" ht="63" x14ac:dyDescent="0.25">
      <c r="A477" s="372" t="s">
        <v>142</v>
      </c>
      <c r="B477" s="366">
        <v>903</v>
      </c>
      <c r="C477" s="368" t="s">
        <v>253</v>
      </c>
      <c r="D477" s="368" t="s">
        <v>228</v>
      </c>
      <c r="E477" s="368" t="s">
        <v>1089</v>
      </c>
      <c r="F477" s="368" t="s">
        <v>143</v>
      </c>
      <c r="G477" s="373">
        <f>G478</f>
        <v>5525</v>
      </c>
      <c r="H477" s="26"/>
      <c r="I477" s="26"/>
    </row>
    <row r="478" spans="1:9" s="222" customFormat="1" ht="15.75" x14ac:dyDescent="0.25">
      <c r="A478" s="372" t="s">
        <v>223</v>
      </c>
      <c r="B478" s="366">
        <v>903</v>
      </c>
      <c r="C478" s="368" t="s">
        <v>253</v>
      </c>
      <c r="D478" s="368" t="s">
        <v>228</v>
      </c>
      <c r="E478" s="368" t="s">
        <v>1089</v>
      </c>
      <c r="F478" s="368" t="s">
        <v>224</v>
      </c>
      <c r="G478" s="374">
        <f>5853-357.5-36+280.5-215</f>
        <v>5525</v>
      </c>
      <c r="H478" s="26"/>
      <c r="I478" s="26"/>
    </row>
    <row r="479" spans="1:9" s="222" customFormat="1" ht="31.5" x14ac:dyDescent="0.25">
      <c r="A479" s="372" t="s">
        <v>146</v>
      </c>
      <c r="B479" s="366">
        <v>903</v>
      </c>
      <c r="C479" s="368" t="s">
        <v>253</v>
      </c>
      <c r="D479" s="368" t="s">
        <v>228</v>
      </c>
      <c r="E479" s="368" t="s">
        <v>1089</v>
      </c>
      <c r="F479" s="368" t="s">
        <v>147</v>
      </c>
      <c r="G479" s="373">
        <f>G480</f>
        <v>804</v>
      </c>
      <c r="H479" s="26"/>
      <c r="I479" s="26"/>
    </row>
    <row r="480" spans="1:9" s="222" customFormat="1" ht="31.5" x14ac:dyDescent="0.25">
      <c r="A480" s="372" t="s">
        <v>148</v>
      </c>
      <c r="B480" s="366">
        <v>903</v>
      </c>
      <c r="C480" s="368" t="s">
        <v>253</v>
      </c>
      <c r="D480" s="368" t="s">
        <v>228</v>
      </c>
      <c r="E480" s="368" t="s">
        <v>1089</v>
      </c>
      <c r="F480" s="368" t="s">
        <v>149</v>
      </c>
      <c r="G480" s="374">
        <f>1456-797+145</f>
        <v>804</v>
      </c>
      <c r="H480" s="26"/>
      <c r="I480" s="26"/>
    </row>
    <row r="481" spans="1:9" s="222" customFormat="1" ht="15.75" x14ac:dyDescent="0.25">
      <c r="A481" s="372" t="s">
        <v>150</v>
      </c>
      <c r="B481" s="366">
        <v>903</v>
      </c>
      <c r="C481" s="368" t="s">
        <v>253</v>
      </c>
      <c r="D481" s="368" t="s">
        <v>228</v>
      </c>
      <c r="E481" s="368" t="s">
        <v>1089</v>
      </c>
      <c r="F481" s="368" t="s">
        <v>160</v>
      </c>
      <c r="G481" s="373">
        <f>G482</f>
        <v>50</v>
      </c>
      <c r="H481" s="26"/>
      <c r="I481" s="26"/>
    </row>
    <row r="482" spans="1:9" s="222" customFormat="1" ht="15.75" x14ac:dyDescent="0.25">
      <c r="A482" s="372" t="s">
        <v>583</v>
      </c>
      <c r="B482" s="366">
        <v>903</v>
      </c>
      <c r="C482" s="368" t="s">
        <v>253</v>
      </c>
      <c r="D482" s="368" t="s">
        <v>228</v>
      </c>
      <c r="E482" s="368" t="s">
        <v>1089</v>
      </c>
      <c r="F482" s="368" t="s">
        <v>153</v>
      </c>
      <c r="G482" s="373">
        <v>50</v>
      </c>
      <c r="H482" s="26"/>
      <c r="I482" s="26"/>
    </row>
    <row r="483" spans="1:9" s="222" customFormat="1" ht="31.5" x14ac:dyDescent="0.25">
      <c r="A483" s="372" t="s">
        <v>883</v>
      </c>
      <c r="B483" s="366">
        <v>903</v>
      </c>
      <c r="C483" s="368" t="s">
        <v>253</v>
      </c>
      <c r="D483" s="368" t="s">
        <v>228</v>
      </c>
      <c r="E483" s="368" t="s">
        <v>1090</v>
      </c>
      <c r="F483" s="368"/>
      <c r="G483" s="373">
        <f>G484</f>
        <v>210</v>
      </c>
      <c r="H483" s="26"/>
      <c r="I483" s="26"/>
    </row>
    <row r="484" spans="1:9" s="222" customFormat="1" ht="63" x14ac:dyDescent="0.25">
      <c r="A484" s="372" t="s">
        <v>142</v>
      </c>
      <c r="B484" s="366">
        <v>903</v>
      </c>
      <c r="C484" s="368" t="s">
        <v>253</v>
      </c>
      <c r="D484" s="368" t="s">
        <v>228</v>
      </c>
      <c r="E484" s="368" t="s">
        <v>1090</v>
      </c>
      <c r="F484" s="368" t="s">
        <v>143</v>
      </c>
      <c r="G484" s="373">
        <f>G485</f>
        <v>210</v>
      </c>
      <c r="H484" s="26"/>
      <c r="I484" s="26"/>
    </row>
    <row r="485" spans="1:9" s="222" customFormat="1" ht="15.75" x14ac:dyDescent="0.25">
      <c r="A485" s="372" t="s">
        <v>223</v>
      </c>
      <c r="B485" s="366">
        <v>903</v>
      </c>
      <c r="C485" s="368" t="s">
        <v>253</v>
      </c>
      <c r="D485" s="368" t="s">
        <v>228</v>
      </c>
      <c r="E485" s="368" t="s">
        <v>1090</v>
      </c>
      <c r="F485" s="368" t="s">
        <v>224</v>
      </c>
      <c r="G485" s="373">
        <v>210</v>
      </c>
      <c r="H485" s="26"/>
      <c r="I485" s="26"/>
    </row>
    <row r="486" spans="1:9" s="222" customFormat="1" ht="47.25" x14ac:dyDescent="0.25">
      <c r="A486" s="41" t="s">
        <v>1177</v>
      </c>
      <c r="B486" s="367">
        <v>903</v>
      </c>
      <c r="C486" s="371" t="s">
        <v>253</v>
      </c>
      <c r="D486" s="371" t="s">
        <v>228</v>
      </c>
      <c r="E486" s="371" t="s">
        <v>726</v>
      </c>
      <c r="F486" s="250"/>
      <c r="G486" s="369">
        <f>G488</f>
        <v>72</v>
      </c>
      <c r="H486" s="26"/>
      <c r="I486" s="26"/>
    </row>
    <row r="487" spans="1:9" s="222" customFormat="1" ht="47.25" x14ac:dyDescent="0.25">
      <c r="A487" s="41" t="s">
        <v>947</v>
      </c>
      <c r="B487" s="367">
        <v>903</v>
      </c>
      <c r="C487" s="371" t="s">
        <v>253</v>
      </c>
      <c r="D487" s="371" t="s">
        <v>228</v>
      </c>
      <c r="E487" s="371" t="s">
        <v>945</v>
      </c>
      <c r="F487" s="250"/>
      <c r="G487" s="369">
        <f>G488</f>
        <v>72</v>
      </c>
      <c r="H487" s="26"/>
      <c r="I487" s="26"/>
    </row>
    <row r="488" spans="1:9" s="222" customFormat="1" ht="31.5" x14ac:dyDescent="0.25">
      <c r="A488" s="99" t="s">
        <v>1155</v>
      </c>
      <c r="B488" s="366">
        <v>903</v>
      </c>
      <c r="C488" s="368" t="s">
        <v>253</v>
      </c>
      <c r="D488" s="368" t="s">
        <v>228</v>
      </c>
      <c r="E488" s="368" t="s">
        <v>946</v>
      </c>
      <c r="F488" s="32"/>
      <c r="G488" s="373">
        <f>G489</f>
        <v>72</v>
      </c>
      <c r="H488" s="26"/>
      <c r="I488" s="26"/>
    </row>
    <row r="489" spans="1:9" s="222" customFormat="1" ht="31.5" x14ac:dyDescent="0.25">
      <c r="A489" s="372" t="s">
        <v>146</v>
      </c>
      <c r="B489" s="366">
        <v>903</v>
      </c>
      <c r="C489" s="368" t="s">
        <v>253</v>
      </c>
      <c r="D489" s="368" t="s">
        <v>228</v>
      </c>
      <c r="E489" s="368" t="s">
        <v>946</v>
      </c>
      <c r="F489" s="32" t="s">
        <v>147</v>
      </c>
      <c r="G489" s="373">
        <f>G490</f>
        <v>72</v>
      </c>
      <c r="H489" s="26"/>
      <c r="I489" s="26"/>
    </row>
    <row r="490" spans="1:9" s="222" customFormat="1" ht="31.5" x14ac:dyDescent="0.25">
      <c r="A490" s="372" t="s">
        <v>148</v>
      </c>
      <c r="B490" s="366">
        <v>903</v>
      </c>
      <c r="C490" s="368" t="s">
        <v>253</v>
      </c>
      <c r="D490" s="368" t="s">
        <v>228</v>
      </c>
      <c r="E490" s="368" t="s">
        <v>946</v>
      </c>
      <c r="F490" s="32" t="s">
        <v>149</v>
      </c>
      <c r="G490" s="373">
        <f>60+12</f>
        <v>72</v>
      </c>
      <c r="H490" s="26"/>
      <c r="I490" s="26"/>
    </row>
    <row r="491" spans="1:9" ht="31.5" x14ac:dyDescent="0.25">
      <c r="A491" s="367" t="s">
        <v>402</v>
      </c>
      <c r="B491" s="367">
        <v>905</v>
      </c>
      <c r="C491" s="368"/>
      <c r="D491" s="368"/>
      <c r="E491" s="368"/>
      <c r="F491" s="368"/>
      <c r="G491" s="369">
        <f>G492+G524+G534</f>
        <v>19257.82</v>
      </c>
      <c r="H491" s="21">
        <f>H492+H524</f>
        <v>22434.999999999996</v>
      </c>
      <c r="I491" s="21">
        <f>I492+I524</f>
        <v>22434.999999999996</v>
      </c>
    </row>
    <row r="492" spans="1:9" ht="15.75" x14ac:dyDescent="0.25">
      <c r="A492" s="370" t="s">
        <v>132</v>
      </c>
      <c r="B492" s="367">
        <v>905</v>
      </c>
      <c r="C492" s="371" t="s">
        <v>133</v>
      </c>
      <c r="D492" s="368"/>
      <c r="E492" s="368"/>
      <c r="F492" s="368"/>
      <c r="G492" s="369">
        <f>G493+G510</f>
        <v>16785.62</v>
      </c>
      <c r="H492" s="21">
        <f>H493+H510</f>
        <v>21535.199999999997</v>
      </c>
      <c r="I492" s="21">
        <f>I493+I510</f>
        <v>21535.199999999997</v>
      </c>
    </row>
    <row r="493" spans="1:9" ht="65.25" customHeight="1" x14ac:dyDescent="0.25">
      <c r="A493" s="370" t="s">
        <v>164</v>
      </c>
      <c r="B493" s="367">
        <v>905</v>
      </c>
      <c r="C493" s="371" t="s">
        <v>133</v>
      </c>
      <c r="D493" s="371" t="s">
        <v>165</v>
      </c>
      <c r="E493" s="371"/>
      <c r="F493" s="371"/>
      <c r="G493" s="369">
        <f>G494</f>
        <v>11488.4</v>
      </c>
      <c r="H493" s="21">
        <f t="shared" ref="H493:I494" si="235">H494</f>
        <v>11414.099999999999</v>
      </c>
      <c r="I493" s="21">
        <f t="shared" si="235"/>
        <v>11414.099999999999</v>
      </c>
    </row>
    <row r="494" spans="1:9" ht="31.5" x14ac:dyDescent="0.25">
      <c r="A494" s="370" t="s">
        <v>988</v>
      </c>
      <c r="B494" s="367">
        <v>905</v>
      </c>
      <c r="C494" s="371" t="s">
        <v>133</v>
      </c>
      <c r="D494" s="371" t="s">
        <v>165</v>
      </c>
      <c r="E494" s="371" t="s">
        <v>902</v>
      </c>
      <c r="F494" s="371"/>
      <c r="G494" s="369">
        <f>G495+G506</f>
        <v>11488.4</v>
      </c>
      <c r="H494" s="21">
        <f t="shared" si="235"/>
        <v>11414.099999999999</v>
      </c>
      <c r="I494" s="21">
        <f t="shared" si="235"/>
        <v>11414.099999999999</v>
      </c>
    </row>
    <row r="495" spans="1:9" ht="15.75" x14ac:dyDescent="0.25">
      <c r="A495" s="370" t="s">
        <v>989</v>
      </c>
      <c r="B495" s="367">
        <v>905</v>
      </c>
      <c r="C495" s="371" t="s">
        <v>133</v>
      </c>
      <c r="D495" s="371" t="s">
        <v>165</v>
      </c>
      <c r="E495" s="371" t="s">
        <v>903</v>
      </c>
      <c r="F495" s="371"/>
      <c r="G495" s="369">
        <f>G496+G503</f>
        <v>11466.4</v>
      </c>
      <c r="H495" s="21">
        <f t="shared" ref="H495:I495" si="236">H496+H503</f>
        <v>11414.099999999999</v>
      </c>
      <c r="I495" s="21">
        <f t="shared" si="236"/>
        <v>11414.099999999999</v>
      </c>
    </row>
    <row r="496" spans="1:9" ht="31.5" x14ac:dyDescent="0.25">
      <c r="A496" s="372" t="s">
        <v>965</v>
      </c>
      <c r="B496" s="366">
        <v>905</v>
      </c>
      <c r="C496" s="368" t="s">
        <v>133</v>
      </c>
      <c r="D496" s="368" t="s">
        <v>165</v>
      </c>
      <c r="E496" s="368" t="s">
        <v>904</v>
      </c>
      <c r="F496" s="368"/>
      <c r="G496" s="373">
        <f>G497+G499+G501</f>
        <v>11130.4</v>
      </c>
      <c r="H496" s="26">
        <f t="shared" ref="H496:I496" si="237">H497+H499+H501</f>
        <v>10987.699999999999</v>
      </c>
      <c r="I496" s="26">
        <f t="shared" si="237"/>
        <v>10987.699999999999</v>
      </c>
    </row>
    <row r="497" spans="1:9" ht="63" x14ac:dyDescent="0.25">
      <c r="A497" s="372" t="s">
        <v>142</v>
      </c>
      <c r="B497" s="366">
        <v>905</v>
      </c>
      <c r="C497" s="368" t="s">
        <v>133</v>
      </c>
      <c r="D497" s="368" t="s">
        <v>165</v>
      </c>
      <c r="E497" s="368" t="s">
        <v>904</v>
      </c>
      <c r="F497" s="368" t="s">
        <v>143</v>
      </c>
      <c r="G497" s="373">
        <f>G498</f>
        <v>10559.4</v>
      </c>
      <c r="H497" s="26">
        <f t="shared" ref="H497:I497" si="238">H498</f>
        <v>10192.4</v>
      </c>
      <c r="I497" s="26">
        <f t="shared" si="238"/>
        <v>10192.4</v>
      </c>
    </row>
    <row r="498" spans="1:9" ht="31.5" x14ac:dyDescent="0.25">
      <c r="A498" s="372" t="s">
        <v>144</v>
      </c>
      <c r="B498" s="366">
        <v>905</v>
      </c>
      <c r="C498" s="368" t="s">
        <v>133</v>
      </c>
      <c r="D498" s="368" t="s">
        <v>165</v>
      </c>
      <c r="E498" s="368" t="s">
        <v>904</v>
      </c>
      <c r="F498" s="368" t="s">
        <v>145</v>
      </c>
      <c r="G498" s="374">
        <f>10033+510+16.4</f>
        <v>10559.4</v>
      </c>
      <c r="H498" s="27">
        <f t="shared" ref="H498:I498" si="239">10286.1-1052.7+1385.4-426.4</f>
        <v>10192.4</v>
      </c>
      <c r="I498" s="27">
        <f t="shared" si="239"/>
        <v>10192.4</v>
      </c>
    </row>
    <row r="499" spans="1:9" ht="31.5" x14ac:dyDescent="0.25">
      <c r="A499" s="372" t="s">
        <v>146</v>
      </c>
      <c r="B499" s="366">
        <v>905</v>
      </c>
      <c r="C499" s="368" t="s">
        <v>133</v>
      </c>
      <c r="D499" s="368" t="s">
        <v>165</v>
      </c>
      <c r="E499" s="368" t="s">
        <v>904</v>
      </c>
      <c r="F499" s="368" t="s">
        <v>147</v>
      </c>
      <c r="G499" s="373">
        <f>G500</f>
        <v>440</v>
      </c>
      <c r="H499" s="26">
        <f t="shared" ref="H499:I499" si="240">H500</f>
        <v>664</v>
      </c>
      <c r="I499" s="26">
        <f t="shared" si="240"/>
        <v>664</v>
      </c>
    </row>
    <row r="500" spans="1:9" ht="31.5" x14ac:dyDescent="0.25">
      <c r="A500" s="372" t="s">
        <v>148</v>
      </c>
      <c r="B500" s="366">
        <v>905</v>
      </c>
      <c r="C500" s="368" t="s">
        <v>133</v>
      </c>
      <c r="D500" s="368" t="s">
        <v>165</v>
      </c>
      <c r="E500" s="368" t="s">
        <v>904</v>
      </c>
      <c r="F500" s="368" t="s">
        <v>149</v>
      </c>
      <c r="G500" s="374">
        <v>440</v>
      </c>
      <c r="H500" s="27">
        <f>664</f>
        <v>664</v>
      </c>
      <c r="I500" s="27">
        <f>664</f>
        <v>664</v>
      </c>
    </row>
    <row r="501" spans="1:9" ht="15.75" x14ac:dyDescent="0.25">
      <c r="A501" s="372" t="s">
        <v>150</v>
      </c>
      <c r="B501" s="366">
        <v>905</v>
      </c>
      <c r="C501" s="368" t="s">
        <v>133</v>
      </c>
      <c r="D501" s="368" t="s">
        <v>165</v>
      </c>
      <c r="E501" s="368" t="s">
        <v>904</v>
      </c>
      <c r="F501" s="368" t="s">
        <v>160</v>
      </c>
      <c r="G501" s="373">
        <f>G502</f>
        <v>131</v>
      </c>
      <c r="H501" s="26">
        <f t="shared" ref="H501:I501" si="241">H502</f>
        <v>131.30000000000001</v>
      </c>
      <c r="I501" s="26">
        <f t="shared" si="241"/>
        <v>131.30000000000001</v>
      </c>
    </row>
    <row r="502" spans="1:9" ht="15.75" x14ac:dyDescent="0.25">
      <c r="A502" s="372" t="s">
        <v>583</v>
      </c>
      <c r="B502" s="366">
        <v>905</v>
      </c>
      <c r="C502" s="368" t="s">
        <v>133</v>
      </c>
      <c r="D502" s="368" t="s">
        <v>165</v>
      </c>
      <c r="E502" s="368" t="s">
        <v>904</v>
      </c>
      <c r="F502" s="368" t="s">
        <v>153</v>
      </c>
      <c r="G502" s="373">
        <f>8.8+7.5+20+30+65-0.3</f>
        <v>131</v>
      </c>
      <c r="H502" s="26">
        <f t="shared" ref="H502:I502" si="242">8.8+7.5+20+30+65</f>
        <v>131.30000000000001</v>
      </c>
      <c r="I502" s="26">
        <f t="shared" si="242"/>
        <v>131.30000000000001</v>
      </c>
    </row>
    <row r="503" spans="1:9" s="222" customFormat="1" ht="31.5" x14ac:dyDescent="0.25">
      <c r="A503" s="372" t="s">
        <v>883</v>
      </c>
      <c r="B503" s="366">
        <v>905</v>
      </c>
      <c r="C503" s="368" t="s">
        <v>133</v>
      </c>
      <c r="D503" s="368" t="s">
        <v>165</v>
      </c>
      <c r="E503" s="368" t="s">
        <v>906</v>
      </c>
      <c r="F503" s="368"/>
      <c r="G503" s="373">
        <f>G504</f>
        <v>336</v>
      </c>
      <c r="H503" s="26">
        <f t="shared" ref="H503:I504" si="243">H504</f>
        <v>426.4</v>
      </c>
      <c r="I503" s="26">
        <f t="shared" si="243"/>
        <v>426.4</v>
      </c>
    </row>
    <row r="504" spans="1:9" s="222" customFormat="1" ht="63" x14ac:dyDescent="0.25">
      <c r="A504" s="372" t="s">
        <v>142</v>
      </c>
      <c r="B504" s="366">
        <v>905</v>
      </c>
      <c r="C504" s="368" t="s">
        <v>133</v>
      </c>
      <c r="D504" s="368" t="s">
        <v>165</v>
      </c>
      <c r="E504" s="368" t="s">
        <v>906</v>
      </c>
      <c r="F504" s="368" t="s">
        <v>143</v>
      </c>
      <c r="G504" s="373">
        <f>G505</f>
        <v>336</v>
      </c>
      <c r="H504" s="26">
        <f t="shared" si="243"/>
        <v>426.4</v>
      </c>
      <c r="I504" s="26">
        <f t="shared" si="243"/>
        <v>426.4</v>
      </c>
    </row>
    <row r="505" spans="1:9" s="222" customFormat="1" ht="31.5" x14ac:dyDescent="0.25">
      <c r="A505" s="372" t="s">
        <v>144</v>
      </c>
      <c r="B505" s="366">
        <v>905</v>
      </c>
      <c r="C505" s="368" t="s">
        <v>133</v>
      </c>
      <c r="D505" s="368" t="s">
        <v>165</v>
      </c>
      <c r="E505" s="368" t="s">
        <v>906</v>
      </c>
      <c r="F505" s="368" t="s">
        <v>145</v>
      </c>
      <c r="G505" s="373">
        <v>336</v>
      </c>
      <c r="H505" s="26">
        <v>426.4</v>
      </c>
      <c r="I505" s="26">
        <v>426.4</v>
      </c>
    </row>
    <row r="506" spans="1:9" s="222" customFormat="1" ht="31.5" x14ac:dyDescent="0.25">
      <c r="A506" s="370" t="s">
        <v>930</v>
      </c>
      <c r="B506" s="367">
        <v>905</v>
      </c>
      <c r="C506" s="371" t="s">
        <v>133</v>
      </c>
      <c r="D506" s="371" t="s">
        <v>165</v>
      </c>
      <c r="E506" s="371" t="s">
        <v>907</v>
      </c>
      <c r="F506" s="371"/>
      <c r="G506" s="369">
        <f>G507</f>
        <v>22</v>
      </c>
      <c r="H506" s="26"/>
      <c r="I506" s="26"/>
    </row>
    <row r="507" spans="1:9" s="222" customFormat="1" ht="78.75" x14ac:dyDescent="0.25">
      <c r="A507" s="31" t="s">
        <v>1413</v>
      </c>
      <c r="B507" s="366">
        <v>905</v>
      </c>
      <c r="C507" s="368" t="s">
        <v>133</v>
      </c>
      <c r="D507" s="368" t="s">
        <v>165</v>
      </c>
      <c r="E507" s="368" t="s">
        <v>1412</v>
      </c>
      <c r="F507" s="368"/>
      <c r="G507" s="373">
        <f>G508</f>
        <v>22</v>
      </c>
      <c r="H507" s="26"/>
      <c r="I507" s="26"/>
    </row>
    <row r="508" spans="1:9" s="222" customFormat="1" ht="63" x14ac:dyDescent="0.25">
      <c r="A508" s="372" t="s">
        <v>142</v>
      </c>
      <c r="B508" s="366">
        <v>905</v>
      </c>
      <c r="C508" s="368" t="s">
        <v>133</v>
      </c>
      <c r="D508" s="368" t="s">
        <v>165</v>
      </c>
      <c r="E508" s="368" t="s">
        <v>1412</v>
      </c>
      <c r="F508" s="368" t="s">
        <v>143</v>
      </c>
      <c r="G508" s="373">
        <f>G509</f>
        <v>22</v>
      </c>
      <c r="H508" s="26"/>
      <c r="I508" s="26"/>
    </row>
    <row r="509" spans="1:9" s="222" customFormat="1" ht="31.5" x14ac:dyDescent="0.25">
      <c r="A509" s="372" t="s">
        <v>144</v>
      </c>
      <c r="B509" s="366">
        <v>905</v>
      </c>
      <c r="C509" s="368" t="s">
        <v>133</v>
      </c>
      <c r="D509" s="368" t="s">
        <v>165</v>
      </c>
      <c r="E509" s="368" t="s">
        <v>1412</v>
      </c>
      <c r="F509" s="368" t="s">
        <v>145</v>
      </c>
      <c r="G509" s="373">
        <v>22</v>
      </c>
      <c r="H509" s="26"/>
      <c r="I509" s="26"/>
    </row>
    <row r="510" spans="1:9" ht="15.75" x14ac:dyDescent="0.25">
      <c r="A510" s="370" t="s">
        <v>154</v>
      </c>
      <c r="B510" s="367">
        <v>905</v>
      </c>
      <c r="C510" s="371" t="s">
        <v>133</v>
      </c>
      <c r="D510" s="371" t="s">
        <v>155</v>
      </c>
      <c r="E510" s="371"/>
      <c r="F510" s="371"/>
      <c r="G510" s="369">
        <f>G511+G519</f>
        <v>5297.2199999999993</v>
      </c>
      <c r="H510" s="21">
        <f t="shared" ref="H510:I510" si="244">H511+H519</f>
        <v>10121.099999999999</v>
      </c>
      <c r="I510" s="21">
        <f t="shared" si="244"/>
        <v>10121.099999999999</v>
      </c>
    </row>
    <row r="511" spans="1:9" s="222" customFormat="1" ht="15.75" x14ac:dyDescent="0.25">
      <c r="A511" s="370" t="s">
        <v>156</v>
      </c>
      <c r="B511" s="367">
        <v>905</v>
      </c>
      <c r="C511" s="371" t="s">
        <v>133</v>
      </c>
      <c r="D511" s="371" t="s">
        <v>155</v>
      </c>
      <c r="E511" s="371" t="s">
        <v>910</v>
      </c>
      <c r="F511" s="371"/>
      <c r="G511" s="369">
        <f>G512</f>
        <v>5057.3999999999996</v>
      </c>
      <c r="H511" s="21">
        <f t="shared" ref="H511:I511" si="245">H512</f>
        <v>5188.7999999999993</v>
      </c>
      <c r="I511" s="21">
        <f t="shared" si="245"/>
        <v>5188.7999999999993</v>
      </c>
    </row>
    <row r="512" spans="1:9" s="222" customFormat="1" ht="31.5" x14ac:dyDescent="0.25">
      <c r="A512" s="370" t="s">
        <v>914</v>
      </c>
      <c r="B512" s="367">
        <v>905</v>
      </c>
      <c r="C512" s="371" t="s">
        <v>133</v>
      </c>
      <c r="D512" s="371" t="s">
        <v>155</v>
      </c>
      <c r="E512" s="371" t="s">
        <v>909</v>
      </c>
      <c r="F512" s="371"/>
      <c r="G512" s="369">
        <f>G513+G516</f>
        <v>5057.3999999999996</v>
      </c>
      <c r="H512" s="21">
        <f t="shared" ref="H512:I512" si="246">H513+H516</f>
        <v>5188.7999999999993</v>
      </c>
      <c r="I512" s="21">
        <f t="shared" si="246"/>
        <v>5188.7999999999993</v>
      </c>
    </row>
    <row r="513" spans="1:9" s="222" customFormat="1" ht="47.25" x14ac:dyDescent="0.25">
      <c r="A513" s="372" t="s">
        <v>403</v>
      </c>
      <c r="B513" s="366">
        <v>905</v>
      </c>
      <c r="C513" s="368" t="s">
        <v>133</v>
      </c>
      <c r="D513" s="368" t="s">
        <v>155</v>
      </c>
      <c r="E513" s="368" t="s">
        <v>1167</v>
      </c>
      <c r="F513" s="368"/>
      <c r="G513" s="373">
        <f>G514</f>
        <v>5057.3999999999996</v>
      </c>
      <c r="H513" s="26">
        <f t="shared" ref="H513:I514" si="247">H514</f>
        <v>5088.7999999999993</v>
      </c>
      <c r="I513" s="26">
        <f t="shared" si="247"/>
        <v>5088.7999999999993</v>
      </c>
    </row>
    <row r="514" spans="1:9" s="222" customFormat="1" ht="31.5" x14ac:dyDescent="0.25">
      <c r="A514" s="372" t="s">
        <v>146</v>
      </c>
      <c r="B514" s="366">
        <v>905</v>
      </c>
      <c r="C514" s="368" t="s">
        <v>133</v>
      </c>
      <c r="D514" s="368" t="s">
        <v>155</v>
      </c>
      <c r="E514" s="368" t="s">
        <v>1167</v>
      </c>
      <c r="F514" s="368" t="s">
        <v>147</v>
      </c>
      <c r="G514" s="373">
        <f>G515</f>
        <v>5057.3999999999996</v>
      </c>
      <c r="H514" s="26">
        <f t="shared" si="247"/>
        <v>5088.7999999999993</v>
      </c>
      <c r="I514" s="26">
        <f t="shared" si="247"/>
        <v>5088.7999999999993</v>
      </c>
    </row>
    <row r="515" spans="1:9" s="222" customFormat="1" ht="31.5" x14ac:dyDescent="0.25">
      <c r="A515" s="372" t="s">
        <v>148</v>
      </c>
      <c r="B515" s="366">
        <v>905</v>
      </c>
      <c r="C515" s="368" t="s">
        <v>133</v>
      </c>
      <c r="D515" s="368" t="s">
        <v>155</v>
      </c>
      <c r="E515" s="368" t="s">
        <v>1167</v>
      </c>
      <c r="F515" s="368" t="s">
        <v>149</v>
      </c>
      <c r="G515" s="373">
        <f>2900+140+953.1+1064.3</f>
        <v>5057.3999999999996</v>
      </c>
      <c r="H515" s="26">
        <f t="shared" ref="H515:I515" si="248">3123.5+1000+1427.4-355-7.1-100</f>
        <v>5088.7999999999993</v>
      </c>
      <c r="I515" s="26">
        <f t="shared" si="248"/>
        <v>5088.7999999999993</v>
      </c>
    </row>
    <row r="516" spans="1:9" s="222" customFormat="1" ht="31.5" hidden="1" x14ac:dyDescent="0.25">
      <c r="A516" s="372" t="s">
        <v>1002</v>
      </c>
      <c r="B516" s="366">
        <v>905</v>
      </c>
      <c r="C516" s="368" t="s">
        <v>133</v>
      </c>
      <c r="D516" s="368" t="s">
        <v>155</v>
      </c>
      <c r="E516" s="368" t="s">
        <v>1168</v>
      </c>
      <c r="F516" s="368"/>
      <c r="G516" s="373">
        <f>G517</f>
        <v>0</v>
      </c>
      <c r="H516" s="26">
        <f t="shared" ref="H516:I517" si="249">H517</f>
        <v>100</v>
      </c>
      <c r="I516" s="26">
        <f t="shared" si="249"/>
        <v>100</v>
      </c>
    </row>
    <row r="517" spans="1:9" s="222" customFormat="1" ht="31.5" hidden="1" x14ac:dyDescent="0.25">
      <c r="A517" s="372" t="s">
        <v>146</v>
      </c>
      <c r="B517" s="366">
        <v>905</v>
      </c>
      <c r="C517" s="368" t="s">
        <v>133</v>
      </c>
      <c r="D517" s="368" t="s">
        <v>155</v>
      </c>
      <c r="E517" s="368" t="s">
        <v>1168</v>
      </c>
      <c r="F517" s="368" t="s">
        <v>147</v>
      </c>
      <c r="G517" s="373">
        <f>G518</f>
        <v>0</v>
      </c>
      <c r="H517" s="26">
        <f t="shared" si="249"/>
        <v>100</v>
      </c>
      <c r="I517" s="26">
        <f t="shared" si="249"/>
        <v>100</v>
      </c>
    </row>
    <row r="518" spans="1:9" s="222" customFormat="1" ht="31.5" hidden="1" x14ac:dyDescent="0.25">
      <c r="A518" s="372" t="s">
        <v>148</v>
      </c>
      <c r="B518" s="366">
        <v>905</v>
      </c>
      <c r="C518" s="368" t="s">
        <v>133</v>
      </c>
      <c r="D518" s="368" t="s">
        <v>155</v>
      </c>
      <c r="E518" s="368" t="s">
        <v>1168</v>
      </c>
      <c r="F518" s="368" t="s">
        <v>149</v>
      </c>
      <c r="G518" s="373">
        <f>100-100</f>
        <v>0</v>
      </c>
      <c r="H518" s="26">
        <v>100</v>
      </c>
      <c r="I518" s="26">
        <v>100</v>
      </c>
    </row>
    <row r="519" spans="1:9" s="112" customFormat="1" ht="69" customHeight="1" x14ac:dyDescent="0.25">
      <c r="A519" s="370" t="s">
        <v>1179</v>
      </c>
      <c r="B519" s="367">
        <v>905</v>
      </c>
      <c r="C519" s="371" t="s">
        <v>133</v>
      </c>
      <c r="D519" s="371" t="s">
        <v>155</v>
      </c>
      <c r="E519" s="371" t="s">
        <v>804</v>
      </c>
      <c r="F519" s="371"/>
      <c r="G519" s="369">
        <f>G520</f>
        <v>239.82</v>
      </c>
      <c r="H519" s="21">
        <f t="shared" ref="H519:I522" si="250">H520</f>
        <v>4932.3</v>
      </c>
      <c r="I519" s="21">
        <f t="shared" si="250"/>
        <v>4932.3</v>
      </c>
    </row>
    <row r="520" spans="1:9" s="224" customFormat="1" ht="29.25" customHeight="1" x14ac:dyDescent="0.25">
      <c r="A520" s="370" t="s">
        <v>1001</v>
      </c>
      <c r="B520" s="367">
        <v>905</v>
      </c>
      <c r="C520" s="371" t="s">
        <v>133</v>
      </c>
      <c r="D520" s="371" t="s">
        <v>155</v>
      </c>
      <c r="E520" s="371" t="s">
        <v>1180</v>
      </c>
      <c r="F520" s="371"/>
      <c r="G520" s="369">
        <f>G521</f>
        <v>239.82</v>
      </c>
      <c r="H520" s="21">
        <f t="shared" si="250"/>
        <v>4932.3</v>
      </c>
      <c r="I520" s="21">
        <f t="shared" si="250"/>
        <v>4932.3</v>
      </c>
    </row>
    <row r="521" spans="1:9" s="112" customFormat="1" ht="31.7" customHeight="1" x14ac:dyDescent="0.25">
      <c r="A521" s="372" t="s">
        <v>814</v>
      </c>
      <c r="B521" s="366">
        <v>905</v>
      </c>
      <c r="C521" s="368" t="s">
        <v>133</v>
      </c>
      <c r="D521" s="368" t="s">
        <v>155</v>
      </c>
      <c r="E521" s="368" t="s">
        <v>1181</v>
      </c>
      <c r="F521" s="368"/>
      <c r="G521" s="373">
        <f>G522</f>
        <v>239.82</v>
      </c>
      <c r="H521" s="26">
        <f t="shared" si="250"/>
        <v>4932.3</v>
      </c>
      <c r="I521" s="26">
        <f t="shared" si="250"/>
        <v>4932.3</v>
      </c>
    </row>
    <row r="522" spans="1:9" s="112" customFormat="1" ht="31.5" x14ac:dyDescent="0.25">
      <c r="A522" s="372" t="s">
        <v>146</v>
      </c>
      <c r="B522" s="366">
        <v>905</v>
      </c>
      <c r="C522" s="368" t="s">
        <v>133</v>
      </c>
      <c r="D522" s="368" t="s">
        <v>155</v>
      </c>
      <c r="E522" s="368" t="s">
        <v>1181</v>
      </c>
      <c r="F522" s="368" t="s">
        <v>147</v>
      </c>
      <c r="G522" s="373">
        <f>G523</f>
        <v>239.82</v>
      </c>
      <c r="H522" s="26">
        <f t="shared" si="250"/>
        <v>4932.3</v>
      </c>
      <c r="I522" s="26">
        <f t="shared" si="250"/>
        <v>4932.3</v>
      </c>
    </row>
    <row r="523" spans="1:9" s="112" customFormat="1" ht="31.5" x14ac:dyDescent="0.25">
      <c r="A523" s="372" t="s">
        <v>148</v>
      </c>
      <c r="B523" s="366">
        <v>905</v>
      </c>
      <c r="C523" s="368" t="s">
        <v>133</v>
      </c>
      <c r="D523" s="368" t="s">
        <v>155</v>
      </c>
      <c r="E523" s="368" t="s">
        <v>1181</v>
      </c>
      <c r="F523" s="368" t="s">
        <v>149</v>
      </c>
      <c r="G523" s="373">
        <v>239.82</v>
      </c>
      <c r="H523" s="26">
        <f t="shared" ref="H523:I523" si="251">448.5+4483.8</f>
        <v>4932.3</v>
      </c>
      <c r="I523" s="26">
        <f t="shared" si="251"/>
        <v>4932.3</v>
      </c>
    </row>
    <row r="524" spans="1:9" ht="15.75" x14ac:dyDescent="0.25">
      <c r="A524" s="41" t="s">
        <v>405</v>
      </c>
      <c r="B524" s="367">
        <v>905</v>
      </c>
      <c r="C524" s="371" t="s">
        <v>249</v>
      </c>
      <c r="D524" s="371"/>
      <c r="E524" s="371"/>
      <c r="F524" s="371"/>
      <c r="G524" s="369">
        <f>G525</f>
        <v>1041</v>
      </c>
      <c r="H524" s="21">
        <f t="shared" ref="H524:I526" si="252">H525</f>
        <v>899.8</v>
      </c>
      <c r="I524" s="21">
        <f t="shared" si="252"/>
        <v>899.8</v>
      </c>
    </row>
    <row r="525" spans="1:9" ht="15.75" x14ac:dyDescent="0.25">
      <c r="A525" s="41" t="s">
        <v>406</v>
      </c>
      <c r="B525" s="367">
        <v>905</v>
      </c>
      <c r="C525" s="371" t="s">
        <v>249</v>
      </c>
      <c r="D525" s="371" t="s">
        <v>133</v>
      </c>
      <c r="E525" s="371"/>
      <c r="F525" s="371"/>
      <c r="G525" s="369">
        <f>G526</f>
        <v>1041</v>
      </c>
      <c r="H525" s="21">
        <f t="shared" si="252"/>
        <v>899.8</v>
      </c>
      <c r="I525" s="21">
        <f t="shared" si="252"/>
        <v>899.8</v>
      </c>
    </row>
    <row r="526" spans="1:9" s="222" customFormat="1" ht="15.75" x14ac:dyDescent="0.25">
      <c r="A526" s="370" t="s">
        <v>156</v>
      </c>
      <c r="B526" s="367">
        <v>905</v>
      </c>
      <c r="C526" s="371" t="s">
        <v>249</v>
      </c>
      <c r="D526" s="371" t="s">
        <v>133</v>
      </c>
      <c r="E526" s="371" t="s">
        <v>910</v>
      </c>
      <c r="F526" s="371"/>
      <c r="G526" s="369">
        <f>G527</f>
        <v>1041</v>
      </c>
      <c r="H526" s="21">
        <f t="shared" si="252"/>
        <v>899.8</v>
      </c>
      <c r="I526" s="21">
        <f t="shared" si="252"/>
        <v>899.8</v>
      </c>
    </row>
    <row r="527" spans="1:9" s="222" customFormat="1" ht="31.5" x14ac:dyDescent="0.25">
      <c r="A527" s="370" t="s">
        <v>914</v>
      </c>
      <c r="B527" s="367">
        <v>905</v>
      </c>
      <c r="C527" s="371" t="s">
        <v>249</v>
      </c>
      <c r="D527" s="371" t="s">
        <v>133</v>
      </c>
      <c r="E527" s="371" t="s">
        <v>909</v>
      </c>
      <c r="F527" s="371"/>
      <c r="G527" s="369">
        <f>G528+G531</f>
        <v>1041</v>
      </c>
      <c r="H527" s="21">
        <f t="shared" ref="H527:I527" si="253">H528+H531</f>
        <v>899.8</v>
      </c>
      <c r="I527" s="21">
        <f t="shared" si="253"/>
        <v>899.8</v>
      </c>
    </row>
    <row r="528" spans="1:9" ht="31.5" x14ac:dyDescent="0.25">
      <c r="A528" s="375" t="s">
        <v>413</v>
      </c>
      <c r="B528" s="366">
        <v>905</v>
      </c>
      <c r="C528" s="368" t="s">
        <v>249</v>
      </c>
      <c r="D528" s="368" t="s">
        <v>133</v>
      </c>
      <c r="E528" s="368" t="s">
        <v>1095</v>
      </c>
      <c r="F528" s="368"/>
      <c r="G528" s="373">
        <f>G529</f>
        <v>270.39999999999998</v>
      </c>
      <c r="H528" s="26">
        <f t="shared" ref="H528:I529" si="254">H529</f>
        <v>270.2</v>
      </c>
      <c r="I528" s="26">
        <f t="shared" si="254"/>
        <v>270.2</v>
      </c>
    </row>
    <row r="529" spans="1:9" ht="31.5" x14ac:dyDescent="0.25">
      <c r="A529" s="372" t="s">
        <v>146</v>
      </c>
      <c r="B529" s="366">
        <v>905</v>
      </c>
      <c r="C529" s="368" t="s">
        <v>249</v>
      </c>
      <c r="D529" s="368" t="s">
        <v>133</v>
      </c>
      <c r="E529" s="368" t="s">
        <v>1095</v>
      </c>
      <c r="F529" s="368" t="s">
        <v>147</v>
      </c>
      <c r="G529" s="373">
        <f>G530</f>
        <v>270.39999999999998</v>
      </c>
      <c r="H529" s="26">
        <f t="shared" si="254"/>
        <v>270.2</v>
      </c>
      <c r="I529" s="26">
        <f t="shared" si="254"/>
        <v>270.2</v>
      </c>
    </row>
    <row r="530" spans="1:9" ht="31.5" x14ac:dyDescent="0.25">
      <c r="A530" s="372" t="s">
        <v>148</v>
      </c>
      <c r="B530" s="366">
        <v>905</v>
      </c>
      <c r="C530" s="368" t="s">
        <v>249</v>
      </c>
      <c r="D530" s="368" t="s">
        <v>133</v>
      </c>
      <c r="E530" s="368" t="s">
        <v>1095</v>
      </c>
      <c r="F530" s="368" t="s">
        <v>149</v>
      </c>
      <c r="G530" s="373">
        <f>263.2+7+0.2</f>
        <v>270.39999999999998</v>
      </c>
      <c r="H530" s="26">
        <f t="shared" ref="H530:I530" si="255">263.2+7</f>
        <v>270.2</v>
      </c>
      <c r="I530" s="26">
        <f t="shared" si="255"/>
        <v>270.2</v>
      </c>
    </row>
    <row r="531" spans="1:9" ht="31.5" x14ac:dyDescent="0.25">
      <c r="A531" s="375" t="s">
        <v>1003</v>
      </c>
      <c r="B531" s="366">
        <v>905</v>
      </c>
      <c r="C531" s="368" t="s">
        <v>249</v>
      </c>
      <c r="D531" s="368" t="s">
        <v>133</v>
      </c>
      <c r="E531" s="368" t="s">
        <v>1096</v>
      </c>
      <c r="F531" s="368"/>
      <c r="G531" s="373">
        <f>G532</f>
        <v>770.6</v>
      </c>
      <c r="H531" s="26">
        <f t="shared" ref="H531:I532" si="256">H532</f>
        <v>629.6</v>
      </c>
      <c r="I531" s="26">
        <f t="shared" si="256"/>
        <v>629.6</v>
      </c>
    </row>
    <row r="532" spans="1:9" ht="31.5" x14ac:dyDescent="0.25">
      <c r="A532" s="372" t="s">
        <v>146</v>
      </c>
      <c r="B532" s="366">
        <v>905</v>
      </c>
      <c r="C532" s="368" t="s">
        <v>249</v>
      </c>
      <c r="D532" s="368" t="s">
        <v>133</v>
      </c>
      <c r="E532" s="368" t="s">
        <v>1096</v>
      </c>
      <c r="F532" s="368" t="s">
        <v>147</v>
      </c>
      <c r="G532" s="373">
        <f>G533</f>
        <v>770.6</v>
      </c>
      <c r="H532" s="26">
        <f t="shared" si="256"/>
        <v>629.6</v>
      </c>
      <c r="I532" s="26">
        <f t="shared" si="256"/>
        <v>629.6</v>
      </c>
    </row>
    <row r="533" spans="1:9" ht="31.5" x14ac:dyDescent="0.25">
      <c r="A533" s="372" t="s">
        <v>148</v>
      </c>
      <c r="B533" s="366">
        <v>905</v>
      </c>
      <c r="C533" s="368" t="s">
        <v>249</v>
      </c>
      <c r="D533" s="368" t="s">
        <v>133</v>
      </c>
      <c r="E533" s="368" t="s">
        <v>1096</v>
      </c>
      <c r="F533" s="368" t="s">
        <v>149</v>
      </c>
      <c r="G533" s="373">
        <f>910.6-140</f>
        <v>770.6</v>
      </c>
      <c r="H533" s="26">
        <f t="shared" ref="H533:I533" si="257">274.5+355.1</f>
        <v>629.6</v>
      </c>
      <c r="I533" s="26">
        <f t="shared" si="257"/>
        <v>629.6</v>
      </c>
    </row>
    <row r="534" spans="1:9" s="222" customFormat="1" ht="15.75" x14ac:dyDescent="0.25">
      <c r="A534" s="370" t="s">
        <v>258</v>
      </c>
      <c r="B534" s="367">
        <v>905</v>
      </c>
      <c r="C534" s="371" t="s">
        <v>259</v>
      </c>
      <c r="D534" s="368"/>
      <c r="E534" s="368"/>
      <c r="F534" s="368"/>
      <c r="G534" s="369">
        <f>G535</f>
        <v>1431.2</v>
      </c>
      <c r="H534" s="26"/>
      <c r="I534" s="26"/>
    </row>
    <row r="535" spans="1:9" s="222" customFormat="1" ht="15.75" x14ac:dyDescent="0.25">
      <c r="A535" s="370" t="s">
        <v>415</v>
      </c>
      <c r="B535" s="367">
        <v>905</v>
      </c>
      <c r="C535" s="371" t="s">
        <v>259</v>
      </c>
      <c r="D535" s="371" t="s">
        <v>165</v>
      </c>
      <c r="E535" s="368"/>
      <c r="F535" s="368"/>
      <c r="G535" s="369">
        <f>G536</f>
        <v>1431.2</v>
      </c>
      <c r="H535" s="26"/>
      <c r="I535" s="26"/>
    </row>
    <row r="536" spans="1:9" s="222" customFormat="1" ht="31.5" x14ac:dyDescent="0.25">
      <c r="A536" s="370" t="s">
        <v>930</v>
      </c>
      <c r="B536" s="367">
        <v>905</v>
      </c>
      <c r="C536" s="371" t="s">
        <v>259</v>
      </c>
      <c r="D536" s="371" t="s">
        <v>165</v>
      </c>
      <c r="E536" s="371" t="s">
        <v>907</v>
      </c>
      <c r="F536" s="368"/>
      <c r="G536" s="369">
        <f>G537</f>
        <v>1431.2</v>
      </c>
      <c r="H536" s="26"/>
      <c r="I536" s="26"/>
    </row>
    <row r="537" spans="1:9" s="222" customFormat="1" ht="47.25" x14ac:dyDescent="0.25">
      <c r="A537" s="372" t="s">
        <v>1415</v>
      </c>
      <c r="B537" s="366">
        <v>905</v>
      </c>
      <c r="C537" s="368" t="s">
        <v>259</v>
      </c>
      <c r="D537" s="368" t="s">
        <v>165</v>
      </c>
      <c r="E537" s="368" t="s">
        <v>1414</v>
      </c>
      <c r="F537" s="368"/>
      <c r="G537" s="373">
        <f>G538</f>
        <v>1431.2</v>
      </c>
      <c r="H537" s="26"/>
      <c r="I537" s="26"/>
    </row>
    <row r="538" spans="1:9" s="222" customFormat="1" ht="31.5" x14ac:dyDescent="0.25">
      <c r="A538" s="372" t="s">
        <v>146</v>
      </c>
      <c r="B538" s="366">
        <v>905</v>
      </c>
      <c r="C538" s="368" t="s">
        <v>259</v>
      </c>
      <c r="D538" s="368" t="s">
        <v>165</v>
      </c>
      <c r="E538" s="368" t="s">
        <v>1414</v>
      </c>
      <c r="F538" s="368" t="s">
        <v>147</v>
      </c>
      <c r="G538" s="373">
        <f>G539</f>
        <v>1431.2</v>
      </c>
      <c r="H538" s="26"/>
      <c r="I538" s="26"/>
    </row>
    <row r="539" spans="1:9" s="222" customFormat="1" ht="31.5" x14ac:dyDescent="0.25">
      <c r="A539" s="372" t="s">
        <v>148</v>
      </c>
      <c r="B539" s="366">
        <v>905</v>
      </c>
      <c r="C539" s="368" t="s">
        <v>259</v>
      </c>
      <c r="D539" s="368" t="s">
        <v>165</v>
      </c>
      <c r="E539" s="368" t="s">
        <v>1414</v>
      </c>
      <c r="F539" s="368" t="s">
        <v>149</v>
      </c>
      <c r="G539" s="373">
        <v>1431.2</v>
      </c>
      <c r="H539" s="26"/>
      <c r="I539" s="26"/>
    </row>
    <row r="540" spans="1:9" ht="31.5" x14ac:dyDescent="0.25">
      <c r="A540" s="367" t="s">
        <v>418</v>
      </c>
      <c r="B540" s="367">
        <v>906</v>
      </c>
      <c r="C540" s="371"/>
      <c r="D540" s="371"/>
      <c r="E540" s="371"/>
      <c r="F540" s="371"/>
      <c r="G540" s="369">
        <f>G551+G541</f>
        <v>363167.25900000008</v>
      </c>
      <c r="H540" s="21" t="e">
        <f>H551+H541</f>
        <v>#REF!</v>
      </c>
      <c r="I540" s="21" t="e">
        <f>I551+I541</f>
        <v>#REF!</v>
      </c>
    </row>
    <row r="541" spans="1:9" ht="15.75" x14ac:dyDescent="0.25">
      <c r="A541" s="370" t="s">
        <v>132</v>
      </c>
      <c r="B541" s="367">
        <v>906</v>
      </c>
      <c r="C541" s="371" t="s">
        <v>133</v>
      </c>
      <c r="D541" s="371"/>
      <c r="E541" s="371"/>
      <c r="F541" s="371"/>
      <c r="G541" s="369">
        <f t="shared" ref="G541:G546" si="258">G542</f>
        <v>50</v>
      </c>
      <c r="H541" s="21">
        <f t="shared" ref="H541:I542" si="259">H542</f>
        <v>20</v>
      </c>
      <c r="I541" s="21">
        <f t="shared" si="259"/>
        <v>20</v>
      </c>
    </row>
    <row r="542" spans="1:9" ht="15.75" x14ac:dyDescent="0.25">
      <c r="A542" s="34" t="s">
        <v>154</v>
      </c>
      <c r="B542" s="367">
        <v>906</v>
      </c>
      <c r="C542" s="371" t="s">
        <v>133</v>
      </c>
      <c r="D542" s="371" t="s">
        <v>155</v>
      </c>
      <c r="E542" s="371"/>
      <c r="F542" s="371"/>
      <c r="G542" s="369">
        <f t="shared" si="258"/>
        <v>50</v>
      </c>
      <c r="H542" s="21">
        <f t="shared" si="259"/>
        <v>20</v>
      </c>
      <c r="I542" s="21">
        <f t="shared" si="259"/>
        <v>20</v>
      </c>
    </row>
    <row r="543" spans="1:9" ht="47.25" x14ac:dyDescent="0.25">
      <c r="A543" s="370" t="s">
        <v>349</v>
      </c>
      <c r="B543" s="367">
        <v>906</v>
      </c>
      <c r="C543" s="371" t="s">
        <v>133</v>
      </c>
      <c r="D543" s="371" t="s">
        <v>155</v>
      </c>
      <c r="E543" s="371" t="s">
        <v>350</v>
      </c>
      <c r="F543" s="371"/>
      <c r="G543" s="369">
        <f t="shared" si="258"/>
        <v>50</v>
      </c>
      <c r="H543" s="21">
        <f t="shared" ref="H543:I543" si="260">H544</f>
        <v>20</v>
      </c>
      <c r="I543" s="21">
        <f t="shared" si="260"/>
        <v>20</v>
      </c>
    </row>
    <row r="544" spans="1:9" s="222" customFormat="1" ht="31.5" x14ac:dyDescent="0.25">
      <c r="A544" s="240" t="s">
        <v>1225</v>
      </c>
      <c r="B544" s="367">
        <v>906</v>
      </c>
      <c r="C544" s="371" t="s">
        <v>133</v>
      </c>
      <c r="D544" s="371" t="s">
        <v>155</v>
      </c>
      <c r="E544" s="371" t="s">
        <v>1226</v>
      </c>
      <c r="F544" s="371"/>
      <c r="G544" s="369">
        <f t="shared" si="258"/>
        <v>50</v>
      </c>
      <c r="H544" s="21">
        <f t="shared" ref="H544:I546" si="261">H545</f>
        <v>20</v>
      </c>
      <c r="I544" s="21">
        <f t="shared" si="261"/>
        <v>20</v>
      </c>
    </row>
    <row r="545" spans="1:9" ht="31.5" x14ac:dyDescent="0.25">
      <c r="A545" s="98" t="s">
        <v>351</v>
      </c>
      <c r="B545" s="366">
        <v>906</v>
      </c>
      <c r="C545" s="368" t="s">
        <v>133</v>
      </c>
      <c r="D545" s="368" t="s">
        <v>155</v>
      </c>
      <c r="E545" s="368" t="s">
        <v>1227</v>
      </c>
      <c r="F545" s="368"/>
      <c r="G545" s="373">
        <f t="shared" si="258"/>
        <v>50</v>
      </c>
      <c r="H545" s="26">
        <f t="shared" si="261"/>
        <v>20</v>
      </c>
      <c r="I545" s="26">
        <f t="shared" si="261"/>
        <v>20</v>
      </c>
    </row>
    <row r="546" spans="1:9" ht="31.5" x14ac:dyDescent="0.25">
      <c r="A546" s="372" t="s">
        <v>146</v>
      </c>
      <c r="B546" s="366">
        <v>906</v>
      </c>
      <c r="C546" s="368" t="s">
        <v>133</v>
      </c>
      <c r="D546" s="368" t="s">
        <v>155</v>
      </c>
      <c r="E546" s="368" t="s">
        <v>1227</v>
      </c>
      <c r="F546" s="368" t="s">
        <v>147</v>
      </c>
      <c r="G546" s="373">
        <f t="shared" si="258"/>
        <v>50</v>
      </c>
      <c r="H546" s="26">
        <f t="shared" si="261"/>
        <v>20</v>
      </c>
      <c r="I546" s="26">
        <f t="shared" si="261"/>
        <v>20</v>
      </c>
    </row>
    <row r="547" spans="1:9" ht="31.5" x14ac:dyDescent="0.25">
      <c r="A547" s="372" t="s">
        <v>148</v>
      </c>
      <c r="B547" s="366">
        <v>906</v>
      </c>
      <c r="C547" s="368" t="s">
        <v>133</v>
      </c>
      <c r="D547" s="368" t="s">
        <v>155</v>
      </c>
      <c r="E547" s="368" t="s">
        <v>1227</v>
      </c>
      <c r="F547" s="368" t="s">
        <v>149</v>
      </c>
      <c r="G547" s="373">
        <v>50</v>
      </c>
      <c r="H547" s="26">
        <v>20</v>
      </c>
      <c r="I547" s="26">
        <v>20</v>
      </c>
    </row>
    <row r="548" spans="1:9" ht="15.75" hidden="1" x14ac:dyDescent="0.25">
      <c r="A548" s="31" t="s">
        <v>794</v>
      </c>
      <c r="B548" s="366">
        <v>906</v>
      </c>
      <c r="C548" s="368" t="s">
        <v>133</v>
      </c>
      <c r="D548" s="368" t="s">
        <v>155</v>
      </c>
      <c r="E548" s="368" t="s">
        <v>1260</v>
      </c>
      <c r="F548" s="368"/>
      <c r="G548" s="373">
        <f>G549</f>
        <v>0</v>
      </c>
      <c r="H548" s="26">
        <f t="shared" ref="H548:I549" si="262">H549</f>
        <v>0</v>
      </c>
      <c r="I548" s="26">
        <f t="shared" si="262"/>
        <v>0</v>
      </c>
    </row>
    <row r="549" spans="1:9" ht="31.5" hidden="1" x14ac:dyDescent="0.25">
      <c r="A549" s="372" t="s">
        <v>146</v>
      </c>
      <c r="B549" s="366">
        <v>906</v>
      </c>
      <c r="C549" s="368" t="s">
        <v>133</v>
      </c>
      <c r="D549" s="368" t="s">
        <v>155</v>
      </c>
      <c r="E549" s="368" t="s">
        <v>1260</v>
      </c>
      <c r="F549" s="368" t="s">
        <v>147</v>
      </c>
      <c r="G549" s="373">
        <f>G550</f>
        <v>0</v>
      </c>
      <c r="H549" s="26">
        <f t="shared" si="262"/>
        <v>0</v>
      </c>
      <c r="I549" s="26">
        <f t="shared" si="262"/>
        <v>0</v>
      </c>
    </row>
    <row r="550" spans="1:9" ht="31.5" hidden="1" x14ac:dyDescent="0.25">
      <c r="A550" s="372" t="s">
        <v>148</v>
      </c>
      <c r="B550" s="366">
        <v>906</v>
      </c>
      <c r="C550" s="368" t="s">
        <v>133</v>
      </c>
      <c r="D550" s="368" t="s">
        <v>155</v>
      </c>
      <c r="E550" s="368" t="s">
        <v>1260</v>
      </c>
      <c r="F550" s="368" t="s">
        <v>149</v>
      </c>
      <c r="G550" s="373">
        <v>0</v>
      </c>
      <c r="H550" s="26">
        <v>0</v>
      </c>
      <c r="I550" s="26">
        <v>0</v>
      </c>
    </row>
    <row r="551" spans="1:9" ht="15.75" x14ac:dyDescent="0.25">
      <c r="A551" s="370" t="s">
        <v>278</v>
      </c>
      <c r="B551" s="367">
        <v>906</v>
      </c>
      <c r="C551" s="371" t="s">
        <v>279</v>
      </c>
      <c r="D551" s="371"/>
      <c r="E551" s="371"/>
      <c r="F551" s="371"/>
      <c r="G551" s="369">
        <f>G552+G623+G745+G755+G711</f>
        <v>363117.25900000008</v>
      </c>
      <c r="H551" s="21" t="e">
        <f>H552+H623+H745+H755+H711</f>
        <v>#REF!</v>
      </c>
      <c r="I551" s="21" t="e">
        <f>I552+I623+I745+I755+I711</f>
        <v>#REF!</v>
      </c>
    </row>
    <row r="552" spans="1:9" ht="15.75" x14ac:dyDescent="0.25">
      <c r="A552" s="370" t="s">
        <v>419</v>
      </c>
      <c r="B552" s="367">
        <v>906</v>
      </c>
      <c r="C552" s="371" t="s">
        <v>279</v>
      </c>
      <c r="D552" s="371" t="s">
        <v>133</v>
      </c>
      <c r="E552" s="371"/>
      <c r="F552" s="371"/>
      <c r="G552" s="369">
        <f>G553+G613+G618</f>
        <v>110319.5</v>
      </c>
      <c r="H552" s="21" t="e">
        <f>H553+H613+H618</f>
        <v>#REF!</v>
      </c>
      <c r="I552" s="21" t="e">
        <f>I553+I613+I618</f>
        <v>#REF!</v>
      </c>
    </row>
    <row r="553" spans="1:9" ht="51.75" customHeight="1" x14ac:dyDescent="0.25">
      <c r="A553" s="370" t="s">
        <v>420</v>
      </c>
      <c r="B553" s="367">
        <v>906</v>
      </c>
      <c r="C553" s="371" t="s">
        <v>279</v>
      </c>
      <c r="D553" s="371" t="s">
        <v>133</v>
      </c>
      <c r="E553" s="371" t="s">
        <v>421</v>
      </c>
      <c r="F553" s="371"/>
      <c r="G553" s="369">
        <f>G554+G578</f>
        <v>109855.2</v>
      </c>
      <c r="H553" s="21" t="e">
        <f>H554+H578</f>
        <v>#REF!</v>
      </c>
      <c r="I553" s="21" t="e">
        <f>I554+I578</f>
        <v>#REF!</v>
      </c>
    </row>
    <row r="554" spans="1:9" ht="38.25" customHeight="1" x14ac:dyDescent="0.25">
      <c r="A554" s="370" t="s">
        <v>422</v>
      </c>
      <c r="B554" s="367">
        <v>906</v>
      </c>
      <c r="C554" s="371" t="s">
        <v>279</v>
      </c>
      <c r="D554" s="371" t="s">
        <v>133</v>
      </c>
      <c r="E554" s="371" t="s">
        <v>423</v>
      </c>
      <c r="F554" s="371"/>
      <c r="G554" s="369">
        <f>G555+G562</f>
        <v>98857.5</v>
      </c>
      <c r="H554" s="21" t="e">
        <f>H555+H562</f>
        <v>#REF!</v>
      </c>
      <c r="I554" s="21" t="e">
        <f>I555+I562</f>
        <v>#REF!</v>
      </c>
    </row>
    <row r="555" spans="1:9" s="222" customFormat="1" ht="38.25" customHeight="1" x14ac:dyDescent="0.25">
      <c r="A555" s="370" t="s">
        <v>1026</v>
      </c>
      <c r="B555" s="367">
        <v>906</v>
      </c>
      <c r="C555" s="371" t="s">
        <v>279</v>
      </c>
      <c r="D555" s="371" t="s">
        <v>133</v>
      </c>
      <c r="E555" s="371" t="s">
        <v>1004</v>
      </c>
      <c r="F555" s="371"/>
      <c r="G555" s="369">
        <f>G556+G559</f>
        <v>13017</v>
      </c>
      <c r="H555" s="21" t="e">
        <f>H556+#REF!</f>
        <v>#REF!</v>
      </c>
      <c r="I555" s="21" t="e">
        <f>I556+#REF!</f>
        <v>#REF!</v>
      </c>
    </row>
    <row r="556" spans="1:9" ht="47.25" x14ac:dyDescent="0.25">
      <c r="A556" s="372" t="s">
        <v>1061</v>
      </c>
      <c r="B556" s="366">
        <v>906</v>
      </c>
      <c r="C556" s="368" t="s">
        <v>279</v>
      </c>
      <c r="D556" s="368" t="s">
        <v>133</v>
      </c>
      <c r="E556" s="368" t="s">
        <v>1060</v>
      </c>
      <c r="F556" s="368"/>
      <c r="G556" s="373">
        <f>G557</f>
        <v>8823.6999999999989</v>
      </c>
      <c r="H556" s="26">
        <f t="shared" ref="H556:I557" si="263">H557</f>
        <v>13527</v>
      </c>
      <c r="I556" s="26">
        <f t="shared" si="263"/>
        <v>13527</v>
      </c>
    </row>
    <row r="557" spans="1:9" ht="31.5" x14ac:dyDescent="0.25">
      <c r="A557" s="372" t="s">
        <v>287</v>
      </c>
      <c r="B557" s="366">
        <v>906</v>
      </c>
      <c r="C557" s="368" t="s">
        <v>279</v>
      </c>
      <c r="D557" s="368" t="s">
        <v>133</v>
      </c>
      <c r="E557" s="368" t="s">
        <v>1060</v>
      </c>
      <c r="F557" s="368" t="s">
        <v>288</v>
      </c>
      <c r="G557" s="373">
        <f>G558</f>
        <v>8823.6999999999989</v>
      </c>
      <c r="H557" s="26">
        <f t="shared" si="263"/>
        <v>13527</v>
      </c>
      <c r="I557" s="26">
        <f t="shared" si="263"/>
        <v>13527</v>
      </c>
    </row>
    <row r="558" spans="1:9" ht="15.75" x14ac:dyDescent="0.25">
      <c r="A558" s="372" t="s">
        <v>289</v>
      </c>
      <c r="B558" s="366">
        <v>906</v>
      </c>
      <c r="C558" s="368" t="s">
        <v>279</v>
      </c>
      <c r="D558" s="368" t="s">
        <v>133</v>
      </c>
      <c r="E558" s="368" t="s">
        <v>1060</v>
      </c>
      <c r="F558" s="368" t="s">
        <v>290</v>
      </c>
      <c r="G558" s="374">
        <f>13527-5302.7-1000+990+609.4</f>
        <v>8823.6999999999989</v>
      </c>
      <c r="H558" s="27">
        <v>13527</v>
      </c>
      <c r="I558" s="27">
        <v>13527</v>
      </c>
    </row>
    <row r="559" spans="1:9" s="222" customFormat="1" ht="47.25" x14ac:dyDescent="0.25">
      <c r="A559" s="372" t="s">
        <v>1238</v>
      </c>
      <c r="B559" s="366">
        <v>906</v>
      </c>
      <c r="C559" s="368" t="s">
        <v>279</v>
      </c>
      <c r="D559" s="368" t="s">
        <v>133</v>
      </c>
      <c r="E559" s="368" t="s">
        <v>1062</v>
      </c>
      <c r="F559" s="368"/>
      <c r="G559" s="373">
        <f>G560</f>
        <v>4193.3</v>
      </c>
      <c r="H559" s="27"/>
      <c r="I559" s="27"/>
    </row>
    <row r="560" spans="1:9" s="222" customFormat="1" ht="31.5" x14ac:dyDescent="0.25">
      <c r="A560" s="372" t="s">
        <v>287</v>
      </c>
      <c r="B560" s="366">
        <v>906</v>
      </c>
      <c r="C560" s="368" t="s">
        <v>279</v>
      </c>
      <c r="D560" s="368" t="s">
        <v>133</v>
      </c>
      <c r="E560" s="368" t="s">
        <v>1062</v>
      </c>
      <c r="F560" s="368" t="s">
        <v>288</v>
      </c>
      <c r="G560" s="373">
        <f>G561</f>
        <v>4193.3</v>
      </c>
      <c r="H560" s="27"/>
      <c r="I560" s="27"/>
    </row>
    <row r="561" spans="1:11" s="222" customFormat="1" ht="15.75" x14ac:dyDescent="0.25">
      <c r="A561" s="372" t="s">
        <v>289</v>
      </c>
      <c r="B561" s="366">
        <v>906</v>
      </c>
      <c r="C561" s="368" t="s">
        <v>279</v>
      </c>
      <c r="D561" s="368" t="s">
        <v>133</v>
      </c>
      <c r="E561" s="368" t="s">
        <v>1062</v>
      </c>
      <c r="F561" s="368" t="s">
        <v>290</v>
      </c>
      <c r="G561" s="374">
        <f>4802.7-609.4</f>
        <v>4193.3</v>
      </c>
      <c r="H561" s="27"/>
      <c r="I561" s="27"/>
      <c r="K561" s="116"/>
    </row>
    <row r="562" spans="1:11" s="222" customFormat="1" ht="31.7" customHeight="1" x14ac:dyDescent="0.25">
      <c r="A562" s="370" t="s">
        <v>969</v>
      </c>
      <c r="B562" s="367">
        <v>906</v>
      </c>
      <c r="C562" s="371" t="s">
        <v>279</v>
      </c>
      <c r="D562" s="371" t="s">
        <v>133</v>
      </c>
      <c r="E562" s="371" t="s">
        <v>1019</v>
      </c>
      <c r="F562" s="371"/>
      <c r="G562" s="44">
        <f>G566+G569+G572+G575+G563</f>
        <v>85840.5</v>
      </c>
      <c r="H562" s="44">
        <f t="shared" ref="H562:I562" si="264">H566+H569+H572+H575</f>
        <v>67363.3</v>
      </c>
      <c r="I562" s="44">
        <f t="shared" si="264"/>
        <v>67363.3</v>
      </c>
    </row>
    <row r="563" spans="1:11" s="362" customFormat="1" ht="80.25" customHeight="1" x14ac:dyDescent="0.25">
      <c r="A563" s="31" t="s">
        <v>308</v>
      </c>
      <c r="B563" s="366">
        <v>906</v>
      </c>
      <c r="C563" s="368" t="s">
        <v>279</v>
      </c>
      <c r="D563" s="368" t="s">
        <v>133</v>
      </c>
      <c r="E563" s="368" t="s">
        <v>1523</v>
      </c>
      <c r="F563" s="368"/>
      <c r="G563" s="374">
        <f>G564</f>
        <v>1966.1</v>
      </c>
      <c r="H563" s="44"/>
      <c r="I563" s="44"/>
    </row>
    <row r="564" spans="1:11" s="362" customFormat="1" ht="31.7" customHeight="1" x14ac:dyDescent="0.25">
      <c r="A564" s="372" t="s">
        <v>287</v>
      </c>
      <c r="B564" s="366">
        <v>906</v>
      </c>
      <c r="C564" s="368" t="s">
        <v>279</v>
      </c>
      <c r="D564" s="368" t="s">
        <v>133</v>
      </c>
      <c r="E564" s="368" t="s">
        <v>1523</v>
      </c>
      <c r="F564" s="368" t="s">
        <v>288</v>
      </c>
      <c r="G564" s="374">
        <f>G565</f>
        <v>1966.1</v>
      </c>
      <c r="H564" s="44"/>
      <c r="I564" s="44"/>
    </row>
    <row r="565" spans="1:11" s="362" customFormat="1" ht="15.75" x14ac:dyDescent="0.25">
      <c r="A565" s="372" t="s">
        <v>289</v>
      </c>
      <c r="B565" s="366">
        <v>906</v>
      </c>
      <c r="C565" s="368" t="s">
        <v>279</v>
      </c>
      <c r="D565" s="368" t="s">
        <v>133</v>
      </c>
      <c r="E565" s="368" t="s">
        <v>1523</v>
      </c>
      <c r="F565" s="368" t="s">
        <v>290</v>
      </c>
      <c r="G565" s="374">
        <v>1966.1</v>
      </c>
      <c r="H565" s="44"/>
      <c r="I565" s="44"/>
    </row>
    <row r="566" spans="1:11" s="222" customFormat="1" ht="61.5" customHeight="1" x14ac:dyDescent="0.25">
      <c r="A566" s="31" t="s">
        <v>304</v>
      </c>
      <c r="B566" s="366">
        <v>906</v>
      </c>
      <c r="C566" s="368" t="s">
        <v>279</v>
      </c>
      <c r="D566" s="368" t="s">
        <v>133</v>
      </c>
      <c r="E566" s="368" t="s">
        <v>1018</v>
      </c>
      <c r="F566" s="368"/>
      <c r="G566" s="373">
        <f>G567</f>
        <v>559.70000000000005</v>
      </c>
      <c r="H566" s="26">
        <f t="shared" ref="H566:I567" si="265">H567</f>
        <v>363.7</v>
      </c>
      <c r="I566" s="26">
        <f t="shared" si="265"/>
        <v>363.7</v>
      </c>
    </row>
    <row r="567" spans="1:11" s="222" customFormat="1" ht="31.5" x14ac:dyDescent="0.25">
      <c r="A567" s="372" t="s">
        <v>287</v>
      </c>
      <c r="B567" s="366">
        <v>906</v>
      </c>
      <c r="C567" s="368" t="s">
        <v>279</v>
      </c>
      <c r="D567" s="368" t="s">
        <v>133</v>
      </c>
      <c r="E567" s="368" t="s">
        <v>1018</v>
      </c>
      <c r="F567" s="368" t="s">
        <v>288</v>
      </c>
      <c r="G567" s="373">
        <f>G568</f>
        <v>559.70000000000005</v>
      </c>
      <c r="H567" s="26">
        <f t="shared" si="265"/>
        <v>363.7</v>
      </c>
      <c r="I567" s="26">
        <f t="shared" si="265"/>
        <v>363.7</v>
      </c>
    </row>
    <row r="568" spans="1:11" s="222" customFormat="1" ht="15.75" x14ac:dyDescent="0.25">
      <c r="A568" s="372" t="s">
        <v>289</v>
      </c>
      <c r="B568" s="366">
        <v>906</v>
      </c>
      <c r="C568" s="368" t="s">
        <v>279</v>
      </c>
      <c r="D568" s="368" t="s">
        <v>133</v>
      </c>
      <c r="E568" s="368" t="s">
        <v>1018</v>
      </c>
      <c r="F568" s="368" t="s">
        <v>290</v>
      </c>
      <c r="G568" s="373">
        <f>559.71-0.01</f>
        <v>559.70000000000005</v>
      </c>
      <c r="H568" s="26">
        <v>363.7</v>
      </c>
      <c r="I568" s="26">
        <v>363.7</v>
      </c>
    </row>
    <row r="569" spans="1:11" s="222" customFormat="1" ht="63" x14ac:dyDescent="0.25">
      <c r="A569" s="31" t="s">
        <v>435</v>
      </c>
      <c r="B569" s="366">
        <v>906</v>
      </c>
      <c r="C569" s="368" t="s">
        <v>279</v>
      </c>
      <c r="D569" s="368" t="s">
        <v>133</v>
      </c>
      <c r="E569" s="368" t="s">
        <v>1021</v>
      </c>
      <c r="F569" s="368"/>
      <c r="G569" s="373">
        <f>G570</f>
        <v>1629.3</v>
      </c>
      <c r="H569" s="26">
        <f t="shared" ref="H569:I570" si="266">H570</f>
        <v>1755.8</v>
      </c>
      <c r="I569" s="26">
        <f t="shared" si="266"/>
        <v>1755.8</v>
      </c>
    </row>
    <row r="570" spans="1:11" s="222" customFormat="1" ht="31.5" x14ac:dyDescent="0.25">
      <c r="A570" s="372" t="s">
        <v>287</v>
      </c>
      <c r="B570" s="366">
        <v>906</v>
      </c>
      <c r="C570" s="368" t="s">
        <v>279</v>
      </c>
      <c r="D570" s="368" t="s">
        <v>133</v>
      </c>
      <c r="E570" s="368" t="s">
        <v>1021</v>
      </c>
      <c r="F570" s="368" t="s">
        <v>288</v>
      </c>
      <c r="G570" s="373">
        <f>G571</f>
        <v>1629.3</v>
      </c>
      <c r="H570" s="26">
        <f t="shared" si="266"/>
        <v>1755.8</v>
      </c>
      <c r="I570" s="26">
        <f t="shared" si="266"/>
        <v>1755.8</v>
      </c>
    </row>
    <row r="571" spans="1:11" s="222" customFormat="1" ht="15.75" x14ac:dyDescent="0.25">
      <c r="A571" s="372" t="s">
        <v>289</v>
      </c>
      <c r="B571" s="366">
        <v>906</v>
      </c>
      <c r="C571" s="368" t="s">
        <v>279</v>
      </c>
      <c r="D571" s="368" t="s">
        <v>133</v>
      </c>
      <c r="E571" s="368" t="s">
        <v>1021</v>
      </c>
      <c r="F571" s="368" t="s">
        <v>290</v>
      </c>
      <c r="G571" s="373">
        <f>1629.37-0.07</f>
        <v>1629.3</v>
      </c>
      <c r="H571" s="26">
        <f t="shared" ref="H571:I571" si="267">1900-203.2+59</f>
        <v>1755.8</v>
      </c>
      <c r="I571" s="26">
        <f t="shared" si="267"/>
        <v>1755.8</v>
      </c>
    </row>
    <row r="572" spans="1:11" s="222" customFormat="1" ht="78.75" x14ac:dyDescent="0.25">
      <c r="A572" s="31" t="s">
        <v>436</v>
      </c>
      <c r="B572" s="366">
        <v>906</v>
      </c>
      <c r="C572" s="368" t="s">
        <v>279</v>
      </c>
      <c r="D572" s="368" t="s">
        <v>133</v>
      </c>
      <c r="E572" s="368" t="s">
        <v>1020</v>
      </c>
      <c r="F572" s="368"/>
      <c r="G572" s="373">
        <f>G573</f>
        <v>80735.399999999994</v>
      </c>
      <c r="H572" s="26">
        <f t="shared" ref="H572:I573" si="268">H573</f>
        <v>62531.4</v>
      </c>
      <c r="I572" s="26">
        <f t="shared" si="268"/>
        <v>62531.4</v>
      </c>
    </row>
    <row r="573" spans="1:11" s="222" customFormat="1" ht="31.5" x14ac:dyDescent="0.25">
      <c r="A573" s="372" t="s">
        <v>287</v>
      </c>
      <c r="B573" s="366">
        <v>906</v>
      </c>
      <c r="C573" s="368" t="s">
        <v>279</v>
      </c>
      <c r="D573" s="368" t="s">
        <v>133</v>
      </c>
      <c r="E573" s="368" t="s">
        <v>1020</v>
      </c>
      <c r="F573" s="368" t="s">
        <v>288</v>
      </c>
      <c r="G573" s="373">
        <f>G574</f>
        <v>80735.399999999994</v>
      </c>
      <c r="H573" s="26">
        <f t="shared" si="268"/>
        <v>62531.4</v>
      </c>
      <c r="I573" s="26">
        <f t="shared" si="268"/>
        <v>62531.4</v>
      </c>
    </row>
    <row r="574" spans="1:11" s="222" customFormat="1" ht="15.75" x14ac:dyDescent="0.25">
      <c r="A574" s="372" t="s">
        <v>289</v>
      </c>
      <c r="B574" s="366">
        <v>906</v>
      </c>
      <c r="C574" s="368" t="s">
        <v>279</v>
      </c>
      <c r="D574" s="368" t="s">
        <v>133</v>
      </c>
      <c r="E574" s="368" t="s">
        <v>1020</v>
      </c>
      <c r="F574" s="368" t="s">
        <v>290</v>
      </c>
      <c r="G574" s="374">
        <v>80735.399999999994</v>
      </c>
      <c r="H574" s="27">
        <v>62531.4</v>
      </c>
      <c r="I574" s="27">
        <v>62531.4</v>
      </c>
    </row>
    <row r="575" spans="1:11" s="222" customFormat="1" ht="84.75" customHeight="1" x14ac:dyDescent="0.25">
      <c r="A575" s="31" t="s">
        <v>308</v>
      </c>
      <c r="B575" s="366">
        <v>906</v>
      </c>
      <c r="C575" s="368" t="s">
        <v>279</v>
      </c>
      <c r="D575" s="368" t="s">
        <v>133</v>
      </c>
      <c r="E575" s="368" t="s">
        <v>1022</v>
      </c>
      <c r="F575" s="368"/>
      <c r="G575" s="373">
        <f>G576</f>
        <v>950.00000000000045</v>
      </c>
      <c r="H575" s="26">
        <f t="shared" ref="H575:I576" si="269">H576</f>
        <v>2712.4</v>
      </c>
      <c r="I575" s="26">
        <f t="shared" si="269"/>
        <v>2712.4</v>
      </c>
    </row>
    <row r="576" spans="1:11" s="222" customFormat="1" ht="31.5" x14ac:dyDescent="0.25">
      <c r="A576" s="372" t="s">
        <v>287</v>
      </c>
      <c r="B576" s="366">
        <v>906</v>
      </c>
      <c r="C576" s="368" t="s">
        <v>279</v>
      </c>
      <c r="D576" s="368" t="s">
        <v>133</v>
      </c>
      <c r="E576" s="368" t="s">
        <v>1022</v>
      </c>
      <c r="F576" s="368" t="s">
        <v>288</v>
      </c>
      <c r="G576" s="373">
        <f>G577</f>
        <v>950.00000000000045</v>
      </c>
      <c r="H576" s="26">
        <f t="shared" si="269"/>
        <v>2712.4</v>
      </c>
      <c r="I576" s="26">
        <f t="shared" si="269"/>
        <v>2712.4</v>
      </c>
    </row>
    <row r="577" spans="1:9" s="222" customFormat="1" ht="15.75" x14ac:dyDescent="0.25">
      <c r="A577" s="372" t="s">
        <v>289</v>
      </c>
      <c r="B577" s="366">
        <v>906</v>
      </c>
      <c r="C577" s="368" t="s">
        <v>279</v>
      </c>
      <c r="D577" s="368" t="s">
        <v>133</v>
      </c>
      <c r="E577" s="368" t="s">
        <v>1022</v>
      </c>
      <c r="F577" s="368" t="s">
        <v>290</v>
      </c>
      <c r="G577" s="374">
        <f>2916.07+0.03-1966.1</f>
        <v>950.00000000000045</v>
      </c>
      <c r="H577" s="27">
        <f t="shared" ref="H577:I577" si="270">2937.2-58.2-49+300-300-117.6</f>
        <v>2712.4</v>
      </c>
      <c r="I577" s="27">
        <f t="shared" si="270"/>
        <v>2712.4</v>
      </c>
    </row>
    <row r="578" spans="1:9" ht="30.2" customHeight="1" x14ac:dyDescent="0.25">
      <c r="A578" s="370" t="s">
        <v>426</v>
      </c>
      <c r="B578" s="367">
        <v>906</v>
      </c>
      <c r="C578" s="371" t="s">
        <v>279</v>
      </c>
      <c r="D578" s="371" t="s">
        <v>133</v>
      </c>
      <c r="E578" s="371" t="s">
        <v>427</v>
      </c>
      <c r="F578" s="371"/>
      <c r="G578" s="369">
        <f>G579+G589+G599+G606</f>
        <v>10997.7</v>
      </c>
      <c r="H578" s="21">
        <f t="shared" ref="H578:I578" si="271">H579+H589+H599</f>
        <v>10470</v>
      </c>
      <c r="I578" s="21">
        <f t="shared" si="271"/>
        <v>10470</v>
      </c>
    </row>
    <row r="579" spans="1:9" s="222" customFormat="1" ht="30.2" customHeight="1" x14ac:dyDescent="0.25">
      <c r="A579" s="370" t="s">
        <v>1005</v>
      </c>
      <c r="B579" s="367">
        <v>906</v>
      </c>
      <c r="C579" s="371" t="s">
        <v>279</v>
      </c>
      <c r="D579" s="371" t="s">
        <v>133</v>
      </c>
      <c r="E579" s="371" t="s">
        <v>1006</v>
      </c>
      <c r="F579" s="371"/>
      <c r="G579" s="369">
        <f>G580+G583+G586</f>
        <v>4430</v>
      </c>
      <c r="H579" s="21">
        <f t="shared" ref="H579:I579" si="272">H580+H583+H586</f>
        <v>5964.2000000000007</v>
      </c>
      <c r="I579" s="21">
        <f t="shared" si="272"/>
        <v>5964.2000000000007</v>
      </c>
    </row>
    <row r="580" spans="1:9" ht="35.450000000000003" hidden="1" customHeight="1" x14ac:dyDescent="0.25">
      <c r="A580" s="372" t="s">
        <v>293</v>
      </c>
      <c r="B580" s="366">
        <v>906</v>
      </c>
      <c r="C580" s="368" t="s">
        <v>279</v>
      </c>
      <c r="D580" s="368" t="s">
        <v>133</v>
      </c>
      <c r="E580" s="368" t="s">
        <v>1007</v>
      </c>
      <c r="F580" s="368"/>
      <c r="G580" s="373">
        <f>G581</f>
        <v>0</v>
      </c>
      <c r="H580" s="26">
        <f t="shared" ref="H580:I581" si="273">H581</f>
        <v>503.8</v>
      </c>
      <c r="I580" s="26">
        <f t="shared" si="273"/>
        <v>503.8</v>
      </c>
    </row>
    <row r="581" spans="1:9" ht="35.450000000000003" hidden="1" customHeight="1" x14ac:dyDescent="0.25">
      <c r="A581" s="372" t="s">
        <v>287</v>
      </c>
      <c r="B581" s="366">
        <v>906</v>
      </c>
      <c r="C581" s="368" t="s">
        <v>279</v>
      </c>
      <c r="D581" s="368" t="s">
        <v>133</v>
      </c>
      <c r="E581" s="368" t="s">
        <v>1007</v>
      </c>
      <c r="F581" s="368" t="s">
        <v>288</v>
      </c>
      <c r="G581" s="373">
        <f>G582</f>
        <v>0</v>
      </c>
      <c r="H581" s="26">
        <f t="shared" si="273"/>
        <v>503.8</v>
      </c>
      <c r="I581" s="26">
        <f t="shared" si="273"/>
        <v>503.8</v>
      </c>
    </row>
    <row r="582" spans="1:9" ht="15.75" hidden="1" customHeight="1" x14ac:dyDescent="0.25">
      <c r="A582" s="372" t="s">
        <v>289</v>
      </c>
      <c r="B582" s="366">
        <v>906</v>
      </c>
      <c r="C582" s="368" t="s">
        <v>279</v>
      </c>
      <c r="D582" s="368" t="s">
        <v>133</v>
      </c>
      <c r="E582" s="368" t="s">
        <v>1007</v>
      </c>
      <c r="F582" s="368" t="s">
        <v>290</v>
      </c>
      <c r="G582" s="373">
        <v>0</v>
      </c>
      <c r="H582" s="26">
        <f t="shared" ref="H582:I582" si="274">200+303.8</f>
        <v>503.8</v>
      </c>
      <c r="I582" s="26">
        <f t="shared" si="274"/>
        <v>503.8</v>
      </c>
    </row>
    <row r="583" spans="1:9" ht="39.200000000000003" hidden="1" customHeight="1" x14ac:dyDescent="0.25">
      <c r="A583" s="372" t="s">
        <v>295</v>
      </c>
      <c r="B583" s="366">
        <v>906</v>
      </c>
      <c r="C583" s="368" t="s">
        <v>279</v>
      </c>
      <c r="D583" s="368" t="s">
        <v>133</v>
      </c>
      <c r="E583" s="368" t="s">
        <v>1008</v>
      </c>
      <c r="F583" s="368"/>
      <c r="G583" s="373">
        <f>G584</f>
        <v>0</v>
      </c>
      <c r="H583" s="26">
        <f t="shared" ref="H583:I584" si="275">H584</f>
        <v>291.60000000000002</v>
      </c>
      <c r="I583" s="26">
        <f t="shared" si="275"/>
        <v>291.60000000000002</v>
      </c>
    </row>
    <row r="584" spans="1:9" ht="31.5" hidden="1" x14ac:dyDescent="0.25">
      <c r="A584" s="372" t="s">
        <v>287</v>
      </c>
      <c r="B584" s="366">
        <v>906</v>
      </c>
      <c r="C584" s="368" t="s">
        <v>279</v>
      </c>
      <c r="D584" s="368" t="s">
        <v>133</v>
      </c>
      <c r="E584" s="368" t="s">
        <v>1008</v>
      </c>
      <c r="F584" s="368" t="s">
        <v>288</v>
      </c>
      <c r="G584" s="373">
        <f>G585</f>
        <v>0</v>
      </c>
      <c r="H584" s="26">
        <f t="shared" si="275"/>
        <v>291.60000000000002</v>
      </c>
      <c r="I584" s="26">
        <f t="shared" si="275"/>
        <v>291.60000000000002</v>
      </c>
    </row>
    <row r="585" spans="1:9" ht="15.75" hidden="1" x14ac:dyDescent="0.25">
      <c r="A585" s="372" t="s">
        <v>289</v>
      </c>
      <c r="B585" s="366">
        <v>906</v>
      </c>
      <c r="C585" s="368" t="s">
        <v>279</v>
      </c>
      <c r="D585" s="368" t="s">
        <v>133</v>
      </c>
      <c r="E585" s="368" t="s">
        <v>1008</v>
      </c>
      <c r="F585" s="368" t="s">
        <v>290</v>
      </c>
      <c r="G585" s="373">
        <v>0</v>
      </c>
      <c r="H585" s="26">
        <v>291.60000000000002</v>
      </c>
      <c r="I585" s="26">
        <v>291.60000000000002</v>
      </c>
    </row>
    <row r="586" spans="1:9" ht="31.5" x14ac:dyDescent="0.25">
      <c r="A586" s="375" t="s">
        <v>430</v>
      </c>
      <c r="B586" s="366">
        <v>906</v>
      </c>
      <c r="C586" s="368" t="s">
        <v>279</v>
      </c>
      <c r="D586" s="368" t="s">
        <v>133</v>
      </c>
      <c r="E586" s="368" t="s">
        <v>1009</v>
      </c>
      <c r="F586" s="368"/>
      <c r="G586" s="373">
        <f>G587</f>
        <v>4430</v>
      </c>
      <c r="H586" s="26">
        <f t="shared" ref="H586:I587" si="276">H587</f>
        <v>5168.8</v>
      </c>
      <c r="I586" s="26">
        <f t="shared" si="276"/>
        <v>5168.8</v>
      </c>
    </row>
    <row r="587" spans="1:9" ht="31.5" x14ac:dyDescent="0.25">
      <c r="A587" s="372" t="s">
        <v>287</v>
      </c>
      <c r="B587" s="366">
        <v>906</v>
      </c>
      <c r="C587" s="368" t="s">
        <v>279</v>
      </c>
      <c r="D587" s="368" t="s">
        <v>133</v>
      </c>
      <c r="E587" s="368" t="s">
        <v>1009</v>
      </c>
      <c r="F587" s="368" t="s">
        <v>288</v>
      </c>
      <c r="G587" s="373">
        <f>G588</f>
        <v>4430</v>
      </c>
      <c r="H587" s="26">
        <f t="shared" si="276"/>
        <v>5168.8</v>
      </c>
      <c r="I587" s="26">
        <f t="shared" si="276"/>
        <v>5168.8</v>
      </c>
    </row>
    <row r="588" spans="1:9" ht="15.75" x14ac:dyDescent="0.25">
      <c r="A588" s="372" t="s">
        <v>289</v>
      </c>
      <c r="B588" s="366">
        <v>906</v>
      </c>
      <c r="C588" s="368" t="s">
        <v>279</v>
      </c>
      <c r="D588" s="368" t="s">
        <v>133</v>
      </c>
      <c r="E588" s="368" t="s">
        <v>1009</v>
      </c>
      <c r="F588" s="368" t="s">
        <v>290</v>
      </c>
      <c r="G588" s="374">
        <v>4430</v>
      </c>
      <c r="H588" s="27">
        <v>5168.8</v>
      </c>
      <c r="I588" s="27">
        <v>5168.8</v>
      </c>
    </row>
    <row r="589" spans="1:9" s="222" customFormat="1" ht="31.5" x14ac:dyDescent="0.25">
      <c r="A589" s="246" t="s">
        <v>1075</v>
      </c>
      <c r="B589" s="367">
        <v>906</v>
      </c>
      <c r="C589" s="371" t="s">
        <v>279</v>
      </c>
      <c r="D589" s="371" t="s">
        <v>133</v>
      </c>
      <c r="E589" s="371" t="s">
        <v>1010</v>
      </c>
      <c r="F589" s="371"/>
      <c r="G589" s="44">
        <f>G590+G593+G596</f>
        <v>4610</v>
      </c>
      <c r="H589" s="44">
        <f t="shared" ref="H589:I589" si="277">H590+H593+H596</f>
        <v>4215.5</v>
      </c>
      <c r="I589" s="44">
        <f t="shared" si="277"/>
        <v>4215.5</v>
      </c>
    </row>
    <row r="590" spans="1:9" ht="31.7" hidden="1" customHeight="1" x14ac:dyDescent="0.25">
      <c r="A590" s="372" t="s">
        <v>299</v>
      </c>
      <c r="B590" s="366">
        <v>906</v>
      </c>
      <c r="C590" s="368" t="s">
        <v>279</v>
      </c>
      <c r="D590" s="368" t="s">
        <v>133</v>
      </c>
      <c r="E590" s="368" t="s">
        <v>1011</v>
      </c>
      <c r="F590" s="368"/>
      <c r="G590" s="373">
        <f>G591</f>
        <v>0</v>
      </c>
      <c r="H590" s="26">
        <f t="shared" ref="H590:I591" si="278">H591</f>
        <v>0</v>
      </c>
      <c r="I590" s="26">
        <f t="shared" si="278"/>
        <v>0</v>
      </c>
    </row>
    <row r="591" spans="1:9" ht="38.25" hidden="1" customHeight="1" x14ac:dyDescent="0.25">
      <c r="A591" s="372" t="s">
        <v>287</v>
      </c>
      <c r="B591" s="366">
        <v>906</v>
      </c>
      <c r="C591" s="368" t="s">
        <v>279</v>
      </c>
      <c r="D591" s="368" t="s">
        <v>133</v>
      </c>
      <c r="E591" s="368" t="s">
        <v>1011</v>
      </c>
      <c r="F591" s="368" t="s">
        <v>288</v>
      </c>
      <c r="G591" s="373">
        <f>G592</f>
        <v>0</v>
      </c>
      <c r="H591" s="26">
        <f t="shared" si="278"/>
        <v>0</v>
      </c>
      <c r="I591" s="26">
        <f t="shared" si="278"/>
        <v>0</v>
      </c>
    </row>
    <row r="592" spans="1:9" ht="15.75" hidden="1" customHeight="1" x14ac:dyDescent="0.25">
      <c r="A592" s="372" t="s">
        <v>289</v>
      </c>
      <c r="B592" s="366">
        <v>906</v>
      </c>
      <c r="C592" s="368" t="s">
        <v>279</v>
      </c>
      <c r="D592" s="368" t="s">
        <v>133</v>
      </c>
      <c r="E592" s="368" t="s">
        <v>1011</v>
      </c>
      <c r="F592" s="368" t="s">
        <v>290</v>
      </c>
      <c r="G592" s="373">
        <v>0</v>
      </c>
      <c r="H592" s="26">
        <v>0</v>
      </c>
      <c r="I592" s="26">
        <v>0</v>
      </c>
    </row>
    <row r="593" spans="1:9" ht="34.5" customHeight="1" x14ac:dyDescent="0.25">
      <c r="A593" s="60" t="s">
        <v>785</v>
      </c>
      <c r="B593" s="366">
        <v>906</v>
      </c>
      <c r="C593" s="368" t="s">
        <v>279</v>
      </c>
      <c r="D593" s="368" t="s">
        <v>133</v>
      </c>
      <c r="E593" s="368" t="s">
        <v>1012</v>
      </c>
      <c r="F593" s="368"/>
      <c r="G593" s="373">
        <f>G594</f>
        <v>2850</v>
      </c>
      <c r="H593" s="26">
        <f t="shared" ref="H593:I594" si="279">H594</f>
        <v>2850</v>
      </c>
      <c r="I593" s="26">
        <f t="shared" si="279"/>
        <v>2850</v>
      </c>
    </row>
    <row r="594" spans="1:9" ht="32.25" customHeight="1" x14ac:dyDescent="0.25">
      <c r="A594" s="375" t="s">
        <v>287</v>
      </c>
      <c r="B594" s="366">
        <v>906</v>
      </c>
      <c r="C594" s="368" t="s">
        <v>279</v>
      </c>
      <c r="D594" s="368" t="s">
        <v>133</v>
      </c>
      <c r="E594" s="368" t="s">
        <v>1012</v>
      </c>
      <c r="F594" s="368" t="s">
        <v>288</v>
      </c>
      <c r="G594" s="373">
        <f>G595</f>
        <v>2850</v>
      </c>
      <c r="H594" s="26">
        <f t="shared" si="279"/>
        <v>2850</v>
      </c>
      <c r="I594" s="26">
        <f t="shared" si="279"/>
        <v>2850</v>
      </c>
    </row>
    <row r="595" spans="1:9" ht="15.75" customHeight="1" x14ac:dyDescent="0.25">
      <c r="A595" s="193" t="s">
        <v>289</v>
      </c>
      <c r="B595" s="366">
        <v>906</v>
      </c>
      <c r="C595" s="368" t="s">
        <v>279</v>
      </c>
      <c r="D595" s="368" t="s">
        <v>133</v>
      </c>
      <c r="E595" s="368" t="s">
        <v>1012</v>
      </c>
      <c r="F595" s="368" t="s">
        <v>290</v>
      </c>
      <c r="G595" s="373">
        <f>2500+350</f>
        <v>2850</v>
      </c>
      <c r="H595" s="26">
        <f t="shared" ref="H595:I595" si="280">2500+350</f>
        <v>2850</v>
      </c>
      <c r="I595" s="26">
        <f t="shared" si="280"/>
        <v>2850</v>
      </c>
    </row>
    <row r="596" spans="1:9" ht="50.25" customHeight="1" x14ac:dyDescent="0.25">
      <c r="A596" s="60" t="s">
        <v>786</v>
      </c>
      <c r="B596" s="366">
        <v>906</v>
      </c>
      <c r="C596" s="368" t="s">
        <v>279</v>
      </c>
      <c r="D596" s="368" t="s">
        <v>133</v>
      </c>
      <c r="E596" s="368" t="s">
        <v>1013</v>
      </c>
      <c r="F596" s="368"/>
      <c r="G596" s="373">
        <f>G597</f>
        <v>1760</v>
      </c>
      <c r="H596" s="26">
        <f t="shared" ref="H596:I597" si="281">H597</f>
        <v>1365.4999999999998</v>
      </c>
      <c r="I596" s="26">
        <f t="shared" si="281"/>
        <v>1365.4999999999998</v>
      </c>
    </row>
    <row r="597" spans="1:9" ht="31.5" x14ac:dyDescent="0.25">
      <c r="A597" s="375" t="s">
        <v>287</v>
      </c>
      <c r="B597" s="366">
        <v>906</v>
      </c>
      <c r="C597" s="368" t="s">
        <v>279</v>
      </c>
      <c r="D597" s="368" t="s">
        <v>133</v>
      </c>
      <c r="E597" s="368" t="s">
        <v>1013</v>
      </c>
      <c r="F597" s="368" t="s">
        <v>288</v>
      </c>
      <c r="G597" s="373">
        <f>G598</f>
        <v>1760</v>
      </c>
      <c r="H597" s="26">
        <f t="shared" si="281"/>
        <v>1365.4999999999998</v>
      </c>
      <c r="I597" s="26">
        <f t="shared" si="281"/>
        <v>1365.4999999999998</v>
      </c>
    </row>
    <row r="598" spans="1:9" ht="15.75" x14ac:dyDescent="0.25">
      <c r="A598" s="193" t="s">
        <v>289</v>
      </c>
      <c r="B598" s="366">
        <v>906</v>
      </c>
      <c r="C598" s="368" t="s">
        <v>279</v>
      </c>
      <c r="D598" s="368" t="s">
        <v>133</v>
      </c>
      <c r="E598" s="368" t="s">
        <v>1013</v>
      </c>
      <c r="F598" s="368" t="s">
        <v>290</v>
      </c>
      <c r="G598" s="373">
        <v>1760</v>
      </c>
      <c r="H598" s="26">
        <f t="shared" ref="H598:I598" si="282">1230.6-457.8+486.9+105.8</f>
        <v>1365.4999999999998</v>
      </c>
      <c r="I598" s="26">
        <f t="shared" si="282"/>
        <v>1365.4999999999998</v>
      </c>
    </row>
    <row r="599" spans="1:9" s="222" customFormat="1" ht="63" x14ac:dyDescent="0.25">
      <c r="A599" s="370" t="s">
        <v>1014</v>
      </c>
      <c r="B599" s="367">
        <v>906</v>
      </c>
      <c r="C599" s="371" t="s">
        <v>279</v>
      </c>
      <c r="D599" s="371" t="s">
        <v>133</v>
      </c>
      <c r="E599" s="371" t="s">
        <v>1015</v>
      </c>
      <c r="F599" s="371"/>
      <c r="G599" s="369">
        <f>G600+G603</f>
        <v>291.10000000000002</v>
      </c>
      <c r="H599" s="21">
        <f t="shared" ref="H599:I599" si="283">H600+H603</f>
        <v>290.3</v>
      </c>
      <c r="I599" s="21">
        <f t="shared" si="283"/>
        <v>290.3</v>
      </c>
    </row>
    <row r="600" spans="1:9" ht="108.75" customHeight="1" x14ac:dyDescent="0.25">
      <c r="A600" s="372" t="s">
        <v>1468</v>
      </c>
      <c r="B600" s="366">
        <v>906</v>
      </c>
      <c r="C600" s="368" t="s">
        <v>279</v>
      </c>
      <c r="D600" s="368" t="s">
        <v>133</v>
      </c>
      <c r="E600" s="368" t="s">
        <v>1016</v>
      </c>
      <c r="F600" s="368"/>
      <c r="G600" s="373">
        <f>G601</f>
        <v>124.4</v>
      </c>
      <c r="H600" s="26">
        <f t="shared" ref="H600:I601" si="284">H601</f>
        <v>124.4</v>
      </c>
      <c r="I600" s="26">
        <f t="shared" si="284"/>
        <v>124.4</v>
      </c>
    </row>
    <row r="601" spans="1:9" ht="31.5" x14ac:dyDescent="0.25">
      <c r="A601" s="375" t="s">
        <v>287</v>
      </c>
      <c r="B601" s="366">
        <v>906</v>
      </c>
      <c r="C601" s="368" t="s">
        <v>279</v>
      </c>
      <c r="D601" s="368" t="s">
        <v>133</v>
      </c>
      <c r="E601" s="368" t="s">
        <v>1016</v>
      </c>
      <c r="F601" s="368" t="s">
        <v>288</v>
      </c>
      <c r="G601" s="373">
        <f>G602</f>
        <v>124.4</v>
      </c>
      <c r="H601" s="26">
        <f t="shared" si="284"/>
        <v>124.4</v>
      </c>
      <c r="I601" s="26">
        <f t="shared" si="284"/>
        <v>124.4</v>
      </c>
    </row>
    <row r="602" spans="1:9" ht="18.75" customHeight="1" x14ac:dyDescent="0.25">
      <c r="A602" s="193" t="s">
        <v>289</v>
      </c>
      <c r="B602" s="366">
        <v>906</v>
      </c>
      <c r="C602" s="368" t="s">
        <v>279</v>
      </c>
      <c r="D602" s="368" t="s">
        <v>133</v>
      </c>
      <c r="E602" s="368" t="s">
        <v>1016</v>
      </c>
      <c r="F602" s="368" t="s">
        <v>290</v>
      </c>
      <c r="G602" s="373">
        <v>124.4</v>
      </c>
      <c r="H602" s="26">
        <v>124.4</v>
      </c>
      <c r="I602" s="26">
        <v>124.4</v>
      </c>
    </row>
    <row r="603" spans="1:9" s="222" customFormat="1" ht="117.75" customHeight="1" x14ac:dyDescent="0.25">
      <c r="A603" s="372" t="s">
        <v>438</v>
      </c>
      <c r="B603" s="366">
        <v>906</v>
      </c>
      <c r="C603" s="368" t="s">
        <v>279</v>
      </c>
      <c r="D603" s="368" t="s">
        <v>133</v>
      </c>
      <c r="E603" s="368" t="s">
        <v>1017</v>
      </c>
      <c r="F603" s="368"/>
      <c r="G603" s="373">
        <f>G604</f>
        <v>166.7</v>
      </c>
      <c r="H603" s="26">
        <f t="shared" ref="H603:I604" si="285">H604</f>
        <v>165.9</v>
      </c>
      <c r="I603" s="26">
        <f t="shared" si="285"/>
        <v>165.9</v>
      </c>
    </row>
    <row r="604" spans="1:9" s="222" customFormat="1" ht="32.25" customHeight="1" x14ac:dyDescent="0.25">
      <c r="A604" s="372" t="s">
        <v>287</v>
      </c>
      <c r="B604" s="366">
        <v>906</v>
      </c>
      <c r="C604" s="368" t="s">
        <v>279</v>
      </c>
      <c r="D604" s="368" t="s">
        <v>133</v>
      </c>
      <c r="E604" s="368" t="s">
        <v>1017</v>
      </c>
      <c r="F604" s="368" t="s">
        <v>288</v>
      </c>
      <c r="G604" s="373">
        <f>G605</f>
        <v>166.7</v>
      </c>
      <c r="H604" s="26">
        <f t="shared" si="285"/>
        <v>165.9</v>
      </c>
      <c r="I604" s="26">
        <f t="shared" si="285"/>
        <v>165.9</v>
      </c>
    </row>
    <row r="605" spans="1:9" s="222" customFormat="1" ht="18.75" customHeight="1" x14ac:dyDescent="0.25">
      <c r="A605" s="372" t="s">
        <v>289</v>
      </c>
      <c r="B605" s="366">
        <v>906</v>
      </c>
      <c r="C605" s="368" t="s">
        <v>279</v>
      </c>
      <c r="D605" s="368" t="s">
        <v>133</v>
      </c>
      <c r="E605" s="368" t="s">
        <v>1017</v>
      </c>
      <c r="F605" s="368" t="s">
        <v>290</v>
      </c>
      <c r="G605" s="373">
        <v>166.7</v>
      </c>
      <c r="H605" s="26">
        <v>165.9</v>
      </c>
      <c r="I605" s="26">
        <v>165.9</v>
      </c>
    </row>
    <row r="606" spans="1:9" s="222" customFormat="1" ht="84.2" customHeight="1" x14ac:dyDescent="0.25">
      <c r="A606" s="370" t="s">
        <v>1405</v>
      </c>
      <c r="B606" s="367">
        <v>906</v>
      </c>
      <c r="C606" s="371" t="s">
        <v>279</v>
      </c>
      <c r="D606" s="371" t="s">
        <v>133</v>
      </c>
      <c r="E606" s="371" t="s">
        <v>1403</v>
      </c>
      <c r="F606" s="371"/>
      <c r="G606" s="369">
        <f>G607+G610</f>
        <v>1666.6</v>
      </c>
      <c r="H606" s="26"/>
      <c r="I606" s="26"/>
    </row>
    <row r="607" spans="1:9" s="222" customFormat="1" ht="79.5" customHeight="1" x14ac:dyDescent="0.25">
      <c r="A607" s="151" t="s">
        <v>1469</v>
      </c>
      <c r="B607" s="366">
        <v>906</v>
      </c>
      <c r="C607" s="368" t="s">
        <v>279</v>
      </c>
      <c r="D607" s="368" t="s">
        <v>133</v>
      </c>
      <c r="E607" s="368" t="s">
        <v>1407</v>
      </c>
      <c r="F607" s="368"/>
      <c r="G607" s="373">
        <f>G608</f>
        <v>0</v>
      </c>
      <c r="H607" s="26"/>
      <c r="I607" s="26"/>
    </row>
    <row r="608" spans="1:9" s="222" customFormat="1" ht="33.75" customHeight="1" x14ac:dyDescent="0.25">
      <c r="A608" s="372" t="s">
        <v>287</v>
      </c>
      <c r="B608" s="366">
        <v>906</v>
      </c>
      <c r="C608" s="368" t="s">
        <v>279</v>
      </c>
      <c r="D608" s="368" t="s">
        <v>133</v>
      </c>
      <c r="E608" s="368" t="s">
        <v>1407</v>
      </c>
      <c r="F608" s="368" t="s">
        <v>288</v>
      </c>
      <c r="G608" s="373">
        <f>G609</f>
        <v>0</v>
      </c>
      <c r="H608" s="26"/>
      <c r="I608" s="26"/>
    </row>
    <row r="609" spans="1:9" s="222" customFormat="1" ht="18.75" customHeight="1" x14ac:dyDescent="0.25">
      <c r="A609" s="372" t="s">
        <v>289</v>
      </c>
      <c r="B609" s="366">
        <v>906</v>
      </c>
      <c r="C609" s="368" t="s">
        <v>279</v>
      </c>
      <c r="D609" s="368" t="s">
        <v>133</v>
      </c>
      <c r="E609" s="368" t="s">
        <v>1407</v>
      </c>
      <c r="F609" s="368" t="s">
        <v>290</v>
      </c>
      <c r="G609" s="373">
        <v>0</v>
      </c>
      <c r="H609" s="26"/>
      <c r="I609" s="26"/>
    </row>
    <row r="610" spans="1:9" s="222" customFormat="1" ht="82.5" customHeight="1" x14ac:dyDescent="0.25">
      <c r="A610" s="151" t="s">
        <v>1404</v>
      </c>
      <c r="B610" s="366">
        <v>906</v>
      </c>
      <c r="C610" s="368" t="s">
        <v>279</v>
      </c>
      <c r="D610" s="368" t="s">
        <v>133</v>
      </c>
      <c r="E610" s="368" t="s">
        <v>1406</v>
      </c>
      <c r="F610" s="368"/>
      <c r="G610" s="373">
        <f>G611</f>
        <v>1666.6</v>
      </c>
      <c r="H610" s="26"/>
      <c r="I610" s="26"/>
    </row>
    <row r="611" spans="1:9" s="222" customFormat="1" ht="36.75" customHeight="1" x14ac:dyDescent="0.25">
      <c r="A611" s="372" t="s">
        <v>287</v>
      </c>
      <c r="B611" s="366">
        <v>906</v>
      </c>
      <c r="C611" s="368" t="s">
        <v>279</v>
      </c>
      <c r="D611" s="368" t="s">
        <v>133</v>
      </c>
      <c r="E611" s="368" t="s">
        <v>1406</v>
      </c>
      <c r="F611" s="368" t="s">
        <v>288</v>
      </c>
      <c r="G611" s="373">
        <f>G612</f>
        <v>1666.6</v>
      </c>
      <c r="H611" s="26"/>
      <c r="I611" s="26"/>
    </row>
    <row r="612" spans="1:9" s="222" customFormat="1" ht="18.75" customHeight="1" x14ac:dyDescent="0.25">
      <c r="A612" s="372" t="s">
        <v>289</v>
      </c>
      <c r="B612" s="366">
        <v>906</v>
      </c>
      <c r="C612" s="368" t="s">
        <v>279</v>
      </c>
      <c r="D612" s="368" t="s">
        <v>133</v>
      </c>
      <c r="E612" s="368" t="s">
        <v>1406</v>
      </c>
      <c r="F612" s="368" t="s">
        <v>290</v>
      </c>
      <c r="G612" s="373">
        <v>1666.6</v>
      </c>
      <c r="H612" s="26"/>
      <c r="I612" s="26"/>
    </row>
    <row r="613" spans="1:9" ht="43.5" hidden="1" customHeight="1" x14ac:dyDescent="0.25">
      <c r="A613" s="34" t="s">
        <v>803</v>
      </c>
      <c r="B613" s="367">
        <v>906</v>
      </c>
      <c r="C613" s="371" t="s">
        <v>279</v>
      </c>
      <c r="D613" s="371" t="s">
        <v>133</v>
      </c>
      <c r="E613" s="371" t="s">
        <v>339</v>
      </c>
      <c r="F613" s="371"/>
      <c r="G613" s="369">
        <f>G614</f>
        <v>0</v>
      </c>
      <c r="H613" s="21">
        <f t="shared" ref="H613:I616" si="286">H614</f>
        <v>697</v>
      </c>
      <c r="I613" s="21">
        <f t="shared" si="286"/>
        <v>697</v>
      </c>
    </row>
    <row r="614" spans="1:9" s="222" customFormat="1" ht="49.7" hidden="1" customHeight="1" x14ac:dyDescent="0.25">
      <c r="A614" s="34" t="s">
        <v>1160</v>
      </c>
      <c r="B614" s="367">
        <v>906</v>
      </c>
      <c r="C614" s="371" t="s">
        <v>279</v>
      </c>
      <c r="D614" s="371" t="s">
        <v>133</v>
      </c>
      <c r="E614" s="371" t="s">
        <v>1023</v>
      </c>
      <c r="F614" s="371"/>
      <c r="G614" s="369">
        <f>G615</f>
        <v>0</v>
      </c>
      <c r="H614" s="21">
        <f t="shared" si="286"/>
        <v>697</v>
      </c>
      <c r="I614" s="21">
        <f t="shared" si="286"/>
        <v>697</v>
      </c>
    </row>
    <row r="615" spans="1:9" ht="50.25" hidden="1" customHeight="1" x14ac:dyDescent="0.25">
      <c r="A615" s="31" t="s">
        <v>1274</v>
      </c>
      <c r="B615" s="366">
        <v>906</v>
      </c>
      <c r="C615" s="368" t="s">
        <v>279</v>
      </c>
      <c r="D615" s="368" t="s">
        <v>133</v>
      </c>
      <c r="E615" s="368" t="s">
        <v>1024</v>
      </c>
      <c r="F615" s="368"/>
      <c r="G615" s="373">
        <f>G616</f>
        <v>0</v>
      </c>
      <c r="H615" s="26">
        <f t="shared" si="286"/>
        <v>697</v>
      </c>
      <c r="I615" s="26">
        <f t="shared" si="286"/>
        <v>697</v>
      </c>
    </row>
    <row r="616" spans="1:9" ht="42" hidden="1" customHeight="1" x14ac:dyDescent="0.25">
      <c r="A616" s="31" t="s">
        <v>287</v>
      </c>
      <c r="B616" s="366">
        <v>906</v>
      </c>
      <c r="C616" s="368" t="s">
        <v>279</v>
      </c>
      <c r="D616" s="368" t="s">
        <v>133</v>
      </c>
      <c r="E616" s="368" t="s">
        <v>1024</v>
      </c>
      <c r="F616" s="368" t="s">
        <v>288</v>
      </c>
      <c r="G616" s="373">
        <f>G617</f>
        <v>0</v>
      </c>
      <c r="H616" s="26">
        <f t="shared" si="286"/>
        <v>697</v>
      </c>
      <c r="I616" s="26">
        <f t="shared" si="286"/>
        <v>697</v>
      </c>
    </row>
    <row r="617" spans="1:9" ht="16.5" hidden="1" customHeight="1" x14ac:dyDescent="0.25">
      <c r="A617" s="31" t="s">
        <v>289</v>
      </c>
      <c r="B617" s="366">
        <v>906</v>
      </c>
      <c r="C617" s="368" t="s">
        <v>279</v>
      </c>
      <c r="D617" s="368" t="s">
        <v>133</v>
      </c>
      <c r="E617" s="368" t="s">
        <v>1024</v>
      </c>
      <c r="F617" s="368" t="s">
        <v>290</v>
      </c>
      <c r="G617" s="373">
        <v>0</v>
      </c>
      <c r="H617" s="26">
        <v>697</v>
      </c>
      <c r="I617" s="26">
        <v>697</v>
      </c>
    </row>
    <row r="618" spans="1:9" ht="46.5" customHeight="1" x14ac:dyDescent="0.25">
      <c r="A618" s="41" t="s">
        <v>1376</v>
      </c>
      <c r="B618" s="367">
        <v>906</v>
      </c>
      <c r="C618" s="371" t="s">
        <v>279</v>
      </c>
      <c r="D618" s="371" t="s">
        <v>133</v>
      </c>
      <c r="E618" s="371" t="s">
        <v>726</v>
      </c>
      <c r="F618" s="250"/>
      <c r="G618" s="369">
        <f>G620</f>
        <v>464.3</v>
      </c>
      <c r="H618" s="21">
        <f t="shared" ref="H618:I618" si="287">H620</f>
        <v>464.3</v>
      </c>
      <c r="I618" s="21">
        <f t="shared" si="287"/>
        <v>464.3</v>
      </c>
    </row>
    <row r="619" spans="1:9" s="222" customFormat="1" ht="46.5" customHeight="1" x14ac:dyDescent="0.25">
      <c r="A619" s="41" t="s">
        <v>947</v>
      </c>
      <c r="B619" s="367">
        <v>906</v>
      </c>
      <c r="C619" s="371" t="s">
        <v>279</v>
      </c>
      <c r="D619" s="371" t="s">
        <v>133</v>
      </c>
      <c r="E619" s="371" t="s">
        <v>945</v>
      </c>
      <c r="F619" s="250"/>
      <c r="G619" s="369">
        <f>G620</f>
        <v>464.3</v>
      </c>
      <c r="H619" s="21">
        <f t="shared" ref="H619:I621" si="288">H620</f>
        <v>464.3</v>
      </c>
      <c r="I619" s="21">
        <f t="shared" si="288"/>
        <v>464.3</v>
      </c>
    </row>
    <row r="620" spans="1:9" ht="36" customHeight="1" x14ac:dyDescent="0.25">
      <c r="A620" s="99" t="s">
        <v>801</v>
      </c>
      <c r="B620" s="366">
        <v>906</v>
      </c>
      <c r="C620" s="368" t="s">
        <v>279</v>
      </c>
      <c r="D620" s="368" t="s">
        <v>133</v>
      </c>
      <c r="E620" s="368" t="s">
        <v>1025</v>
      </c>
      <c r="F620" s="32"/>
      <c r="G620" s="373">
        <f>G621</f>
        <v>464.3</v>
      </c>
      <c r="H620" s="26">
        <f t="shared" si="288"/>
        <v>464.3</v>
      </c>
      <c r="I620" s="26">
        <f t="shared" si="288"/>
        <v>464.3</v>
      </c>
    </row>
    <row r="621" spans="1:9" ht="35.450000000000003" customHeight="1" x14ac:dyDescent="0.25">
      <c r="A621" s="375" t="s">
        <v>287</v>
      </c>
      <c r="B621" s="366">
        <v>906</v>
      </c>
      <c r="C621" s="368" t="s">
        <v>279</v>
      </c>
      <c r="D621" s="368" t="s">
        <v>133</v>
      </c>
      <c r="E621" s="368" t="s">
        <v>1025</v>
      </c>
      <c r="F621" s="32" t="s">
        <v>288</v>
      </c>
      <c r="G621" s="373">
        <f>G622</f>
        <v>464.3</v>
      </c>
      <c r="H621" s="26">
        <f t="shared" si="288"/>
        <v>464.3</v>
      </c>
      <c r="I621" s="26">
        <f t="shared" si="288"/>
        <v>464.3</v>
      </c>
    </row>
    <row r="622" spans="1:9" ht="15.75" customHeight="1" x14ac:dyDescent="0.25">
      <c r="A622" s="193" t="s">
        <v>289</v>
      </c>
      <c r="B622" s="366">
        <v>906</v>
      </c>
      <c r="C622" s="368" t="s">
        <v>279</v>
      </c>
      <c r="D622" s="368" t="s">
        <v>133</v>
      </c>
      <c r="E622" s="368" t="s">
        <v>1025</v>
      </c>
      <c r="F622" s="32" t="s">
        <v>290</v>
      </c>
      <c r="G622" s="373">
        <v>464.3</v>
      </c>
      <c r="H622" s="26">
        <v>464.3</v>
      </c>
      <c r="I622" s="26">
        <v>464.3</v>
      </c>
    </row>
    <row r="623" spans="1:9" ht="15.75" x14ac:dyDescent="0.25">
      <c r="A623" s="370" t="s">
        <v>440</v>
      </c>
      <c r="B623" s="367">
        <v>906</v>
      </c>
      <c r="C623" s="371" t="s">
        <v>279</v>
      </c>
      <c r="D623" s="371" t="s">
        <v>228</v>
      </c>
      <c r="E623" s="371"/>
      <c r="F623" s="371"/>
      <c r="G623" s="369">
        <f>G624+G697+G706</f>
        <v>191118.55900000001</v>
      </c>
      <c r="H623" s="21" t="e">
        <f>H624+H697+H706</f>
        <v>#REF!</v>
      </c>
      <c r="I623" s="21" t="e">
        <f>I624+I697+I706</f>
        <v>#REF!</v>
      </c>
    </row>
    <row r="624" spans="1:9" ht="50.25" customHeight="1" x14ac:dyDescent="0.25">
      <c r="A624" s="370" t="s">
        <v>441</v>
      </c>
      <c r="B624" s="367">
        <v>906</v>
      </c>
      <c r="C624" s="371" t="s">
        <v>279</v>
      </c>
      <c r="D624" s="371" t="s">
        <v>228</v>
      </c>
      <c r="E624" s="371" t="s">
        <v>421</v>
      </c>
      <c r="F624" s="371"/>
      <c r="G624" s="369">
        <f>G625+G655</f>
        <v>190245.25900000002</v>
      </c>
      <c r="H624" s="21" t="e">
        <f>H625+H655</f>
        <v>#REF!</v>
      </c>
      <c r="I624" s="21" t="e">
        <f>I625+I655</f>
        <v>#REF!</v>
      </c>
    </row>
    <row r="625" spans="1:9" ht="37.5" customHeight="1" x14ac:dyDescent="0.25">
      <c r="A625" s="370" t="s">
        <v>422</v>
      </c>
      <c r="B625" s="367">
        <v>906</v>
      </c>
      <c r="C625" s="371" t="s">
        <v>279</v>
      </c>
      <c r="D625" s="371" t="s">
        <v>228</v>
      </c>
      <c r="E625" s="371" t="s">
        <v>423</v>
      </c>
      <c r="F625" s="371"/>
      <c r="G625" s="369">
        <f>G626+G636</f>
        <v>179775.7</v>
      </c>
      <c r="H625" s="21" t="e">
        <f>H626+H636</f>
        <v>#REF!</v>
      </c>
      <c r="I625" s="21" t="e">
        <f>I626+I636</f>
        <v>#REF!</v>
      </c>
    </row>
    <row r="626" spans="1:9" s="222" customFormat="1" ht="37.5" customHeight="1" x14ac:dyDescent="0.25">
      <c r="A626" s="370" t="s">
        <v>1026</v>
      </c>
      <c r="B626" s="367">
        <v>906</v>
      </c>
      <c r="C626" s="371" t="s">
        <v>279</v>
      </c>
      <c r="D626" s="371" t="s">
        <v>228</v>
      </c>
      <c r="E626" s="371" t="s">
        <v>1004</v>
      </c>
      <c r="F626" s="371"/>
      <c r="G626" s="369">
        <f>G627+G630+G633</f>
        <v>27339</v>
      </c>
      <c r="H626" s="21" t="e">
        <f>H627+#REF!+#REF!</f>
        <v>#REF!</v>
      </c>
      <c r="I626" s="21" t="e">
        <f>I627+#REF!+#REF!</f>
        <v>#REF!</v>
      </c>
    </row>
    <row r="627" spans="1:9" ht="47.25" x14ac:dyDescent="0.25">
      <c r="A627" s="372" t="s">
        <v>1462</v>
      </c>
      <c r="B627" s="366">
        <v>906</v>
      </c>
      <c r="C627" s="368" t="s">
        <v>279</v>
      </c>
      <c r="D627" s="368" t="s">
        <v>228</v>
      </c>
      <c r="E627" s="368" t="s">
        <v>1063</v>
      </c>
      <c r="F627" s="368"/>
      <c r="G627" s="373">
        <f>G628</f>
        <v>9301.4000000000015</v>
      </c>
      <c r="H627" s="26">
        <f t="shared" ref="H627:I628" si="289">H628</f>
        <v>29802.400000000001</v>
      </c>
      <c r="I627" s="26">
        <f t="shared" si="289"/>
        <v>29802.400000000001</v>
      </c>
    </row>
    <row r="628" spans="1:9" ht="32.25" customHeight="1" x14ac:dyDescent="0.25">
      <c r="A628" s="372" t="s">
        <v>287</v>
      </c>
      <c r="B628" s="366">
        <v>906</v>
      </c>
      <c r="C628" s="368" t="s">
        <v>279</v>
      </c>
      <c r="D628" s="368" t="s">
        <v>228</v>
      </c>
      <c r="E628" s="368" t="s">
        <v>1063</v>
      </c>
      <c r="F628" s="368" t="s">
        <v>288</v>
      </c>
      <c r="G628" s="373">
        <f>G629</f>
        <v>9301.4000000000015</v>
      </c>
      <c r="H628" s="26">
        <f t="shared" si="289"/>
        <v>29802.400000000001</v>
      </c>
      <c r="I628" s="26">
        <f t="shared" si="289"/>
        <v>29802.400000000001</v>
      </c>
    </row>
    <row r="629" spans="1:9" ht="15.75" x14ac:dyDescent="0.25">
      <c r="A629" s="372" t="s">
        <v>289</v>
      </c>
      <c r="B629" s="366">
        <v>906</v>
      </c>
      <c r="C629" s="368" t="s">
        <v>279</v>
      </c>
      <c r="D629" s="368" t="s">
        <v>228</v>
      </c>
      <c r="E629" s="368" t="s">
        <v>1063</v>
      </c>
      <c r="F629" s="368" t="s">
        <v>290</v>
      </c>
      <c r="G629" s="374">
        <f>29802.4+0.6-20027.6-10-464</f>
        <v>9301.4000000000015</v>
      </c>
      <c r="H629" s="27">
        <v>29802.400000000001</v>
      </c>
      <c r="I629" s="27">
        <v>29802.400000000001</v>
      </c>
    </row>
    <row r="630" spans="1:9" s="222" customFormat="1" ht="47.25" x14ac:dyDescent="0.25">
      <c r="A630" s="372" t="s">
        <v>1463</v>
      </c>
      <c r="B630" s="366">
        <v>906</v>
      </c>
      <c r="C630" s="368" t="s">
        <v>279</v>
      </c>
      <c r="D630" s="368" t="s">
        <v>228</v>
      </c>
      <c r="E630" s="368" t="s">
        <v>1064</v>
      </c>
      <c r="F630" s="368"/>
      <c r="G630" s="373">
        <f t="shared" ref="G630:G631" si="290">G631</f>
        <v>11361.7</v>
      </c>
      <c r="H630" s="27"/>
      <c r="I630" s="27"/>
    </row>
    <row r="631" spans="1:9" s="222" customFormat="1" ht="31.5" x14ac:dyDescent="0.25">
      <c r="A631" s="372" t="s">
        <v>287</v>
      </c>
      <c r="B631" s="366">
        <v>906</v>
      </c>
      <c r="C631" s="368" t="s">
        <v>279</v>
      </c>
      <c r="D631" s="368" t="s">
        <v>228</v>
      </c>
      <c r="E631" s="368" t="s">
        <v>1064</v>
      </c>
      <c r="F631" s="368" t="s">
        <v>288</v>
      </c>
      <c r="G631" s="373">
        <f t="shared" si="290"/>
        <v>11361.7</v>
      </c>
      <c r="H631" s="27"/>
      <c r="I631" s="27"/>
    </row>
    <row r="632" spans="1:9" s="222" customFormat="1" ht="15.75" x14ac:dyDescent="0.25">
      <c r="A632" s="372" t="s">
        <v>289</v>
      </c>
      <c r="B632" s="366">
        <v>906</v>
      </c>
      <c r="C632" s="368" t="s">
        <v>279</v>
      </c>
      <c r="D632" s="368" t="s">
        <v>228</v>
      </c>
      <c r="E632" s="368" t="s">
        <v>1064</v>
      </c>
      <c r="F632" s="368" t="s">
        <v>290</v>
      </c>
      <c r="G632" s="374">
        <f>12351.7-990</f>
        <v>11361.7</v>
      </c>
      <c r="H632" s="27"/>
      <c r="I632" s="27"/>
    </row>
    <row r="633" spans="1:9" s="222" customFormat="1" ht="47.25" x14ac:dyDescent="0.25">
      <c r="A633" s="372" t="s">
        <v>1464</v>
      </c>
      <c r="B633" s="366">
        <v>906</v>
      </c>
      <c r="C633" s="368" t="s">
        <v>279</v>
      </c>
      <c r="D633" s="368" t="s">
        <v>228</v>
      </c>
      <c r="E633" s="368" t="s">
        <v>1065</v>
      </c>
      <c r="F633" s="368"/>
      <c r="G633" s="373">
        <f t="shared" ref="G633:G634" si="291">G634</f>
        <v>6675.9</v>
      </c>
      <c r="H633" s="27"/>
      <c r="I633" s="27"/>
    </row>
    <row r="634" spans="1:9" s="222" customFormat="1" ht="31.5" x14ac:dyDescent="0.25">
      <c r="A634" s="372" t="s">
        <v>287</v>
      </c>
      <c r="B634" s="366">
        <v>906</v>
      </c>
      <c r="C634" s="368" t="s">
        <v>279</v>
      </c>
      <c r="D634" s="368" t="s">
        <v>228</v>
      </c>
      <c r="E634" s="368" t="s">
        <v>1065</v>
      </c>
      <c r="F634" s="368" t="s">
        <v>288</v>
      </c>
      <c r="G634" s="373">
        <f t="shared" si="291"/>
        <v>6675.9</v>
      </c>
      <c r="H634" s="27"/>
      <c r="I634" s="27"/>
    </row>
    <row r="635" spans="1:9" s="222" customFormat="1" ht="15.75" x14ac:dyDescent="0.25">
      <c r="A635" s="372" t="s">
        <v>289</v>
      </c>
      <c r="B635" s="366">
        <v>906</v>
      </c>
      <c r="C635" s="368" t="s">
        <v>279</v>
      </c>
      <c r="D635" s="368" t="s">
        <v>228</v>
      </c>
      <c r="E635" s="368" t="s">
        <v>1065</v>
      </c>
      <c r="F635" s="368" t="s">
        <v>290</v>
      </c>
      <c r="G635" s="374">
        <f>6675.9</f>
        <v>6675.9</v>
      </c>
      <c r="H635" s="27"/>
      <c r="I635" s="27"/>
    </row>
    <row r="636" spans="1:9" s="222" customFormat="1" ht="44.25" customHeight="1" x14ac:dyDescent="0.25">
      <c r="A636" s="370" t="s">
        <v>969</v>
      </c>
      <c r="B636" s="367">
        <v>906</v>
      </c>
      <c r="C636" s="371" t="s">
        <v>279</v>
      </c>
      <c r="D636" s="371" t="s">
        <v>228</v>
      </c>
      <c r="E636" s="371" t="s">
        <v>1019</v>
      </c>
      <c r="F636" s="371"/>
      <c r="G636" s="44">
        <f>G640+G643+G646+G649+G652+G637</f>
        <v>152436.70000000001</v>
      </c>
      <c r="H636" s="44">
        <f>H640+H643+H646+H649+H652</f>
        <v>97112.000000000015</v>
      </c>
      <c r="I636" s="44">
        <f>I640+I643+I646+I649+I652</f>
        <v>97112.000000000015</v>
      </c>
    </row>
    <row r="637" spans="1:9" s="362" customFormat="1" ht="78.75" x14ac:dyDescent="0.25">
      <c r="A637" s="31" t="s">
        <v>308</v>
      </c>
      <c r="B637" s="366">
        <v>906</v>
      </c>
      <c r="C637" s="368" t="s">
        <v>279</v>
      </c>
      <c r="D637" s="368" t="s">
        <v>228</v>
      </c>
      <c r="E637" s="368" t="s">
        <v>1523</v>
      </c>
      <c r="F637" s="368"/>
      <c r="G637" s="374">
        <f>G638</f>
        <v>3821</v>
      </c>
      <c r="H637" s="44"/>
      <c r="I637" s="44"/>
    </row>
    <row r="638" spans="1:9" s="362" customFormat="1" ht="31.5" x14ac:dyDescent="0.25">
      <c r="A638" s="372" t="s">
        <v>287</v>
      </c>
      <c r="B638" s="366">
        <v>906</v>
      </c>
      <c r="C638" s="368" t="s">
        <v>279</v>
      </c>
      <c r="D638" s="368" t="s">
        <v>228</v>
      </c>
      <c r="E638" s="368" t="s">
        <v>1523</v>
      </c>
      <c r="F638" s="368" t="s">
        <v>288</v>
      </c>
      <c r="G638" s="374">
        <f>G639</f>
        <v>3821</v>
      </c>
      <c r="H638" s="44"/>
      <c r="I638" s="44"/>
    </row>
    <row r="639" spans="1:9" s="362" customFormat="1" ht="15.75" x14ac:dyDescent="0.25">
      <c r="A639" s="372" t="s">
        <v>289</v>
      </c>
      <c r="B639" s="366">
        <v>906</v>
      </c>
      <c r="C639" s="368" t="s">
        <v>279</v>
      </c>
      <c r="D639" s="368" t="s">
        <v>228</v>
      </c>
      <c r="E639" s="368" t="s">
        <v>1523</v>
      </c>
      <c r="F639" s="368" t="s">
        <v>290</v>
      </c>
      <c r="G639" s="374">
        <v>3821</v>
      </c>
      <c r="H639" s="44"/>
      <c r="I639" s="44"/>
    </row>
    <row r="640" spans="1:9" s="222" customFormat="1" ht="63" x14ac:dyDescent="0.25">
      <c r="A640" s="31" t="s">
        <v>475</v>
      </c>
      <c r="B640" s="366">
        <v>906</v>
      </c>
      <c r="C640" s="368" t="s">
        <v>279</v>
      </c>
      <c r="D640" s="368" t="s">
        <v>228</v>
      </c>
      <c r="E640" s="368" t="s">
        <v>1047</v>
      </c>
      <c r="F640" s="368"/>
      <c r="G640" s="373">
        <f>G641</f>
        <v>143160</v>
      </c>
      <c r="H640" s="26">
        <f t="shared" ref="H640:I641" si="292">H641</f>
        <v>88243.6</v>
      </c>
      <c r="I640" s="26">
        <f t="shared" si="292"/>
        <v>88243.6</v>
      </c>
    </row>
    <row r="641" spans="1:14" s="222" customFormat="1" ht="31.5" x14ac:dyDescent="0.25">
      <c r="A641" s="372" t="s">
        <v>287</v>
      </c>
      <c r="B641" s="366">
        <v>906</v>
      </c>
      <c r="C641" s="368" t="s">
        <v>279</v>
      </c>
      <c r="D641" s="368" t="s">
        <v>228</v>
      </c>
      <c r="E641" s="368" t="s">
        <v>1047</v>
      </c>
      <c r="F641" s="368" t="s">
        <v>288</v>
      </c>
      <c r="G641" s="373">
        <f>G642</f>
        <v>143160</v>
      </c>
      <c r="H641" s="26">
        <f t="shared" si="292"/>
        <v>88243.6</v>
      </c>
      <c r="I641" s="26">
        <f t="shared" si="292"/>
        <v>88243.6</v>
      </c>
    </row>
    <row r="642" spans="1:14" s="222" customFormat="1" ht="15.75" x14ac:dyDescent="0.25">
      <c r="A642" s="372" t="s">
        <v>289</v>
      </c>
      <c r="B642" s="366">
        <v>906</v>
      </c>
      <c r="C642" s="368" t="s">
        <v>279</v>
      </c>
      <c r="D642" s="368" t="s">
        <v>228</v>
      </c>
      <c r="E642" s="368" t="s">
        <v>1047</v>
      </c>
      <c r="F642" s="368" t="s">
        <v>290</v>
      </c>
      <c r="G642" s="374">
        <v>143160</v>
      </c>
      <c r="H642" s="27">
        <v>88243.6</v>
      </c>
      <c r="I642" s="27">
        <v>88243.6</v>
      </c>
    </row>
    <row r="643" spans="1:14" s="222" customFormat="1" ht="63" x14ac:dyDescent="0.25">
      <c r="A643" s="31" t="s">
        <v>304</v>
      </c>
      <c r="B643" s="366">
        <v>906</v>
      </c>
      <c r="C643" s="368" t="s">
        <v>279</v>
      </c>
      <c r="D643" s="368" t="s">
        <v>228</v>
      </c>
      <c r="E643" s="368" t="s">
        <v>1018</v>
      </c>
      <c r="F643" s="368"/>
      <c r="G643" s="373">
        <f>G644</f>
        <v>1245.5999999999999</v>
      </c>
      <c r="H643" s="26">
        <f t="shared" ref="H643:I644" si="293">H644</f>
        <v>809.4</v>
      </c>
      <c r="I643" s="26">
        <f t="shared" si="293"/>
        <v>809.4</v>
      </c>
    </row>
    <row r="644" spans="1:14" s="222" customFormat="1" ht="31.5" x14ac:dyDescent="0.25">
      <c r="A644" s="372" t="s">
        <v>287</v>
      </c>
      <c r="B644" s="366">
        <v>906</v>
      </c>
      <c r="C644" s="368" t="s">
        <v>279</v>
      </c>
      <c r="D644" s="368" t="s">
        <v>228</v>
      </c>
      <c r="E644" s="368" t="s">
        <v>1018</v>
      </c>
      <c r="F644" s="368" t="s">
        <v>288</v>
      </c>
      <c r="G644" s="373">
        <f>G645</f>
        <v>1245.5999999999999</v>
      </c>
      <c r="H644" s="26">
        <f t="shared" si="293"/>
        <v>809.4</v>
      </c>
      <c r="I644" s="26">
        <f t="shared" si="293"/>
        <v>809.4</v>
      </c>
    </row>
    <row r="645" spans="1:14" s="222" customFormat="1" ht="15.75" x14ac:dyDescent="0.25">
      <c r="A645" s="372" t="s">
        <v>289</v>
      </c>
      <c r="B645" s="366">
        <v>906</v>
      </c>
      <c r="C645" s="368" t="s">
        <v>279</v>
      </c>
      <c r="D645" s="368" t="s">
        <v>228</v>
      </c>
      <c r="E645" s="368" t="s">
        <v>1018</v>
      </c>
      <c r="F645" s="368" t="s">
        <v>290</v>
      </c>
      <c r="G645" s="374">
        <f>1245.61-0.01</f>
        <v>1245.5999999999999</v>
      </c>
      <c r="H645" s="27">
        <v>809.4</v>
      </c>
      <c r="I645" s="27">
        <v>809.4</v>
      </c>
    </row>
    <row r="646" spans="1:14" s="222" customFormat="1" ht="63" x14ac:dyDescent="0.25">
      <c r="A646" s="31" t="s">
        <v>306</v>
      </c>
      <c r="B646" s="366">
        <v>906</v>
      </c>
      <c r="C646" s="368" t="s">
        <v>279</v>
      </c>
      <c r="D646" s="368" t="s">
        <v>228</v>
      </c>
      <c r="E646" s="368" t="s">
        <v>1021</v>
      </c>
      <c r="F646" s="368"/>
      <c r="G646" s="373">
        <f>G647</f>
        <v>2266.6999999999998</v>
      </c>
      <c r="H646" s="26">
        <f t="shared" ref="H646:I647" si="294">H647</f>
        <v>2442.6</v>
      </c>
      <c r="I646" s="26">
        <f t="shared" si="294"/>
        <v>2442.6</v>
      </c>
      <c r="L646" s="262"/>
      <c r="M646" s="262"/>
      <c r="N646" s="262"/>
    </row>
    <row r="647" spans="1:14" s="222" customFormat="1" ht="31.5" x14ac:dyDescent="0.25">
      <c r="A647" s="372" t="s">
        <v>287</v>
      </c>
      <c r="B647" s="366">
        <v>906</v>
      </c>
      <c r="C647" s="368" t="s">
        <v>279</v>
      </c>
      <c r="D647" s="368" t="s">
        <v>228</v>
      </c>
      <c r="E647" s="368" t="s">
        <v>1021</v>
      </c>
      <c r="F647" s="368" t="s">
        <v>288</v>
      </c>
      <c r="G647" s="373">
        <f>G648</f>
        <v>2266.6999999999998</v>
      </c>
      <c r="H647" s="26">
        <f t="shared" si="294"/>
        <v>2442.6</v>
      </c>
      <c r="I647" s="26">
        <f t="shared" si="294"/>
        <v>2442.6</v>
      </c>
    </row>
    <row r="648" spans="1:14" s="222" customFormat="1" ht="15.75" x14ac:dyDescent="0.25">
      <c r="A648" s="372" t="s">
        <v>289</v>
      </c>
      <c r="B648" s="366">
        <v>906</v>
      </c>
      <c r="C648" s="368" t="s">
        <v>279</v>
      </c>
      <c r="D648" s="368" t="s">
        <v>228</v>
      </c>
      <c r="E648" s="368" t="s">
        <v>1021</v>
      </c>
      <c r="F648" s="368" t="s">
        <v>290</v>
      </c>
      <c r="G648" s="374">
        <f>2266.72-0.02</f>
        <v>2266.6999999999998</v>
      </c>
      <c r="H648" s="27">
        <f t="shared" ref="H648:I648" si="295">2238.4+204.2</f>
        <v>2442.6</v>
      </c>
      <c r="I648" s="27">
        <f t="shared" si="295"/>
        <v>2442.6</v>
      </c>
    </row>
    <row r="649" spans="1:14" s="222" customFormat="1" ht="47.25" x14ac:dyDescent="0.25">
      <c r="A649" s="31" t="s">
        <v>477</v>
      </c>
      <c r="B649" s="366">
        <v>906</v>
      </c>
      <c r="C649" s="368" t="s">
        <v>279</v>
      </c>
      <c r="D649" s="368" t="s">
        <v>228</v>
      </c>
      <c r="E649" s="368" t="s">
        <v>1048</v>
      </c>
      <c r="F649" s="368"/>
      <c r="G649" s="373">
        <f>G650</f>
        <v>923.4</v>
      </c>
      <c r="H649" s="26">
        <f t="shared" ref="H649:I650" si="296">H650</f>
        <v>946.8</v>
      </c>
      <c r="I649" s="26">
        <f t="shared" si="296"/>
        <v>946.8</v>
      </c>
    </row>
    <row r="650" spans="1:14" s="222" customFormat="1" ht="31.5" x14ac:dyDescent="0.25">
      <c r="A650" s="372" t="s">
        <v>287</v>
      </c>
      <c r="B650" s="366">
        <v>906</v>
      </c>
      <c r="C650" s="368" t="s">
        <v>279</v>
      </c>
      <c r="D650" s="368" t="s">
        <v>228</v>
      </c>
      <c r="E650" s="368" t="s">
        <v>1048</v>
      </c>
      <c r="F650" s="368" t="s">
        <v>288</v>
      </c>
      <c r="G650" s="373">
        <f>G651</f>
        <v>923.4</v>
      </c>
      <c r="H650" s="26">
        <f t="shared" si="296"/>
        <v>946.8</v>
      </c>
      <c r="I650" s="26">
        <f t="shared" si="296"/>
        <v>946.8</v>
      </c>
    </row>
    <row r="651" spans="1:14" s="222" customFormat="1" ht="15.75" x14ac:dyDescent="0.25">
      <c r="A651" s="372" t="s">
        <v>289</v>
      </c>
      <c r="B651" s="366">
        <v>906</v>
      </c>
      <c r="C651" s="368" t="s">
        <v>279</v>
      </c>
      <c r="D651" s="368" t="s">
        <v>228</v>
      </c>
      <c r="E651" s="368" t="s">
        <v>1048</v>
      </c>
      <c r="F651" s="368" t="s">
        <v>290</v>
      </c>
      <c r="G651" s="374">
        <v>923.4</v>
      </c>
      <c r="H651" s="27">
        <v>946.8</v>
      </c>
      <c r="I651" s="27">
        <v>946.8</v>
      </c>
    </row>
    <row r="652" spans="1:14" s="222" customFormat="1" ht="78.75" x14ac:dyDescent="0.25">
      <c r="A652" s="31" t="s">
        <v>308</v>
      </c>
      <c r="B652" s="366">
        <v>906</v>
      </c>
      <c r="C652" s="368" t="s">
        <v>279</v>
      </c>
      <c r="D652" s="368" t="s">
        <v>228</v>
      </c>
      <c r="E652" s="368" t="s">
        <v>1022</v>
      </c>
      <c r="F652" s="368"/>
      <c r="G652" s="373">
        <f>G653</f>
        <v>1019.9999999999991</v>
      </c>
      <c r="H652" s="26">
        <f t="shared" ref="H652:I653" si="297">H653</f>
        <v>4669.6000000000004</v>
      </c>
      <c r="I652" s="26">
        <f t="shared" si="297"/>
        <v>4669.6000000000004</v>
      </c>
    </row>
    <row r="653" spans="1:14" s="222" customFormat="1" ht="31.5" x14ac:dyDescent="0.25">
      <c r="A653" s="372" t="s">
        <v>287</v>
      </c>
      <c r="B653" s="366">
        <v>906</v>
      </c>
      <c r="C653" s="368" t="s">
        <v>279</v>
      </c>
      <c r="D653" s="368" t="s">
        <v>228</v>
      </c>
      <c r="E653" s="368" t="s">
        <v>1022</v>
      </c>
      <c r="F653" s="368" t="s">
        <v>288</v>
      </c>
      <c r="G653" s="373">
        <f>G654</f>
        <v>1019.9999999999991</v>
      </c>
      <c r="H653" s="26">
        <f t="shared" si="297"/>
        <v>4669.6000000000004</v>
      </c>
      <c r="I653" s="26">
        <f t="shared" si="297"/>
        <v>4669.6000000000004</v>
      </c>
    </row>
    <row r="654" spans="1:14" s="222" customFormat="1" ht="15.75" x14ac:dyDescent="0.25">
      <c r="A654" s="372" t="s">
        <v>289</v>
      </c>
      <c r="B654" s="366">
        <v>906</v>
      </c>
      <c r="C654" s="368" t="s">
        <v>279</v>
      </c>
      <c r="D654" s="368" t="s">
        <v>228</v>
      </c>
      <c r="E654" s="368" t="s">
        <v>1022</v>
      </c>
      <c r="F654" s="368" t="s">
        <v>290</v>
      </c>
      <c r="G654" s="374">
        <f>5020.23-179.18-0.05-3821</f>
        <v>1019.9999999999991</v>
      </c>
      <c r="H654" s="27">
        <f t="shared" ref="H654:I654" si="298">5441.9-1072.9-74.3+582.6+114.9-114.9-207.7</f>
        <v>4669.6000000000004</v>
      </c>
      <c r="I654" s="27">
        <f t="shared" si="298"/>
        <v>4669.6000000000004</v>
      </c>
    </row>
    <row r="655" spans="1:14" ht="36" customHeight="1" x14ac:dyDescent="0.25">
      <c r="A655" s="288" t="s">
        <v>445</v>
      </c>
      <c r="B655" s="367">
        <v>906</v>
      </c>
      <c r="C655" s="371" t="s">
        <v>279</v>
      </c>
      <c r="D655" s="371" t="s">
        <v>228</v>
      </c>
      <c r="E655" s="371" t="s">
        <v>446</v>
      </c>
      <c r="F655" s="371"/>
      <c r="G655" s="369">
        <f>G656+G669+G676+G683+G690+G702</f>
        <v>10469.558999999999</v>
      </c>
      <c r="H655" s="21">
        <f>H656+H669+H676+H683+H690</f>
        <v>11629.4</v>
      </c>
      <c r="I655" s="21">
        <f>I656+I669+I676+I683+I690</f>
        <v>11629.4</v>
      </c>
    </row>
    <row r="656" spans="1:14" s="222" customFormat="1" ht="35.450000000000003" customHeight="1" x14ac:dyDescent="0.25">
      <c r="A656" s="370" t="s">
        <v>1027</v>
      </c>
      <c r="B656" s="291">
        <v>906</v>
      </c>
      <c r="C656" s="371" t="s">
        <v>279</v>
      </c>
      <c r="D656" s="371" t="s">
        <v>228</v>
      </c>
      <c r="E656" s="371" t="s">
        <v>1028</v>
      </c>
      <c r="F656" s="371"/>
      <c r="G656" s="369">
        <f>G657+G660+G663+G666</f>
        <v>688</v>
      </c>
      <c r="H656" s="21">
        <f t="shared" ref="H656:I656" si="299">H657+H660+H663+H666</f>
        <v>2166.1999999999998</v>
      </c>
      <c r="I656" s="21">
        <f t="shared" si="299"/>
        <v>2166.1999999999998</v>
      </c>
    </row>
    <row r="657" spans="1:9" s="222" customFormat="1" ht="35.450000000000003" hidden="1" customHeight="1" x14ac:dyDescent="0.25">
      <c r="A657" s="372" t="s">
        <v>455</v>
      </c>
      <c r="B657" s="37">
        <v>906</v>
      </c>
      <c r="C657" s="368" t="s">
        <v>279</v>
      </c>
      <c r="D657" s="368" t="s">
        <v>228</v>
      </c>
      <c r="E657" s="368" t="s">
        <v>1032</v>
      </c>
      <c r="F657" s="368"/>
      <c r="G657" s="373">
        <f>G658</f>
        <v>0</v>
      </c>
      <c r="H657" s="26">
        <f t="shared" ref="H657:I658" si="300">H658</f>
        <v>57.3</v>
      </c>
      <c r="I657" s="26">
        <f t="shared" si="300"/>
        <v>57.3</v>
      </c>
    </row>
    <row r="658" spans="1:9" s="222" customFormat="1" ht="39.75" hidden="1" customHeight="1" x14ac:dyDescent="0.25">
      <c r="A658" s="372" t="s">
        <v>287</v>
      </c>
      <c r="B658" s="37">
        <v>906</v>
      </c>
      <c r="C658" s="368" t="s">
        <v>279</v>
      </c>
      <c r="D658" s="368" t="s">
        <v>228</v>
      </c>
      <c r="E658" s="368" t="s">
        <v>1032</v>
      </c>
      <c r="F658" s="368" t="s">
        <v>288</v>
      </c>
      <c r="G658" s="373">
        <f>G659</f>
        <v>0</v>
      </c>
      <c r="H658" s="26">
        <f t="shared" si="300"/>
        <v>57.3</v>
      </c>
      <c r="I658" s="26">
        <f t="shared" si="300"/>
        <v>57.3</v>
      </c>
    </row>
    <row r="659" spans="1:9" s="222" customFormat="1" ht="18.75" hidden="1" customHeight="1" x14ac:dyDescent="0.25">
      <c r="A659" s="372" t="s">
        <v>289</v>
      </c>
      <c r="B659" s="37">
        <v>906</v>
      </c>
      <c r="C659" s="368" t="s">
        <v>279</v>
      </c>
      <c r="D659" s="368" t="s">
        <v>228</v>
      </c>
      <c r="E659" s="368" t="s">
        <v>1032</v>
      </c>
      <c r="F659" s="368" t="s">
        <v>290</v>
      </c>
      <c r="G659" s="373">
        <v>0</v>
      </c>
      <c r="H659" s="26">
        <f t="shared" ref="H659:I659" si="301">25.3+32</f>
        <v>57.3</v>
      </c>
      <c r="I659" s="26">
        <f t="shared" si="301"/>
        <v>57.3</v>
      </c>
    </row>
    <row r="660" spans="1:9" s="222" customFormat="1" ht="41.25" hidden="1" customHeight="1" x14ac:dyDescent="0.25">
      <c r="A660" s="372" t="s">
        <v>293</v>
      </c>
      <c r="B660" s="37">
        <v>906</v>
      </c>
      <c r="C660" s="368" t="s">
        <v>279</v>
      </c>
      <c r="D660" s="368" t="s">
        <v>228</v>
      </c>
      <c r="E660" s="368" t="s">
        <v>1033</v>
      </c>
      <c r="F660" s="368"/>
      <c r="G660" s="373">
        <f>G661</f>
        <v>0</v>
      </c>
      <c r="H660" s="26">
        <f t="shared" ref="H660:I661" si="302">H661</f>
        <v>1337.5</v>
      </c>
      <c r="I660" s="26">
        <f t="shared" si="302"/>
        <v>1337.5</v>
      </c>
    </row>
    <row r="661" spans="1:9" s="222" customFormat="1" ht="33" hidden="1" customHeight="1" x14ac:dyDescent="0.25">
      <c r="A661" s="372" t="s">
        <v>287</v>
      </c>
      <c r="B661" s="37">
        <v>906</v>
      </c>
      <c r="C661" s="368" t="s">
        <v>279</v>
      </c>
      <c r="D661" s="368" t="s">
        <v>228</v>
      </c>
      <c r="E661" s="368" t="s">
        <v>1033</v>
      </c>
      <c r="F661" s="368" t="s">
        <v>288</v>
      </c>
      <c r="G661" s="373">
        <f>G662</f>
        <v>0</v>
      </c>
      <c r="H661" s="26">
        <f t="shared" si="302"/>
        <v>1337.5</v>
      </c>
      <c r="I661" s="26">
        <f t="shared" si="302"/>
        <v>1337.5</v>
      </c>
    </row>
    <row r="662" spans="1:9" s="222" customFormat="1" ht="18.75" hidden="1" customHeight="1" x14ac:dyDescent="0.25">
      <c r="A662" s="372" t="s">
        <v>289</v>
      </c>
      <c r="B662" s="37">
        <v>906</v>
      </c>
      <c r="C662" s="368" t="s">
        <v>279</v>
      </c>
      <c r="D662" s="368" t="s">
        <v>228</v>
      </c>
      <c r="E662" s="368" t="s">
        <v>1033</v>
      </c>
      <c r="F662" s="368" t="s">
        <v>290</v>
      </c>
      <c r="G662" s="373">
        <v>0</v>
      </c>
      <c r="H662" s="26">
        <f t="shared" ref="H662:I662" si="303">300+100-100+700+237.5+100</f>
        <v>1337.5</v>
      </c>
      <c r="I662" s="26">
        <f t="shared" si="303"/>
        <v>1337.5</v>
      </c>
    </row>
    <row r="663" spans="1:9" s="222" customFormat="1" ht="31.7" customHeight="1" x14ac:dyDescent="0.25">
      <c r="A663" s="372" t="s">
        <v>295</v>
      </c>
      <c r="B663" s="37">
        <v>906</v>
      </c>
      <c r="C663" s="368" t="s">
        <v>279</v>
      </c>
      <c r="D663" s="368" t="s">
        <v>228</v>
      </c>
      <c r="E663" s="368" t="s">
        <v>1034</v>
      </c>
      <c r="F663" s="368"/>
      <c r="G663" s="373">
        <f>G664</f>
        <v>464</v>
      </c>
      <c r="H663" s="26">
        <f t="shared" ref="H663:I664" si="304">H664</f>
        <v>547.20000000000005</v>
      </c>
      <c r="I663" s="26">
        <f t="shared" si="304"/>
        <v>547.20000000000005</v>
      </c>
    </row>
    <row r="664" spans="1:9" s="222" customFormat="1" ht="29.25" customHeight="1" x14ac:dyDescent="0.25">
      <c r="A664" s="372" t="s">
        <v>287</v>
      </c>
      <c r="B664" s="37">
        <v>906</v>
      </c>
      <c r="C664" s="368" t="s">
        <v>279</v>
      </c>
      <c r="D664" s="368" t="s">
        <v>228</v>
      </c>
      <c r="E664" s="368" t="s">
        <v>1034</v>
      </c>
      <c r="F664" s="368" t="s">
        <v>288</v>
      </c>
      <c r="G664" s="373">
        <f>G665</f>
        <v>464</v>
      </c>
      <c r="H664" s="26">
        <f t="shared" si="304"/>
        <v>547.20000000000005</v>
      </c>
      <c r="I664" s="26">
        <f t="shared" si="304"/>
        <v>547.20000000000005</v>
      </c>
    </row>
    <row r="665" spans="1:9" s="222" customFormat="1" ht="18.75" customHeight="1" x14ac:dyDescent="0.25">
      <c r="A665" s="372" t="s">
        <v>289</v>
      </c>
      <c r="B665" s="37">
        <v>906</v>
      </c>
      <c r="C665" s="368" t="s">
        <v>279</v>
      </c>
      <c r="D665" s="368" t="s">
        <v>228</v>
      </c>
      <c r="E665" s="368" t="s">
        <v>1034</v>
      </c>
      <c r="F665" s="368" t="s">
        <v>290</v>
      </c>
      <c r="G665" s="373">
        <v>464</v>
      </c>
      <c r="H665" s="26">
        <v>547.20000000000005</v>
      </c>
      <c r="I665" s="26">
        <v>547.20000000000005</v>
      </c>
    </row>
    <row r="666" spans="1:9" s="222" customFormat="1" ht="36" customHeight="1" x14ac:dyDescent="0.25">
      <c r="A666" s="372" t="s">
        <v>297</v>
      </c>
      <c r="B666" s="37">
        <v>906</v>
      </c>
      <c r="C666" s="368" t="s">
        <v>279</v>
      </c>
      <c r="D666" s="368" t="s">
        <v>228</v>
      </c>
      <c r="E666" s="368" t="s">
        <v>1035</v>
      </c>
      <c r="F666" s="368"/>
      <c r="G666" s="373">
        <f>G667</f>
        <v>224</v>
      </c>
      <c r="H666" s="26">
        <f t="shared" ref="H666:I667" si="305">H667</f>
        <v>224.2</v>
      </c>
      <c r="I666" s="26">
        <f t="shared" si="305"/>
        <v>224.2</v>
      </c>
    </row>
    <row r="667" spans="1:9" s="222" customFormat="1" ht="39.75" customHeight="1" x14ac:dyDescent="0.25">
      <c r="A667" s="372" t="s">
        <v>287</v>
      </c>
      <c r="B667" s="37">
        <v>906</v>
      </c>
      <c r="C667" s="368" t="s">
        <v>279</v>
      </c>
      <c r="D667" s="368" t="s">
        <v>228</v>
      </c>
      <c r="E667" s="368" t="s">
        <v>1035</v>
      </c>
      <c r="F667" s="368" t="s">
        <v>288</v>
      </c>
      <c r="G667" s="373">
        <f>G668</f>
        <v>224</v>
      </c>
      <c r="H667" s="26">
        <f t="shared" si="305"/>
        <v>224.2</v>
      </c>
      <c r="I667" s="26">
        <f t="shared" si="305"/>
        <v>224.2</v>
      </c>
    </row>
    <row r="668" spans="1:9" s="222" customFormat="1" ht="18.75" customHeight="1" x14ac:dyDescent="0.25">
      <c r="A668" s="372" t="s">
        <v>289</v>
      </c>
      <c r="B668" s="37">
        <v>906</v>
      </c>
      <c r="C668" s="368" t="s">
        <v>279</v>
      </c>
      <c r="D668" s="368" t="s">
        <v>228</v>
      </c>
      <c r="E668" s="368" t="s">
        <v>1035</v>
      </c>
      <c r="F668" s="368" t="s">
        <v>290</v>
      </c>
      <c r="G668" s="373">
        <f>127-72+72+97.2-0.2</f>
        <v>224</v>
      </c>
      <c r="H668" s="26">
        <f t="shared" ref="H668:I668" si="306">127-72+72+97.2</f>
        <v>224.2</v>
      </c>
      <c r="I668" s="26">
        <f t="shared" si="306"/>
        <v>224.2</v>
      </c>
    </row>
    <row r="669" spans="1:9" s="222" customFormat="1" ht="33" customHeight="1" x14ac:dyDescent="0.25">
      <c r="A669" s="370" t="s">
        <v>1029</v>
      </c>
      <c r="B669" s="291">
        <v>906</v>
      </c>
      <c r="C669" s="371" t="s">
        <v>279</v>
      </c>
      <c r="D669" s="371" t="s">
        <v>228</v>
      </c>
      <c r="E669" s="371" t="s">
        <v>1030</v>
      </c>
      <c r="F669" s="371"/>
      <c r="G669" s="369">
        <f>G670+G673</f>
        <v>3865.2</v>
      </c>
      <c r="H669" s="21">
        <f t="shared" ref="H669:I669" si="307">H670+H673</f>
        <v>4582.8</v>
      </c>
      <c r="I669" s="21">
        <f t="shared" si="307"/>
        <v>4582.8</v>
      </c>
    </row>
    <row r="670" spans="1:9" ht="49.7" customHeight="1" x14ac:dyDescent="0.25">
      <c r="A670" s="375" t="s">
        <v>617</v>
      </c>
      <c r="B670" s="37">
        <v>906</v>
      </c>
      <c r="C670" s="368" t="s">
        <v>279</v>
      </c>
      <c r="D670" s="368" t="s">
        <v>228</v>
      </c>
      <c r="E670" s="368" t="s">
        <v>1036</v>
      </c>
      <c r="F670" s="368"/>
      <c r="G670" s="373">
        <f>G671</f>
        <v>2200</v>
      </c>
      <c r="H670" s="26">
        <f t="shared" ref="H670:I671" si="308">H671</f>
        <v>2914.2000000000003</v>
      </c>
      <c r="I670" s="26">
        <f t="shared" si="308"/>
        <v>2914.2000000000003</v>
      </c>
    </row>
    <row r="671" spans="1:9" ht="31.5" x14ac:dyDescent="0.25">
      <c r="A671" s="372" t="s">
        <v>287</v>
      </c>
      <c r="B671" s="37">
        <v>906</v>
      </c>
      <c r="C671" s="368" t="s">
        <v>279</v>
      </c>
      <c r="D671" s="368" t="s">
        <v>228</v>
      </c>
      <c r="E671" s="368" t="s">
        <v>1036</v>
      </c>
      <c r="F671" s="368" t="s">
        <v>288</v>
      </c>
      <c r="G671" s="373">
        <f>G672</f>
        <v>2200</v>
      </c>
      <c r="H671" s="26">
        <f t="shared" si="308"/>
        <v>2914.2000000000003</v>
      </c>
      <c r="I671" s="26">
        <f t="shared" si="308"/>
        <v>2914.2000000000003</v>
      </c>
    </row>
    <row r="672" spans="1:9" ht="15.75" x14ac:dyDescent="0.25">
      <c r="A672" s="372" t="s">
        <v>289</v>
      </c>
      <c r="B672" s="37">
        <v>906</v>
      </c>
      <c r="C672" s="368" t="s">
        <v>279</v>
      </c>
      <c r="D672" s="368" t="s">
        <v>228</v>
      </c>
      <c r="E672" s="368" t="s">
        <v>1036</v>
      </c>
      <c r="F672" s="368" t="s">
        <v>290</v>
      </c>
      <c r="G672" s="374">
        <v>2200</v>
      </c>
      <c r="H672" s="27">
        <f t="shared" ref="H672:I672" si="309">2967.9-53.7</f>
        <v>2914.2000000000003</v>
      </c>
      <c r="I672" s="27">
        <f t="shared" si="309"/>
        <v>2914.2000000000003</v>
      </c>
    </row>
    <row r="673" spans="1:9" s="222" customFormat="1" ht="31.5" x14ac:dyDescent="0.25">
      <c r="A673" s="372" t="s">
        <v>471</v>
      </c>
      <c r="B673" s="37">
        <v>906</v>
      </c>
      <c r="C673" s="368" t="s">
        <v>279</v>
      </c>
      <c r="D673" s="368" t="s">
        <v>228</v>
      </c>
      <c r="E673" s="368" t="s">
        <v>1037</v>
      </c>
      <c r="F673" s="368"/>
      <c r="G673" s="373">
        <f>G674</f>
        <v>1665.2</v>
      </c>
      <c r="H673" s="26">
        <f t="shared" ref="H673:I674" si="310">H674</f>
        <v>1668.6</v>
      </c>
      <c r="I673" s="26">
        <f t="shared" si="310"/>
        <v>1668.6</v>
      </c>
    </row>
    <row r="674" spans="1:9" s="222" customFormat="1" ht="31.5" x14ac:dyDescent="0.25">
      <c r="A674" s="372" t="s">
        <v>287</v>
      </c>
      <c r="B674" s="37">
        <v>906</v>
      </c>
      <c r="C674" s="368" t="s">
        <v>279</v>
      </c>
      <c r="D674" s="368" t="s">
        <v>228</v>
      </c>
      <c r="E674" s="368" t="s">
        <v>1037</v>
      </c>
      <c r="F674" s="368" t="s">
        <v>288</v>
      </c>
      <c r="G674" s="373">
        <f>G675</f>
        <v>1665.2</v>
      </c>
      <c r="H674" s="26">
        <f t="shared" si="310"/>
        <v>1668.6</v>
      </c>
      <c r="I674" s="26">
        <f t="shared" si="310"/>
        <v>1668.6</v>
      </c>
    </row>
    <row r="675" spans="1:9" s="222" customFormat="1" ht="15.75" x14ac:dyDescent="0.25">
      <c r="A675" s="372" t="s">
        <v>289</v>
      </c>
      <c r="B675" s="37">
        <v>906</v>
      </c>
      <c r="C675" s="368" t="s">
        <v>279</v>
      </c>
      <c r="D675" s="368" t="s">
        <v>228</v>
      </c>
      <c r="E675" s="368" t="s">
        <v>1037</v>
      </c>
      <c r="F675" s="368" t="s">
        <v>290</v>
      </c>
      <c r="G675" s="374">
        <f>1740-74.8</f>
        <v>1665.2</v>
      </c>
      <c r="H675" s="27">
        <f t="shared" ref="H675:I675" si="311">1317.5+351.1</f>
        <v>1668.6</v>
      </c>
      <c r="I675" s="27">
        <f t="shared" si="311"/>
        <v>1668.6</v>
      </c>
    </row>
    <row r="676" spans="1:9" s="222" customFormat="1" ht="34.5" customHeight="1" x14ac:dyDescent="0.25">
      <c r="A676" s="370" t="s">
        <v>1031</v>
      </c>
      <c r="B676" s="291">
        <v>906</v>
      </c>
      <c r="C676" s="371" t="s">
        <v>279</v>
      </c>
      <c r="D676" s="371" t="s">
        <v>228</v>
      </c>
      <c r="E676" s="371" t="s">
        <v>1038</v>
      </c>
      <c r="F676" s="371"/>
      <c r="G676" s="44">
        <f>G677+G680</f>
        <v>1364.7</v>
      </c>
      <c r="H676" s="44">
        <f t="shared" ref="H676:I676" si="312">H677+H680</f>
        <v>912.7</v>
      </c>
      <c r="I676" s="44">
        <f t="shared" si="312"/>
        <v>912.7</v>
      </c>
    </row>
    <row r="677" spans="1:9" ht="47.25" x14ac:dyDescent="0.25">
      <c r="A677" s="372" t="s">
        <v>453</v>
      </c>
      <c r="B677" s="37">
        <v>906</v>
      </c>
      <c r="C677" s="368" t="s">
        <v>279</v>
      </c>
      <c r="D677" s="368" t="s">
        <v>228</v>
      </c>
      <c r="E677" s="368" t="s">
        <v>1039</v>
      </c>
      <c r="F677" s="368"/>
      <c r="G677" s="373">
        <f>G678</f>
        <v>868</v>
      </c>
      <c r="H677" s="26">
        <f t="shared" ref="H677:I678" si="313">H678</f>
        <v>416</v>
      </c>
      <c r="I677" s="26">
        <f t="shared" si="313"/>
        <v>416</v>
      </c>
    </row>
    <row r="678" spans="1:9" ht="31.5" x14ac:dyDescent="0.25">
      <c r="A678" s="372" t="s">
        <v>287</v>
      </c>
      <c r="B678" s="37">
        <v>906</v>
      </c>
      <c r="C678" s="368" t="s">
        <v>279</v>
      </c>
      <c r="D678" s="368" t="s">
        <v>228</v>
      </c>
      <c r="E678" s="368" t="s">
        <v>1039</v>
      </c>
      <c r="F678" s="368" t="s">
        <v>288</v>
      </c>
      <c r="G678" s="373">
        <f>G679</f>
        <v>868</v>
      </c>
      <c r="H678" s="26">
        <f t="shared" si="313"/>
        <v>416</v>
      </c>
      <c r="I678" s="26">
        <f t="shared" si="313"/>
        <v>416</v>
      </c>
    </row>
    <row r="679" spans="1:9" ht="15.75" x14ac:dyDescent="0.25">
      <c r="A679" s="372" t="s">
        <v>289</v>
      </c>
      <c r="B679" s="37">
        <v>906</v>
      </c>
      <c r="C679" s="368" t="s">
        <v>279</v>
      </c>
      <c r="D679" s="368" t="s">
        <v>228</v>
      </c>
      <c r="E679" s="368" t="s">
        <v>1039</v>
      </c>
      <c r="F679" s="368" t="s">
        <v>290</v>
      </c>
      <c r="G679" s="373">
        <v>868</v>
      </c>
      <c r="H679" s="26">
        <f t="shared" ref="H679:I679" si="314">320+96</f>
        <v>416</v>
      </c>
      <c r="I679" s="26">
        <f t="shared" si="314"/>
        <v>416</v>
      </c>
    </row>
    <row r="680" spans="1:9" s="222" customFormat="1" ht="31.5" x14ac:dyDescent="0.25">
      <c r="A680" s="372" t="s">
        <v>473</v>
      </c>
      <c r="B680" s="37">
        <v>906</v>
      </c>
      <c r="C680" s="368" t="s">
        <v>279</v>
      </c>
      <c r="D680" s="368" t="s">
        <v>228</v>
      </c>
      <c r="E680" s="368" t="s">
        <v>1040</v>
      </c>
      <c r="F680" s="368"/>
      <c r="G680" s="374">
        <f>G681</f>
        <v>496.7</v>
      </c>
      <c r="H680" s="27">
        <f>H681</f>
        <v>496.7</v>
      </c>
      <c r="I680" s="27">
        <f>I681</f>
        <v>496.7</v>
      </c>
    </row>
    <row r="681" spans="1:9" s="222" customFormat="1" ht="31.5" x14ac:dyDescent="0.25">
      <c r="A681" s="289" t="s">
        <v>287</v>
      </c>
      <c r="B681" s="366">
        <v>906</v>
      </c>
      <c r="C681" s="368" t="s">
        <v>279</v>
      </c>
      <c r="D681" s="368" t="s">
        <v>228</v>
      </c>
      <c r="E681" s="368" t="s">
        <v>1040</v>
      </c>
      <c r="F681" s="368" t="s">
        <v>288</v>
      </c>
      <c r="G681" s="374">
        <f>G682</f>
        <v>496.7</v>
      </c>
      <c r="H681" s="27">
        <f t="shared" ref="H681:I681" si="315">H682</f>
        <v>496.7</v>
      </c>
      <c r="I681" s="27">
        <f t="shared" si="315"/>
        <v>496.7</v>
      </c>
    </row>
    <row r="682" spans="1:9" s="222" customFormat="1" ht="15.75" x14ac:dyDescent="0.25">
      <c r="A682" s="372" t="s">
        <v>289</v>
      </c>
      <c r="B682" s="366">
        <v>906</v>
      </c>
      <c r="C682" s="368" t="s">
        <v>279</v>
      </c>
      <c r="D682" s="368" t="s">
        <v>228</v>
      </c>
      <c r="E682" s="368" t="s">
        <v>1040</v>
      </c>
      <c r="F682" s="368" t="s">
        <v>290</v>
      </c>
      <c r="G682" s="374">
        <f>733.5-244.8+8</f>
        <v>496.7</v>
      </c>
      <c r="H682" s="27">
        <f t="shared" ref="H682:I682" si="316">733.5-244.8+8</f>
        <v>496.7</v>
      </c>
      <c r="I682" s="27">
        <f t="shared" si="316"/>
        <v>496.7</v>
      </c>
    </row>
    <row r="683" spans="1:9" s="222" customFormat="1" ht="31.5" x14ac:dyDescent="0.25">
      <c r="A683" s="246" t="s">
        <v>1075</v>
      </c>
      <c r="B683" s="367">
        <v>906</v>
      </c>
      <c r="C683" s="371" t="s">
        <v>279</v>
      </c>
      <c r="D683" s="371" t="s">
        <v>228</v>
      </c>
      <c r="E683" s="371" t="s">
        <v>1041</v>
      </c>
      <c r="F683" s="371"/>
      <c r="G683" s="44">
        <f>G684+G687</f>
        <v>2634</v>
      </c>
      <c r="H683" s="44">
        <f t="shared" ref="H683:I683" si="317">H684+H687</f>
        <v>3346.1</v>
      </c>
      <c r="I683" s="44">
        <f t="shared" si="317"/>
        <v>3346.1</v>
      </c>
    </row>
    <row r="684" spans="1:9" ht="31.5" hidden="1" x14ac:dyDescent="0.25">
      <c r="A684" s="372" t="s">
        <v>815</v>
      </c>
      <c r="B684" s="366">
        <v>906</v>
      </c>
      <c r="C684" s="368" t="s">
        <v>279</v>
      </c>
      <c r="D684" s="368" t="s">
        <v>228</v>
      </c>
      <c r="E684" s="368" t="s">
        <v>1043</v>
      </c>
      <c r="F684" s="368"/>
      <c r="G684" s="373">
        <f>G685</f>
        <v>0</v>
      </c>
      <c r="H684" s="26">
        <f t="shared" ref="H684:I685" si="318">H685</f>
        <v>712.1</v>
      </c>
      <c r="I684" s="26">
        <f t="shared" si="318"/>
        <v>712.1</v>
      </c>
    </row>
    <row r="685" spans="1:9" ht="31.5" hidden="1" x14ac:dyDescent="0.25">
      <c r="A685" s="372" t="s">
        <v>287</v>
      </c>
      <c r="B685" s="366">
        <v>906</v>
      </c>
      <c r="C685" s="368" t="s">
        <v>279</v>
      </c>
      <c r="D685" s="368" t="s">
        <v>228</v>
      </c>
      <c r="E685" s="368" t="s">
        <v>1043</v>
      </c>
      <c r="F685" s="368" t="s">
        <v>288</v>
      </c>
      <c r="G685" s="373">
        <f>G686</f>
        <v>0</v>
      </c>
      <c r="H685" s="26">
        <f t="shared" si="318"/>
        <v>712.1</v>
      </c>
      <c r="I685" s="26">
        <f t="shared" si="318"/>
        <v>712.1</v>
      </c>
    </row>
    <row r="686" spans="1:9" ht="15.75" hidden="1" x14ac:dyDescent="0.25">
      <c r="A686" s="372" t="s">
        <v>289</v>
      </c>
      <c r="B686" s="366">
        <v>906</v>
      </c>
      <c r="C686" s="368" t="s">
        <v>279</v>
      </c>
      <c r="D686" s="368" t="s">
        <v>228</v>
      </c>
      <c r="E686" s="368" t="s">
        <v>1043</v>
      </c>
      <c r="F686" s="368" t="s">
        <v>290</v>
      </c>
      <c r="G686" s="373">
        <v>0</v>
      </c>
      <c r="H686" s="26">
        <v>712.1</v>
      </c>
      <c r="I686" s="26">
        <v>712.1</v>
      </c>
    </row>
    <row r="687" spans="1:9" ht="38.25" customHeight="1" x14ac:dyDescent="0.25">
      <c r="A687" s="60" t="s">
        <v>785</v>
      </c>
      <c r="B687" s="366">
        <v>906</v>
      </c>
      <c r="C687" s="368" t="s">
        <v>279</v>
      </c>
      <c r="D687" s="368" t="s">
        <v>228</v>
      </c>
      <c r="E687" s="368" t="s">
        <v>1044</v>
      </c>
      <c r="F687" s="368"/>
      <c r="G687" s="373">
        <f>G688</f>
        <v>2634</v>
      </c>
      <c r="H687" s="26">
        <f t="shared" ref="H687:I688" si="319">H688</f>
        <v>2634</v>
      </c>
      <c r="I687" s="26">
        <f t="shared" si="319"/>
        <v>2634</v>
      </c>
    </row>
    <row r="688" spans="1:9" ht="31.5" x14ac:dyDescent="0.25">
      <c r="A688" s="375" t="s">
        <v>287</v>
      </c>
      <c r="B688" s="366">
        <v>906</v>
      </c>
      <c r="C688" s="368" t="s">
        <v>279</v>
      </c>
      <c r="D688" s="368" t="s">
        <v>228</v>
      </c>
      <c r="E688" s="368" t="s">
        <v>1044</v>
      </c>
      <c r="F688" s="368" t="s">
        <v>288</v>
      </c>
      <c r="G688" s="373">
        <f>G689</f>
        <v>2634</v>
      </c>
      <c r="H688" s="26">
        <f t="shared" si="319"/>
        <v>2634</v>
      </c>
      <c r="I688" s="26">
        <f t="shared" si="319"/>
        <v>2634</v>
      </c>
    </row>
    <row r="689" spans="1:9" ht="15.75" x14ac:dyDescent="0.25">
      <c r="A689" s="193" t="s">
        <v>289</v>
      </c>
      <c r="B689" s="366">
        <v>906</v>
      </c>
      <c r="C689" s="368" t="s">
        <v>279</v>
      </c>
      <c r="D689" s="368" t="s">
        <v>228</v>
      </c>
      <c r="E689" s="368" t="s">
        <v>1044</v>
      </c>
      <c r="F689" s="368" t="s">
        <v>290</v>
      </c>
      <c r="G689" s="373">
        <f>2634</f>
        <v>2634</v>
      </c>
      <c r="H689" s="26">
        <f>2634</f>
        <v>2634</v>
      </c>
      <c r="I689" s="26">
        <f>2634</f>
        <v>2634</v>
      </c>
    </row>
    <row r="690" spans="1:9" s="222" customFormat="1" ht="31.5" x14ac:dyDescent="0.25">
      <c r="A690" s="244" t="s">
        <v>1046</v>
      </c>
      <c r="B690" s="367">
        <v>906</v>
      </c>
      <c r="C690" s="371" t="s">
        <v>279</v>
      </c>
      <c r="D690" s="371" t="s">
        <v>228</v>
      </c>
      <c r="E690" s="371" t="s">
        <v>1042</v>
      </c>
      <c r="F690" s="371"/>
      <c r="G690" s="369">
        <f>G691+G694</f>
        <v>752.8</v>
      </c>
      <c r="H690" s="21">
        <f t="shared" ref="H690:I692" si="320">H691</f>
        <v>621.6</v>
      </c>
      <c r="I690" s="21">
        <f t="shared" si="320"/>
        <v>621.6</v>
      </c>
    </row>
    <row r="691" spans="1:9" s="222" customFormat="1" ht="47.25" x14ac:dyDescent="0.25">
      <c r="A691" s="193" t="s">
        <v>872</v>
      </c>
      <c r="B691" s="366">
        <v>906</v>
      </c>
      <c r="C691" s="368" t="s">
        <v>279</v>
      </c>
      <c r="D691" s="368" t="s">
        <v>228</v>
      </c>
      <c r="E691" s="368" t="s">
        <v>1521</v>
      </c>
      <c r="F691" s="368"/>
      <c r="G691" s="373">
        <f>G692</f>
        <v>678</v>
      </c>
      <c r="H691" s="26">
        <f t="shared" si="320"/>
        <v>621.6</v>
      </c>
      <c r="I691" s="26">
        <f t="shared" si="320"/>
        <v>621.6</v>
      </c>
    </row>
    <row r="692" spans="1:9" s="222" customFormat="1" ht="31.5" x14ac:dyDescent="0.25">
      <c r="A692" s="31" t="s">
        <v>287</v>
      </c>
      <c r="B692" s="366">
        <v>906</v>
      </c>
      <c r="C692" s="368" t="s">
        <v>279</v>
      </c>
      <c r="D692" s="368" t="s">
        <v>228</v>
      </c>
      <c r="E692" s="368" t="s">
        <v>1521</v>
      </c>
      <c r="F692" s="368" t="s">
        <v>288</v>
      </c>
      <c r="G692" s="373">
        <f>G693</f>
        <v>678</v>
      </c>
      <c r="H692" s="26">
        <f t="shared" si="320"/>
        <v>621.6</v>
      </c>
      <c r="I692" s="26">
        <f t="shared" si="320"/>
        <v>621.6</v>
      </c>
    </row>
    <row r="693" spans="1:9" s="222" customFormat="1" ht="15.75" x14ac:dyDescent="0.25">
      <c r="A693" s="31" t="s">
        <v>289</v>
      </c>
      <c r="B693" s="366">
        <v>906</v>
      </c>
      <c r="C693" s="368" t="s">
        <v>279</v>
      </c>
      <c r="D693" s="368" t="s">
        <v>228</v>
      </c>
      <c r="E693" s="368" t="s">
        <v>1521</v>
      </c>
      <c r="F693" s="368" t="s">
        <v>290</v>
      </c>
      <c r="G693" s="373">
        <f>678</f>
        <v>678</v>
      </c>
      <c r="H693" s="26">
        <v>621.6</v>
      </c>
      <c r="I693" s="26">
        <v>621.6</v>
      </c>
    </row>
    <row r="694" spans="1:9" s="362" customFormat="1" ht="31.5" x14ac:dyDescent="0.25">
      <c r="A694" s="31" t="s">
        <v>1520</v>
      </c>
      <c r="B694" s="366">
        <v>906</v>
      </c>
      <c r="C694" s="368" t="s">
        <v>279</v>
      </c>
      <c r="D694" s="368" t="s">
        <v>228</v>
      </c>
      <c r="E694" s="368" t="s">
        <v>1522</v>
      </c>
      <c r="F694" s="368"/>
      <c r="G694" s="373">
        <f>G695</f>
        <v>74.8</v>
      </c>
      <c r="H694" s="373"/>
      <c r="I694" s="373"/>
    </row>
    <row r="695" spans="1:9" s="362" customFormat="1" ht="31.5" x14ac:dyDescent="0.25">
      <c r="A695" s="31" t="s">
        <v>287</v>
      </c>
      <c r="B695" s="366">
        <v>906</v>
      </c>
      <c r="C695" s="368" t="s">
        <v>279</v>
      </c>
      <c r="D695" s="368" t="s">
        <v>228</v>
      </c>
      <c r="E695" s="368" t="s">
        <v>1522</v>
      </c>
      <c r="F695" s="368" t="s">
        <v>288</v>
      </c>
      <c r="G695" s="373">
        <f>G696</f>
        <v>74.8</v>
      </c>
      <c r="H695" s="373"/>
      <c r="I695" s="373"/>
    </row>
    <row r="696" spans="1:9" s="362" customFormat="1" ht="15.75" x14ac:dyDescent="0.25">
      <c r="A696" s="31" t="s">
        <v>289</v>
      </c>
      <c r="B696" s="366">
        <v>906</v>
      </c>
      <c r="C696" s="368" t="s">
        <v>279</v>
      </c>
      <c r="D696" s="368" t="s">
        <v>228</v>
      </c>
      <c r="E696" s="368" t="s">
        <v>1522</v>
      </c>
      <c r="F696" s="368" t="s">
        <v>290</v>
      </c>
      <c r="G696" s="373">
        <v>74.8</v>
      </c>
      <c r="H696" s="373"/>
      <c r="I696" s="373"/>
    </row>
    <row r="697" spans="1:9" ht="47.25" x14ac:dyDescent="0.25">
      <c r="A697" s="34" t="s">
        <v>803</v>
      </c>
      <c r="B697" s="367">
        <v>906</v>
      </c>
      <c r="C697" s="371" t="s">
        <v>279</v>
      </c>
      <c r="D697" s="371" t="s">
        <v>228</v>
      </c>
      <c r="E697" s="371" t="s">
        <v>339</v>
      </c>
      <c r="F697" s="371"/>
      <c r="G697" s="369">
        <f>G698</f>
        <v>150</v>
      </c>
      <c r="H697" s="21">
        <f t="shared" ref="H697:I700" si="321">H698</f>
        <v>150</v>
      </c>
      <c r="I697" s="21">
        <f t="shared" si="321"/>
        <v>150</v>
      </c>
    </row>
    <row r="698" spans="1:9" s="222" customFormat="1" ht="47.25" x14ac:dyDescent="0.25">
      <c r="A698" s="34" t="s">
        <v>1188</v>
      </c>
      <c r="B698" s="367">
        <v>906</v>
      </c>
      <c r="C698" s="371" t="s">
        <v>279</v>
      </c>
      <c r="D698" s="371" t="s">
        <v>228</v>
      </c>
      <c r="E698" s="371" t="s">
        <v>1023</v>
      </c>
      <c r="F698" s="371"/>
      <c r="G698" s="369">
        <f>G699</f>
        <v>150</v>
      </c>
      <c r="H698" s="21">
        <f t="shared" si="321"/>
        <v>150</v>
      </c>
      <c r="I698" s="21">
        <f t="shared" si="321"/>
        <v>150</v>
      </c>
    </row>
    <row r="699" spans="1:9" ht="47.25" x14ac:dyDescent="0.25">
      <c r="A699" s="31" t="s">
        <v>1274</v>
      </c>
      <c r="B699" s="366">
        <v>906</v>
      </c>
      <c r="C699" s="368" t="s">
        <v>279</v>
      </c>
      <c r="D699" s="368" t="s">
        <v>228</v>
      </c>
      <c r="E699" s="368" t="s">
        <v>1024</v>
      </c>
      <c r="F699" s="368"/>
      <c r="G699" s="373">
        <f>G700</f>
        <v>150</v>
      </c>
      <c r="H699" s="26">
        <f t="shared" si="321"/>
        <v>150</v>
      </c>
      <c r="I699" s="26">
        <f t="shared" si="321"/>
        <v>150</v>
      </c>
    </row>
    <row r="700" spans="1:9" ht="31.5" x14ac:dyDescent="0.25">
      <c r="A700" s="31" t="s">
        <v>287</v>
      </c>
      <c r="B700" s="366">
        <v>906</v>
      </c>
      <c r="C700" s="368" t="s">
        <v>279</v>
      </c>
      <c r="D700" s="368" t="s">
        <v>228</v>
      </c>
      <c r="E700" s="368" t="s">
        <v>1024</v>
      </c>
      <c r="F700" s="368" t="s">
        <v>288</v>
      </c>
      <c r="G700" s="373">
        <f>G701</f>
        <v>150</v>
      </c>
      <c r="H700" s="26">
        <f t="shared" si="321"/>
        <v>150</v>
      </c>
      <c r="I700" s="26">
        <f t="shared" si="321"/>
        <v>150</v>
      </c>
    </row>
    <row r="701" spans="1:9" ht="15.75" x14ac:dyDescent="0.25">
      <c r="A701" s="31" t="s">
        <v>289</v>
      </c>
      <c r="B701" s="366">
        <v>906</v>
      </c>
      <c r="C701" s="368" t="s">
        <v>279</v>
      </c>
      <c r="D701" s="368" t="s">
        <v>228</v>
      </c>
      <c r="E701" s="368" t="s">
        <v>1024</v>
      </c>
      <c r="F701" s="368" t="s">
        <v>290</v>
      </c>
      <c r="G701" s="373">
        <v>150</v>
      </c>
      <c r="H701" s="26">
        <v>150</v>
      </c>
      <c r="I701" s="26">
        <v>150</v>
      </c>
    </row>
    <row r="702" spans="1:9" s="222" customFormat="1" ht="44.45" customHeight="1" x14ac:dyDescent="0.25">
      <c r="A702" s="244" t="s">
        <v>1418</v>
      </c>
      <c r="B702" s="367">
        <v>906</v>
      </c>
      <c r="C702" s="371" t="s">
        <v>279</v>
      </c>
      <c r="D702" s="371" t="s">
        <v>228</v>
      </c>
      <c r="E702" s="371" t="s">
        <v>1416</v>
      </c>
      <c r="F702" s="371"/>
      <c r="G702" s="369">
        <f>G703</f>
        <v>1164.8589999999999</v>
      </c>
      <c r="H702" s="26"/>
      <c r="I702" s="26"/>
    </row>
    <row r="703" spans="1:9" s="222" customFormat="1" ht="47.25" x14ac:dyDescent="0.25">
      <c r="A703" s="193" t="s">
        <v>1457</v>
      </c>
      <c r="B703" s="366">
        <v>906</v>
      </c>
      <c r="C703" s="368" t="s">
        <v>279</v>
      </c>
      <c r="D703" s="368" t="s">
        <v>228</v>
      </c>
      <c r="E703" s="368" t="s">
        <v>1417</v>
      </c>
      <c r="F703" s="368"/>
      <c r="G703" s="373">
        <f>G704</f>
        <v>1164.8589999999999</v>
      </c>
      <c r="H703" s="26"/>
      <c r="I703" s="26"/>
    </row>
    <row r="704" spans="1:9" s="222" customFormat="1" ht="31.5" x14ac:dyDescent="0.25">
      <c r="A704" s="31" t="s">
        <v>287</v>
      </c>
      <c r="B704" s="366">
        <v>906</v>
      </c>
      <c r="C704" s="368" t="s">
        <v>279</v>
      </c>
      <c r="D704" s="368" t="s">
        <v>228</v>
      </c>
      <c r="E704" s="368" t="s">
        <v>1417</v>
      </c>
      <c r="F704" s="368" t="s">
        <v>288</v>
      </c>
      <c r="G704" s="373">
        <f>G705</f>
        <v>1164.8589999999999</v>
      </c>
      <c r="H704" s="26"/>
      <c r="I704" s="26"/>
    </row>
    <row r="705" spans="1:9" s="222" customFormat="1" ht="15.75" x14ac:dyDescent="0.25">
      <c r="A705" s="31" t="s">
        <v>289</v>
      </c>
      <c r="B705" s="366">
        <v>906</v>
      </c>
      <c r="C705" s="368" t="s">
        <v>279</v>
      </c>
      <c r="D705" s="368" t="s">
        <v>228</v>
      </c>
      <c r="E705" s="368" t="s">
        <v>1417</v>
      </c>
      <c r="F705" s="368" t="s">
        <v>290</v>
      </c>
      <c r="G705" s="373">
        <f>1117.1+10+37.759</f>
        <v>1164.8589999999999</v>
      </c>
      <c r="H705" s="26"/>
      <c r="I705" s="26"/>
    </row>
    <row r="706" spans="1:9" ht="47.25" x14ac:dyDescent="0.25">
      <c r="A706" s="41" t="s">
        <v>1177</v>
      </c>
      <c r="B706" s="367">
        <v>906</v>
      </c>
      <c r="C706" s="371" t="s">
        <v>279</v>
      </c>
      <c r="D706" s="371" t="s">
        <v>228</v>
      </c>
      <c r="E706" s="371" t="s">
        <v>726</v>
      </c>
      <c r="F706" s="250"/>
      <c r="G706" s="369">
        <f>G707</f>
        <v>723.3</v>
      </c>
      <c r="H706" s="21">
        <f t="shared" ref="H706:I709" si="322">H707</f>
        <v>723.3</v>
      </c>
      <c r="I706" s="21">
        <f t="shared" si="322"/>
        <v>723.3</v>
      </c>
    </row>
    <row r="707" spans="1:9" s="222" customFormat="1" ht="47.25" x14ac:dyDescent="0.25">
      <c r="A707" s="41" t="s">
        <v>947</v>
      </c>
      <c r="B707" s="367">
        <v>906</v>
      </c>
      <c r="C707" s="371" t="s">
        <v>279</v>
      </c>
      <c r="D707" s="371" t="s">
        <v>228</v>
      </c>
      <c r="E707" s="371" t="s">
        <v>945</v>
      </c>
      <c r="F707" s="250"/>
      <c r="G707" s="369">
        <f>G708</f>
        <v>723.3</v>
      </c>
      <c r="H707" s="21">
        <f t="shared" si="322"/>
        <v>723.3</v>
      </c>
      <c r="I707" s="21">
        <f t="shared" si="322"/>
        <v>723.3</v>
      </c>
    </row>
    <row r="708" spans="1:9" ht="35.450000000000003" customHeight="1" x14ac:dyDescent="0.25">
      <c r="A708" s="99" t="s">
        <v>801</v>
      </c>
      <c r="B708" s="366">
        <v>906</v>
      </c>
      <c r="C708" s="368" t="s">
        <v>279</v>
      </c>
      <c r="D708" s="368" t="s">
        <v>228</v>
      </c>
      <c r="E708" s="368" t="s">
        <v>1025</v>
      </c>
      <c r="F708" s="32"/>
      <c r="G708" s="373">
        <f>G709</f>
        <v>723.3</v>
      </c>
      <c r="H708" s="26">
        <f t="shared" si="322"/>
        <v>723.3</v>
      </c>
      <c r="I708" s="26">
        <f t="shared" si="322"/>
        <v>723.3</v>
      </c>
    </row>
    <row r="709" spans="1:9" ht="39.75" customHeight="1" x14ac:dyDescent="0.25">
      <c r="A709" s="375" t="s">
        <v>287</v>
      </c>
      <c r="B709" s="366">
        <v>906</v>
      </c>
      <c r="C709" s="368" t="s">
        <v>279</v>
      </c>
      <c r="D709" s="368" t="s">
        <v>228</v>
      </c>
      <c r="E709" s="368" t="s">
        <v>1025</v>
      </c>
      <c r="F709" s="32" t="s">
        <v>288</v>
      </c>
      <c r="G709" s="373">
        <f>G710</f>
        <v>723.3</v>
      </c>
      <c r="H709" s="26">
        <f t="shared" si="322"/>
        <v>723.3</v>
      </c>
      <c r="I709" s="26">
        <f t="shared" si="322"/>
        <v>723.3</v>
      </c>
    </row>
    <row r="710" spans="1:9" ht="15.75" x14ac:dyDescent="0.25">
      <c r="A710" s="193" t="s">
        <v>289</v>
      </c>
      <c r="B710" s="366">
        <v>906</v>
      </c>
      <c r="C710" s="368" t="s">
        <v>279</v>
      </c>
      <c r="D710" s="368" t="s">
        <v>228</v>
      </c>
      <c r="E710" s="368" t="s">
        <v>1025</v>
      </c>
      <c r="F710" s="32" t="s">
        <v>290</v>
      </c>
      <c r="G710" s="373">
        <f>723.3</f>
        <v>723.3</v>
      </c>
      <c r="H710" s="26">
        <v>723.3</v>
      </c>
      <c r="I710" s="26">
        <v>723.3</v>
      </c>
    </row>
    <row r="711" spans="1:9" ht="15.75" x14ac:dyDescent="0.25">
      <c r="A711" s="370" t="s">
        <v>280</v>
      </c>
      <c r="B711" s="367">
        <v>906</v>
      </c>
      <c r="C711" s="371" t="s">
        <v>279</v>
      </c>
      <c r="D711" s="371" t="s">
        <v>230</v>
      </c>
      <c r="E711" s="371"/>
      <c r="F711" s="371"/>
      <c r="G711" s="44">
        <f>G712+G740</f>
        <v>35226.899999999994</v>
      </c>
      <c r="H711" s="44">
        <f>H712+H740</f>
        <v>33300.5</v>
      </c>
      <c r="I711" s="44">
        <f>I712+I740</f>
        <v>33300.5</v>
      </c>
    </row>
    <row r="712" spans="1:9" ht="54" customHeight="1" x14ac:dyDescent="0.25">
      <c r="A712" s="370" t="s">
        <v>441</v>
      </c>
      <c r="B712" s="367">
        <v>906</v>
      </c>
      <c r="C712" s="371" t="s">
        <v>279</v>
      </c>
      <c r="D712" s="371" t="s">
        <v>230</v>
      </c>
      <c r="E712" s="371" t="s">
        <v>421</v>
      </c>
      <c r="F712" s="371"/>
      <c r="G712" s="44">
        <f>G713+G731</f>
        <v>34926.199999999997</v>
      </c>
      <c r="H712" s="44">
        <f>H713+H731</f>
        <v>32999.800000000003</v>
      </c>
      <c r="I712" s="44">
        <f>I713+I731</f>
        <v>32999.800000000003</v>
      </c>
    </row>
    <row r="713" spans="1:9" ht="36.75" customHeight="1" x14ac:dyDescent="0.25">
      <c r="A713" s="370" t="s">
        <v>422</v>
      </c>
      <c r="B713" s="367">
        <v>906</v>
      </c>
      <c r="C713" s="371" t="s">
        <v>279</v>
      </c>
      <c r="D713" s="371" t="s">
        <v>230</v>
      </c>
      <c r="E713" s="371" t="s">
        <v>423</v>
      </c>
      <c r="F713" s="371"/>
      <c r="G713" s="44">
        <f>G715+G718</f>
        <v>34237.199999999997</v>
      </c>
      <c r="H713" s="44">
        <f t="shared" ref="H713:I713" si="323">H715+H718</f>
        <v>32310.799999999999</v>
      </c>
      <c r="I713" s="44">
        <f t="shared" si="323"/>
        <v>32310.799999999999</v>
      </c>
    </row>
    <row r="714" spans="1:9" s="222" customFormat="1" ht="36.75" customHeight="1" x14ac:dyDescent="0.25">
      <c r="A714" s="370" t="s">
        <v>1026</v>
      </c>
      <c r="B714" s="367">
        <v>906</v>
      </c>
      <c r="C714" s="371" t="s">
        <v>279</v>
      </c>
      <c r="D714" s="371" t="s">
        <v>230</v>
      </c>
      <c r="E714" s="371" t="s">
        <v>1004</v>
      </c>
      <c r="F714" s="371"/>
      <c r="G714" s="44">
        <f>G715</f>
        <v>32614.999999999996</v>
      </c>
      <c r="H714" s="44">
        <f t="shared" ref="H714:I716" si="324">H715</f>
        <v>30768.399999999998</v>
      </c>
      <c r="I714" s="44">
        <f t="shared" si="324"/>
        <v>30768.399999999998</v>
      </c>
    </row>
    <row r="715" spans="1:9" ht="31.5" x14ac:dyDescent="0.25">
      <c r="A715" s="372" t="s">
        <v>285</v>
      </c>
      <c r="B715" s="366">
        <v>906</v>
      </c>
      <c r="C715" s="368" t="s">
        <v>279</v>
      </c>
      <c r="D715" s="368" t="s">
        <v>230</v>
      </c>
      <c r="E715" s="368" t="s">
        <v>1049</v>
      </c>
      <c r="F715" s="368"/>
      <c r="G715" s="374">
        <f>G716</f>
        <v>32614.999999999996</v>
      </c>
      <c r="H715" s="27">
        <f t="shared" si="324"/>
        <v>30768.399999999998</v>
      </c>
      <c r="I715" s="27">
        <f t="shared" si="324"/>
        <v>30768.399999999998</v>
      </c>
    </row>
    <row r="716" spans="1:9" ht="36.75" customHeight="1" x14ac:dyDescent="0.25">
      <c r="A716" s="372" t="s">
        <v>287</v>
      </c>
      <c r="B716" s="366">
        <v>906</v>
      </c>
      <c r="C716" s="368" t="s">
        <v>279</v>
      </c>
      <c r="D716" s="368" t="s">
        <v>230</v>
      </c>
      <c r="E716" s="368" t="s">
        <v>1049</v>
      </c>
      <c r="F716" s="368" t="s">
        <v>288</v>
      </c>
      <c r="G716" s="374">
        <f>G717</f>
        <v>32614.999999999996</v>
      </c>
      <c r="H716" s="27">
        <f t="shared" si="324"/>
        <v>30768.399999999998</v>
      </c>
      <c r="I716" s="27">
        <f t="shared" si="324"/>
        <v>30768.399999999998</v>
      </c>
    </row>
    <row r="717" spans="1:9" ht="15.75" x14ac:dyDescent="0.25">
      <c r="A717" s="372" t="s">
        <v>289</v>
      </c>
      <c r="B717" s="366">
        <v>906</v>
      </c>
      <c r="C717" s="368" t="s">
        <v>279</v>
      </c>
      <c r="D717" s="368" t="s">
        <v>230</v>
      </c>
      <c r="E717" s="368" t="s">
        <v>1049</v>
      </c>
      <c r="F717" s="368" t="s">
        <v>290</v>
      </c>
      <c r="G717" s="374">
        <f>27381+1173.6+2213.8+0.6+1846</f>
        <v>32614.999999999996</v>
      </c>
      <c r="H717" s="27">
        <f t="shared" ref="H717:I717" si="325">27381+1173.6+2213.8</f>
        <v>30768.399999999998</v>
      </c>
      <c r="I717" s="27">
        <f t="shared" si="325"/>
        <v>30768.399999999998</v>
      </c>
    </row>
    <row r="718" spans="1:9" s="222" customFormat="1" ht="44.25" customHeight="1" x14ac:dyDescent="0.25">
      <c r="A718" s="370" t="s">
        <v>969</v>
      </c>
      <c r="B718" s="367">
        <v>906</v>
      </c>
      <c r="C718" s="371" t="s">
        <v>279</v>
      </c>
      <c r="D718" s="371" t="s">
        <v>230</v>
      </c>
      <c r="E718" s="371" t="s">
        <v>1019</v>
      </c>
      <c r="F718" s="371"/>
      <c r="G718" s="44">
        <f>G722+G725+G728+G719</f>
        <v>1622.2</v>
      </c>
      <c r="H718" s="44">
        <f t="shared" ref="H718:I718" si="326">H722+H725+H728</f>
        <v>1542.4</v>
      </c>
      <c r="I718" s="44">
        <f t="shared" si="326"/>
        <v>1542.4</v>
      </c>
    </row>
    <row r="719" spans="1:9" s="362" customFormat="1" ht="77.25" customHeight="1" x14ac:dyDescent="0.25">
      <c r="A719" s="31" t="s">
        <v>308</v>
      </c>
      <c r="B719" s="366">
        <v>906</v>
      </c>
      <c r="C719" s="368" t="s">
        <v>279</v>
      </c>
      <c r="D719" s="368" t="s">
        <v>230</v>
      </c>
      <c r="E719" s="368" t="s">
        <v>1523</v>
      </c>
      <c r="F719" s="368"/>
      <c r="G719" s="374">
        <f>G720</f>
        <v>216.9</v>
      </c>
      <c r="H719" s="44"/>
      <c r="I719" s="44"/>
    </row>
    <row r="720" spans="1:9" s="362" customFormat="1" ht="36" customHeight="1" x14ac:dyDescent="0.25">
      <c r="A720" s="372" t="s">
        <v>287</v>
      </c>
      <c r="B720" s="366">
        <v>906</v>
      </c>
      <c r="C720" s="368" t="s">
        <v>279</v>
      </c>
      <c r="D720" s="368" t="s">
        <v>230</v>
      </c>
      <c r="E720" s="368" t="s">
        <v>1523</v>
      </c>
      <c r="F720" s="368" t="s">
        <v>288</v>
      </c>
      <c r="G720" s="374">
        <f>G721</f>
        <v>216.9</v>
      </c>
      <c r="H720" s="44"/>
      <c r="I720" s="44"/>
    </row>
    <row r="721" spans="1:9" s="362" customFormat="1" ht="36" customHeight="1" x14ac:dyDescent="0.25">
      <c r="A721" s="372" t="s">
        <v>289</v>
      </c>
      <c r="B721" s="366">
        <v>906</v>
      </c>
      <c r="C721" s="368" t="s">
        <v>279</v>
      </c>
      <c r="D721" s="368" t="s">
        <v>230</v>
      </c>
      <c r="E721" s="368" t="s">
        <v>1523</v>
      </c>
      <c r="F721" s="368" t="s">
        <v>290</v>
      </c>
      <c r="G721" s="374">
        <v>216.9</v>
      </c>
      <c r="H721" s="44"/>
      <c r="I721" s="44"/>
    </row>
    <row r="722" spans="1:9" s="222" customFormat="1" ht="60.75" customHeight="1" x14ac:dyDescent="0.25">
      <c r="A722" s="31" t="s">
        <v>304</v>
      </c>
      <c r="B722" s="366">
        <v>906</v>
      </c>
      <c r="C722" s="368" t="s">
        <v>279</v>
      </c>
      <c r="D722" s="368" t="s">
        <v>230</v>
      </c>
      <c r="E722" s="368" t="s">
        <v>1018</v>
      </c>
      <c r="F722" s="368"/>
      <c r="G722" s="374">
        <f>G723</f>
        <v>169.3</v>
      </c>
      <c r="H722" s="27">
        <f t="shared" ref="H722:I723" si="327">H723</f>
        <v>110</v>
      </c>
      <c r="I722" s="27">
        <f t="shared" si="327"/>
        <v>110</v>
      </c>
    </row>
    <row r="723" spans="1:9" s="222" customFormat="1" ht="31.5" x14ac:dyDescent="0.25">
      <c r="A723" s="372" t="s">
        <v>287</v>
      </c>
      <c r="B723" s="366">
        <v>906</v>
      </c>
      <c r="C723" s="368" t="s">
        <v>279</v>
      </c>
      <c r="D723" s="368" t="s">
        <v>230</v>
      </c>
      <c r="E723" s="368" t="s">
        <v>1018</v>
      </c>
      <c r="F723" s="368" t="s">
        <v>288</v>
      </c>
      <c r="G723" s="374">
        <f>G724</f>
        <v>169.3</v>
      </c>
      <c r="H723" s="27">
        <f t="shared" si="327"/>
        <v>110</v>
      </c>
      <c r="I723" s="27">
        <f t="shared" si="327"/>
        <v>110</v>
      </c>
    </row>
    <row r="724" spans="1:9" s="222" customFormat="1" ht="15.75" x14ac:dyDescent="0.25">
      <c r="A724" s="372" t="s">
        <v>289</v>
      </c>
      <c r="B724" s="366">
        <v>906</v>
      </c>
      <c r="C724" s="368" t="s">
        <v>279</v>
      </c>
      <c r="D724" s="368" t="s">
        <v>230</v>
      </c>
      <c r="E724" s="368" t="s">
        <v>1018</v>
      </c>
      <c r="F724" s="368" t="s">
        <v>290</v>
      </c>
      <c r="G724" s="374">
        <f>169.28+0.02</f>
        <v>169.3</v>
      </c>
      <c r="H724" s="27">
        <v>110</v>
      </c>
      <c r="I724" s="27">
        <v>110</v>
      </c>
    </row>
    <row r="725" spans="1:9" s="222" customFormat="1" ht="63" x14ac:dyDescent="0.25">
      <c r="A725" s="31" t="s">
        <v>306</v>
      </c>
      <c r="B725" s="366">
        <v>906</v>
      </c>
      <c r="C725" s="368" t="s">
        <v>279</v>
      </c>
      <c r="D725" s="368" t="s">
        <v>230</v>
      </c>
      <c r="E725" s="368" t="s">
        <v>1021</v>
      </c>
      <c r="F725" s="368"/>
      <c r="G725" s="374">
        <f>G726</f>
        <v>549.5</v>
      </c>
      <c r="H725" s="27">
        <f t="shared" ref="H725:I726" si="328">H726</f>
        <v>592.1</v>
      </c>
      <c r="I725" s="27">
        <f t="shared" si="328"/>
        <v>592.1</v>
      </c>
    </row>
    <row r="726" spans="1:9" s="222" customFormat="1" ht="31.5" x14ac:dyDescent="0.25">
      <c r="A726" s="372" t="s">
        <v>287</v>
      </c>
      <c r="B726" s="366">
        <v>906</v>
      </c>
      <c r="C726" s="368" t="s">
        <v>279</v>
      </c>
      <c r="D726" s="368" t="s">
        <v>230</v>
      </c>
      <c r="E726" s="368" t="s">
        <v>1021</v>
      </c>
      <c r="F726" s="368" t="s">
        <v>288</v>
      </c>
      <c r="G726" s="374">
        <f>G727</f>
        <v>549.5</v>
      </c>
      <c r="H726" s="27">
        <f t="shared" si="328"/>
        <v>592.1</v>
      </c>
      <c r="I726" s="27">
        <f t="shared" si="328"/>
        <v>592.1</v>
      </c>
    </row>
    <row r="727" spans="1:9" s="222" customFormat="1" ht="15.75" x14ac:dyDescent="0.25">
      <c r="A727" s="372" t="s">
        <v>289</v>
      </c>
      <c r="B727" s="366">
        <v>906</v>
      </c>
      <c r="C727" s="368" t="s">
        <v>279</v>
      </c>
      <c r="D727" s="368" t="s">
        <v>230</v>
      </c>
      <c r="E727" s="368" t="s">
        <v>1021</v>
      </c>
      <c r="F727" s="368" t="s">
        <v>290</v>
      </c>
      <c r="G727" s="374">
        <f>549.46+0.04</f>
        <v>549.5</v>
      </c>
      <c r="H727" s="27">
        <f t="shared" ref="H727:I727" si="329">572.2+19.9</f>
        <v>592.1</v>
      </c>
      <c r="I727" s="27">
        <f t="shared" si="329"/>
        <v>592.1</v>
      </c>
    </row>
    <row r="728" spans="1:9" s="222" customFormat="1" ht="78.75" x14ac:dyDescent="0.25">
      <c r="A728" s="31" t="s">
        <v>308</v>
      </c>
      <c r="B728" s="366">
        <v>906</v>
      </c>
      <c r="C728" s="368" t="s">
        <v>279</v>
      </c>
      <c r="D728" s="368" t="s">
        <v>230</v>
      </c>
      <c r="E728" s="368" t="s">
        <v>1022</v>
      </c>
      <c r="F728" s="368"/>
      <c r="G728" s="374">
        <f>G729</f>
        <v>686.5</v>
      </c>
      <c r="H728" s="27">
        <f>H729</f>
        <v>840.3</v>
      </c>
      <c r="I728" s="27">
        <f>I729</f>
        <v>840.3</v>
      </c>
    </row>
    <row r="729" spans="1:9" s="222" customFormat="1" ht="31.5" x14ac:dyDescent="0.25">
      <c r="A729" s="372" t="s">
        <v>287</v>
      </c>
      <c r="B729" s="366">
        <v>906</v>
      </c>
      <c r="C729" s="368" t="s">
        <v>279</v>
      </c>
      <c r="D729" s="368" t="s">
        <v>230</v>
      </c>
      <c r="E729" s="368" t="s">
        <v>1022</v>
      </c>
      <c r="F729" s="368" t="s">
        <v>288</v>
      </c>
      <c r="G729" s="374">
        <f>G730</f>
        <v>686.5</v>
      </c>
      <c r="H729" s="27">
        <f t="shared" ref="H729:I729" si="330">H730</f>
        <v>840.3</v>
      </c>
      <c r="I729" s="27">
        <f t="shared" si="330"/>
        <v>840.3</v>
      </c>
    </row>
    <row r="730" spans="1:9" s="222" customFormat="1" ht="15.75" x14ac:dyDescent="0.25">
      <c r="A730" s="372" t="s">
        <v>289</v>
      </c>
      <c r="B730" s="366">
        <v>906</v>
      </c>
      <c r="C730" s="368" t="s">
        <v>279</v>
      </c>
      <c r="D730" s="368" t="s">
        <v>230</v>
      </c>
      <c r="E730" s="368" t="s">
        <v>1022</v>
      </c>
      <c r="F730" s="368" t="s">
        <v>290</v>
      </c>
      <c r="G730" s="374">
        <f>903.4-216.9</f>
        <v>686.5</v>
      </c>
      <c r="H730" s="27">
        <f t="shared" ref="H730:I730" si="331">900-15.5-44.2</f>
        <v>840.3</v>
      </c>
      <c r="I730" s="27">
        <f t="shared" si="331"/>
        <v>840.3</v>
      </c>
    </row>
    <row r="731" spans="1:9" ht="38.25" customHeight="1" x14ac:dyDescent="0.25">
      <c r="A731" s="34" t="s">
        <v>719</v>
      </c>
      <c r="B731" s="367">
        <v>906</v>
      </c>
      <c r="C731" s="371" t="s">
        <v>279</v>
      </c>
      <c r="D731" s="371" t="s">
        <v>230</v>
      </c>
      <c r="E731" s="371" t="s">
        <v>462</v>
      </c>
      <c r="F731" s="371"/>
      <c r="G731" s="44">
        <f>G732+G736</f>
        <v>689</v>
      </c>
      <c r="H731" s="44">
        <f t="shared" ref="H731:I731" si="332">H732+H736</f>
        <v>689</v>
      </c>
      <c r="I731" s="44">
        <f t="shared" si="332"/>
        <v>689</v>
      </c>
    </row>
    <row r="732" spans="1:9" s="222" customFormat="1" ht="30.75" hidden="1" customHeight="1" x14ac:dyDescent="0.25">
      <c r="A732" s="370" t="s">
        <v>1050</v>
      </c>
      <c r="B732" s="367">
        <v>906</v>
      </c>
      <c r="C732" s="371" t="s">
        <v>279</v>
      </c>
      <c r="D732" s="371" t="s">
        <v>230</v>
      </c>
      <c r="E732" s="371" t="s">
        <v>1233</v>
      </c>
      <c r="F732" s="371"/>
      <c r="G732" s="44">
        <f>G733</f>
        <v>0</v>
      </c>
      <c r="H732" s="44">
        <f t="shared" ref="H732:I734" si="333">H733</f>
        <v>0</v>
      </c>
      <c r="I732" s="44">
        <f t="shared" si="333"/>
        <v>0</v>
      </c>
    </row>
    <row r="733" spans="1:9" ht="31.5" hidden="1" x14ac:dyDescent="0.25">
      <c r="A733" s="45" t="s">
        <v>787</v>
      </c>
      <c r="B733" s="366">
        <v>906</v>
      </c>
      <c r="C733" s="368" t="s">
        <v>279</v>
      </c>
      <c r="D733" s="368" t="s">
        <v>230</v>
      </c>
      <c r="E733" s="368" t="s">
        <v>1234</v>
      </c>
      <c r="F733" s="368"/>
      <c r="G733" s="374">
        <f>G734</f>
        <v>0</v>
      </c>
      <c r="H733" s="27">
        <f t="shared" si="333"/>
        <v>0</v>
      </c>
      <c r="I733" s="27">
        <f t="shared" si="333"/>
        <v>0</v>
      </c>
    </row>
    <row r="734" spans="1:9" ht="31.5" hidden="1" x14ac:dyDescent="0.25">
      <c r="A734" s="31" t="s">
        <v>287</v>
      </c>
      <c r="B734" s="366">
        <v>906</v>
      </c>
      <c r="C734" s="368" t="s">
        <v>279</v>
      </c>
      <c r="D734" s="368" t="s">
        <v>230</v>
      </c>
      <c r="E734" s="368" t="s">
        <v>1234</v>
      </c>
      <c r="F734" s="368" t="s">
        <v>288</v>
      </c>
      <c r="G734" s="374">
        <f>G735</f>
        <v>0</v>
      </c>
      <c r="H734" s="27">
        <f t="shared" si="333"/>
        <v>0</v>
      </c>
      <c r="I734" s="27">
        <f t="shared" si="333"/>
        <v>0</v>
      </c>
    </row>
    <row r="735" spans="1:9" ht="15.75" hidden="1" x14ac:dyDescent="0.25">
      <c r="A735" s="31" t="s">
        <v>289</v>
      </c>
      <c r="B735" s="366">
        <v>906</v>
      </c>
      <c r="C735" s="368" t="s">
        <v>279</v>
      </c>
      <c r="D735" s="368" t="s">
        <v>230</v>
      </c>
      <c r="E735" s="368" t="s">
        <v>1234</v>
      </c>
      <c r="F735" s="368" t="s">
        <v>290</v>
      </c>
      <c r="G735" s="374">
        <v>0</v>
      </c>
      <c r="H735" s="27">
        <v>0</v>
      </c>
      <c r="I735" s="27">
        <v>0</v>
      </c>
    </row>
    <row r="736" spans="1:9" s="222" customFormat="1" ht="31.5" x14ac:dyDescent="0.25">
      <c r="A736" s="246" t="s">
        <v>1075</v>
      </c>
      <c r="B736" s="367">
        <v>906</v>
      </c>
      <c r="C736" s="371" t="s">
        <v>279</v>
      </c>
      <c r="D736" s="371" t="s">
        <v>230</v>
      </c>
      <c r="E736" s="371" t="s">
        <v>1051</v>
      </c>
      <c r="F736" s="371"/>
      <c r="G736" s="44">
        <f>G737</f>
        <v>689</v>
      </c>
      <c r="H736" s="44">
        <f t="shared" ref="H736:I738" si="334">H737</f>
        <v>689</v>
      </c>
      <c r="I736" s="44">
        <f t="shared" si="334"/>
        <v>689</v>
      </c>
    </row>
    <row r="737" spans="1:9" ht="37.5" customHeight="1" x14ac:dyDescent="0.25">
      <c r="A737" s="45" t="s">
        <v>785</v>
      </c>
      <c r="B737" s="366">
        <v>906</v>
      </c>
      <c r="C737" s="368" t="s">
        <v>279</v>
      </c>
      <c r="D737" s="368" t="s">
        <v>230</v>
      </c>
      <c r="E737" s="368" t="s">
        <v>1052</v>
      </c>
      <c r="F737" s="368"/>
      <c r="G737" s="374">
        <f>G738</f>
        <v>689</v>
      </c>
      <c r="H737" s="27">
        <f t="shared" si="334"/>
        <v>689</v>
      </c>
      <c r="I737" s="27">
        <f t="shared" si="334"/>
        <v>689</v>
      </c>
    </row>
    <row r="738" spans="1:9" ht="32.25" customHeight="1" x14ac:dyDescent="0.25">
      <c r="A738" s="372" t="s">
        <v>287</v>
      </c>
      <c r="B738" s="366">
        <v>906</v>
      </c>
      <c r="C738" s="368" t="s">
        <v>279</v>
      </c>
      <c r="D738" s="368" t="s">
        <v>230</v>
      </c>
      <c r="E738" s="368" t="s">
        <v>1052</v>
      </c>
      <c r="F738" s="368" t="s">
        <v>288</v>
      </c>
      <c r="G738" s="374">
        <f>G739</f>
        <v>689</v>
      </c>
      <c r="H738" s="27">
        <f t="shared" si="334"/>
        <v>689</v>
      </c>
      <c r="I738" s="27">
        <f t="shared" si="334"/>
        <v>689</v>
      </c>
    </row>
    <row r="739" spans="1:9" ht="15.75" x14ac:dyDescent="0.25">
      <c r="A739" s="31" t="s">
        <v>289</v>
      </c>
      <c r="B739" s="366">
        <v>906</v>
      </c>
      <c r="C739" s="368" t="s">
        <v>279</v>
      </c>
      <c r="D739" s="368" t="s">
        <v>230</v>
      </c>
      <c r="E739" s="368" t="s">
        <v>1052</v>
      </c>
      <c r="F739" s="368" t="s">
        <v>290</v>
      </c>
      <c r="G739" s="374">
        <f>689</f>
        <v>689</v>
      </c>
      <c r="H739" s="27">
        <f>689</f>
        <v>689</v>
      </c>
      <c r="I739" s="27">
        <f>689</f>
        <v>689</v>
      </c>
    </row>
    <row r="740" spans="1:9" ht="54.75" customHeight="1" x14ac:dyDescent="0.25">
      <c r="A740" s="41" t="s">
        <v>1177</v>
      </c>
      <c r="B740" s="367">
        <v>906</v>
      </c>
      <c r="C740" s="371" t="s">
        <v>279</v>
      </c>
      <c r="D740" s="371" t="s">
        <v>230</v>
      </c>
      <c r="E740" s="371" t="s">
        <v>726</v>
      </c>
      <c r="F740" s="250"/>
      <c r="G740" s="44">
        <f>G742</f>
        <v>300.7</v>
      </c>
      <c r="H740" s="44">
        <f t="shared" ref="H740:I740" si="335">H742</f>
        <v>300.7</v>
      </c>
      <c r="I740" s="44">
        <f t="shared" si="335"/>
        <v>300.7</v>
      </c>
    </row>
    <row r="741" spans="1:9" s="222" customFormat="1" ht="54.75" customHeight="1" x14ac:dyDescent="0.25">
      <c r="A741" s="41" t="s">
        <v>947</v>
      </c>
      <c r="B741" s="367">
        <v>906</v>
      </c>
      <c r="C741" s="371" t="s">
        <v>279</v>
      </c>
      <c r="D741" s="371" t="s">
        <v>1053</v>
      </c>
      <c r="E741" s="371" t="s">
        <v>945</v>
      </c>
      <c r="F741" s="250"/>
      <c r="G741" s="44">
        <f>G742</f>
        <v>300.7</v>
      </c>
      <c r="H741" s="44">
        <f t="shared" ref="H741:I743" si="336">H742</f>
        <v>300.7</v>
      </c>
      <c r="I741" s="44">
        <f t="shared" si="336"/>
        <v>300.7</v>
      </c>
    </row>
    <row r="742" spans="1:9" ht="38.25" customHeight="1" x14ac:dyDescent="0.25">
      <c r="A742" s="99" t="s">
        <v>801</v>
      </c>
      <c r="B742" s="366">
        <v>906</v>
      </c>
      <c r="C742" s="368" t="s">
        <v>279</v>
      </c>
      <c r="D742" s="368" t="s">
        <v>230</v>
      </c>
      <c r="E742" s="368" t="s">
        <v>1025</v>
      </c>
      <c r="F742" s="32"/>
      <c r="G742" s="374">
        <f>G743</f>
        <v>300.7</v>
      </c>
      <c r="H742" s="27">
        <f t="shared" si="336"/>
        <v>300.7</v>
      </c>
      <c r="I742" s="27">
        <f t="shared" si="336"/>
        <v>300.7</v>
      </c>
    </row>
    <row r="743" spans="1:9" ht="34.5" customHeight="1" x14ac:dyDescent="0.25">
      <c r="A743" s="375" t="s">
        <v>287</v>
      </c>
      <c r="B743" s="366">
        <v>906</v>
      </c>
      <c r="C743" s="368" t="s">
        <v>279</v>
      </c>
      <c r="D743" s="368" t="s">
        <v>230</v>
      </c>
      <c r="E743" s="368" t="s">
        <v>1025</v>
      </c>
      <c r="F743" s="32" t="s">
        <v>288</v>
      </c>
      <c r="G743" s="374">
        <f>G744</f>
        <v>300.7</v>
      </c>
      <c r="H743" s="27">
        <f t="shared" si="336"/>
        <v>300.7</v>
      </c>
      <c r="I743" s="27">
        <f t="shared" si="336"/>
        <v>300.7</v>
      </c>
    </row>
    <row r="744" spans="1:9" ht="15.75" x14ac:dyDescent="0.25">
      <c r="A744" s="193" t="s">
        <v>289</v>
      </c>
      <c r="B744" s="366">
        <v>906</v>
      </c>
      <c r="C744" s="368" t="s">
        <v>279</v>
      </c>
      <c r="D744" s="368" t="s">
        <v>230</v>
      </c>
      <c r="E744" s="368" t="s">
        <v>1025</v>
      </c>
      <c r="F744" s="32" t="s">
        <v>290</v>
      </c>
      <c r="G744" s="374">
        <v>300.7</v>
      </c>
      <c r="H744" s="27">
        <v>300.7</v>
      </c>
      <c r="I744" s="27">
        <v>300.7</v>
      </c>
    </row>
    <row r="745" spans="1:9" ht="21.2" customHeight="1" x14ac:dyDescent="0.25">
      <c r="A745" s="370" t="s">
        <v>481</v>
      </c>
      <c r="B745" s="367">
        <v>906</v>
      </c>
      <c r="C745" s="371" t="s">
        <v>279</v>
      </c>
      <c r="D745" s="371" t="s">
        <v>279</v>
      </c>
      <c r="E745" s="371"/>
      <c r="F745" s="371"/>
      <c r="G745" s="369">
        <f>G746</f>
        <v>5804.9</v>
      </c>
      <c r="H745" s="21">
        <f t="shared" ref="H745:I745" si="337">H746</f>
        <v>6836.3</v>
      </c>
      <c r="I745" s="21">
        <f t="shared" si="337"/>
        <v>6836.3</v>
      </c>
    </row>
    <row r="746" spans="1:9" ht="47.25" x14ac:dyDescent="0.25">
      <c r="A746" s="370" t="s">
        <v>441</v>
      </c>
      <c r="B746" s="367">
        <v>906</v>
      </c>
      <c r="C746" s="371" t="s">
        <v>279</v>
      </c>
      <c r="D746" s="371" t="s">
        <v>279</v>
      </c>
      <c r="E746" s="371" t="s">
        <v>421</v>
      </c>
      <c r="F746" s="371"/>
      <c r="G746" s="369">
        <f t="shared" ref="G746:I753" si="338">G747</f>
        <v>5804.9</v>
      </c>
      <c r="H746" s="21">
        <f t="shared" si="338"/>
        <v>6836.3</v>
      </c>
      <c r="I746" s="21">
        <f t="shared" si="338"/>
        <v>6836.3</v>
      </c>
    </row>
    <row r="747" spans="1:9" ht="31.5" x14ac:dyDescent="0.25">
      <c r="A747" s="370" t="s">
        <v>482</v>
      </c>
      <c r="B747" s="367">
        <v>906</v>
      </c>
      <c r="C747" s="371" t="s">
        <v>279</v>
      </c>
      <c r="D747" s="371" t="s">
        <v>483</v>
      </c>
      <c r="E747" s="371" t="s">
        <v>484</v>
      </c>
      <c r="F747" s="371"/>
      <c r="G747" s="369">
        <f>G748</f>
        <v>5804.9</v>
      </c>
      <c r="H747" s="21">
        <f t="shared" si="338"/>
        <v>6836.3</v>
      </c>
      <c r="I747" s="21">
        <f t="shared" si="338"/>
        <v>6836.3</v>
      </c>
    </row>
    <row r="748" spans="1:9" s="222" customFormat="1" ht="31.5" x14ac:dyDescent="0.25">
      <c r="A748" s="370" t="s">
        <v>1054</v>
      </c>
      <c r="B748" s="367">
        <v>906</v>
      </c>
      <c r="C748" s="371" t="s">
        <v>279</v>
      </c>
      <c r="D748" s="371" t="s">
        <v>279</v>
      </c>
      <c r="E748" s="371" t="s">
        <v>1055</v>
      </c>
      <c r="F748" s="371"/>
      <c r="G748" s="369">
        <f>G749+G752</f>
        <v>5804.9</v>
      </c>
      <c r="H748" s="21">
        <f t="shared" ref="H748:I748" si="339">H749+H752</f>
        <v>6836.3</v>
      </c>
      <c r="I748" s="21">
        <f t="shared" si="339"/>
        <v>6836.3</v>
      </c>
    </row>
    <row r="749" spans="1:9" ht="31.5" x14ac:dyDescent="0.25">
      <c r="A749" s="31" t="s">
        <v>1235</v>
      </c>
      <c r="B749" s="366">
        <v>906</v>
      </c>
      <c r="C749" s="368" t="s">
        <v>279</v>
      </c>
      <c r="D749" s="368" t="s">
        <v>279</v>
      </c>
      <c r="E749" s="368" t="s">
        <v>1056</v>
      </c>
      <c r="F749" s="368"/>
      <c r="G749" s="373">
        <f t="shared" si="338"/>
        <v>3584</v>
      </c>
      <c r="H749" s="26">
        <f t="shared" si="338"/>
        <v>3584</v>
      </c>
      <c r="I749" s="26">
        <f t="shared" si="338"/>
        <v>3584</v>
      </c>
    </row>
    <row r="750" spans="1:9" ht="36" customHeight="1" x14ac:dyDescent="0.25">
      <c r="A750" s="372" t="s">
        <v>287</v>
      </c>
      <c r="B750" s="366">
        <v>906</v>
      </c>
      <c r="C750" s="368" t="s">
        <v>279</v>
      </c>
      <c r="D750" s="368" t="s">
        <v>279</v>
      </c>
      <c r="E750" s="368" t="s">
        <v>1056</v>
      </c>
      <c r="F750" s="368" t="s">
        <v>288</v>
      </c>
      <c r="G750" s="373">
        <f t="shared" si="338"/>
        <v>3584</v>
      </c>
      <c r="H750" s="26">
        <f t="shared" si="338"/>
        <v>3584</v>
      </c>
      <c r="I750" s="26">
        <f t="shared" si="338"/>
        <v>3584</v>
      </c>
    </row>
    <row r="751" spans="1:9" ht="15.75" x14ac:dyDescent="0.25">
      <c r="A751" s="372" t="s">
        <v>289</v>
      </c>
      <c r="B751" s="366">
        <v>906</v>
      </c>
      <c r="C751" s="368" t="s">
        <v>279</v>
      </c>
      <c r="D751" s="368" t="s">
        <v>279</v>
      </c>
      <c r="E751" s="368" t="s">
        <v>1056</v>
      </c>
      <c r="F751" s="368" t="s">
        <v>290</v>
      </c>
      <c r="G751" s="374">
        <f>3485+99</f>
        <v>3584</v>
      </c>
      <c r="H751" s="27">
        <f t="shared" ref="H751:I751" si="340">3485+99</f>
        <v>3584</v>
      </c>
      <c r="I751" s="27">
        <f t="shared" si="340"/>
        <v>3584</v>
      </c>
    </row>
    <row r="752" spans="1:9" ht="38.25" customHeight="1" x14ac:dyDescent="0.25">
      <c r="A752" s="31" t="s">
        <v>489</v>
      </c>
      <c r="B752" s="366">
        <v>906</v>
      </c>
      <c r="C752" s="368" t="s">
        <v>279</v>
      </c>
      <c r="D752" s="368" t="s">
        <v>279</v>
      </c>
      <c r="E752" s="368" t="s">
        <v>1057</v>
      </c>
      <c r="F752" s="368"/>
      <c r="G752" s="373">
        <f t="shared" si="338"/>
        <v>2220.9</v>
      </c>
      <c r="H752" s="26">
        <f t="shared" si="338"/>
        <v>3252.3</v>
      </c>
      <c r="I752" s="26">
        <f t="shared" si="338"/>
        <v>3252.3</v>
      </c>
    </row>
    <row r="753" spans="1:9" ht="36.75" customHeight="1" x14ac:dyDescent="0.25">
      <c r="A753" s="372" t="s">
        <v>287</v>
      </c>
      <c r="B753" s="366">
        <v>906</v>
      </c>
      <c r="C753" s="368" t="s">
        <v>279</v>
      </c>
      <c r="D753" s="368" t="s">
        <v>279</v>
      </c>
      <c r="E753" s="368" t="s">
        <v>1057</v>
      </c>
      <c r="F753" s="368" t="s">
        <v>288</v>
      </c>
      <c r="G753" s="373">
        <f t="shared" si="338"/>
        <v>2220.9</v>
      </c>
      <c r="H753" s="26">
        <f t="shared" si="338"/>
        <v>3252.3</v>
      </c>
      <c r="I753" s="26">
        <f t="shared" si="338"/>
        <v>3252.3</v>
      </c>
    </row>
    <row r="754" spans="1:9" ht="15.75" x14ac:dyDescent="0.25">
      <c r="A754" s="372" t="s">
        <v>289</v>
      </c>
      <c r="B754" s="366">
        <v>906</v>
      </c>
      <c r="C754" s="368" t="s">
        <v>279</v>
      </c>
      <c r="D754" s="368" t="s">
        <v>279</v>
      </c>
      <c r="E754" s="368" t="s">
        <v>1057</v>
      </c>
      <c r="F754" s="368" t="s">
        <v>290</v>
      </c>
      <c r="G754" s="374">
        <v>2220.9</v>
      </c>
      <c r="H754" s="27">
        <f t="shared" ref="H754:I754" si="341">2124.9+1127.4</f>
        <v>3252.3</v>
      </c>
      <c r="I754" s="27">
        <f t="shared" si="341"/>
        <v>3252.3</v>
      </c>
    </row>
    <row r="755" spans="1:9" ht="15.75" x14ac:dyDescent="0.25">
      <c r="A755" s="370" t="s">
        <v>310</v>
      </c>
      <c r="B755" s="367">
        <v>906</v>
      </c>
      <c r="C755" s="371" t="s">
        <v>279</v>
      </c>
      <c r="D755" s="371" t="s">
        <v>234</v>
      </c>
      <c r="E755" s="371"/>
      <c r="F755" s="371"/>
      <c r="G755" s="369">
        <f>G756+G766</f>
        <v>20647.399999999998</v>
      </c>
      <c r="H755" s="21">
        <f t="shared" ref="H755:I755" si="342">H756+H766</f>
        <v>20019.8</v>
      </c>
      <c r="I755" s="21">
        <f t="shared" si="342"/>
        <v>20019.8</v>
      </c>
    </row>
    <row r="756" spans="1:9" ht="31.5" x14ac:dyDescent="0.25">
      <c r="A756" s="370" t="s">
        <v>988</v>
      </c>
      <c r="B756" s="367">
        <v>906</v>
      </c>
      <c r="C756" s="371" t="s">
        <v>279</v>
      </c>
      <c r="D756" s="371" t="s">
        <v>234</v>
      </c>
      <c r="E756" s="371" t="s">
        <v>902</v>
      </c>
      <c r="F756" s="371"/>
      <c r="G756" s="369">
        <f>G757</f>
        <v>5934.2</v>
      </c>
      <c r="H756" s="21">
        <f t="shared" ref="H756:I756" si="343">H757</f>
        <v>5581.4000000000005</v>
      </c>
      <c r="I756" s="21">
        <f t="shared" si="343"/>
        <v>5581.4000000000005</v>
      </c>
    </row>
    <row r="757" spans="1:9" ht="15.75" x14ac:dyDescent="0.25">
      <c r="A757" s="370" t="s">
        <v>989</v>
      </c>
      <c r="B757" s="367">
        <v>906</v>
      </c>
      <c r="C757" s="371" t="s">
        <v>279</v>
      </c>
      <c r="D757" s="371" t="s">
        <v>234</v>
      </c>
      <c r="E757" s="371" t="s">
        <v>903</v>
      </c>
      <c r="F757" s="371"/>
      <c r="G757" s="369">
        <f>G758+G763</f>
        <v>5934.2</v>
      </c>
      <c r="H757" s="21">
        <f t="shared" ref="H757:I757" si="344">H758+H763</f>
        <v>5581.4000000000005</v>
      </c>
      <c r="I757" s="21">
        <f t="shared" si="344"/>
        <v>5581.4000000000005</v>
      </c>
    </row>
    <row r="758" spans="1:9" ht="36.75" customHeight="1" x14ac:dyDescent="0.25">
      <c r="A758" s="372" t="s">
        <v>965</v>
      </c>
      <c r="B758" s="366">
        <v>906</v>
      </c>
      <c r="C758" s="368" t="s">
        <v>279</v>
      </c>
      <c r="D758" s="368" t="s">
        <v>234</v>
      </c>
      <c r="E758" s="368" t="s">
        <v>904</v>
      </c>
      <c r="F758" s="368"/>
      <c r="G758" s="373">
        <f>G759+G761</f>
        <v>5808.2</v>
      </c>
      <c r="H758" s="26">
        <f t="shared" ref="H758:I758" si="345">H759+H761</f>
        <v>5581.4000000000005</v>
      </c>
      <c r="I758" s="26">
        <f t="shared" si="345"/>
        <v>5581.4000000000005</v>
      </c>
    </row>
    <row r="759" spans="1:9" ht="72" customHeight="1" x14ac:dyDescent="0.25">
      <c r="A759" s="372" t="s">
        <v>142</v>
      </c>
      <c r="B759" s="366">
        <v>906</v>
      </c>
      <c r="C759" s="368" t="s">
        <v>279</v>
      </c>
      <c r="D759" s="368" t="s">
        <v>234</v>
      </c>
      <c r="E759" s="368" t="s">
        <v>904</v>
      </c>
      <c r="F759" s="368" t="s">
        <v>143</v>
      </c>
      <c r="G759" s="373">
        <f>G760</f>
        <v>5596.2</v>
      </c>
      <c r="H759" s="26">
        <f t="shared" ref="H759:I759" si="346">H760</f>
        <v>5325.8</v>
      </c>
      <c r="I759" s="26">
        <f t="shared" si="346"/>
        <v>5325.8</v>
      </c>
    </row>
    <row r="760" spans="1:9" ht="31.5" x14ac:dyDescent="0.25">
      <c r="A760" s="372" t="s">
        <v>144</v>
      </c>
      <c r="B760" s="366">
        <v>906</v>
      </c>
      <c r="C760" s="368" t="s">
        <v>279</v>
      </c>
      <c r="D760" s="368" t="s">
        <v>234</v>
      </c>
      <c r="E760" s="368" t="s">
        <v>904</v>
      </c>
      <c r="F760" s="368" t="s">
        <v>145</v>
      </c>
      <c r="G760" s="374">
        <f>5247+267+82.2</f>
        <v>5596.2</v>
      </c>
      <c r="H760" s="27">
        <f t="shared" ref="H760:I760" si="347">5430.2-175.2+169.2-98.4</f>
        <v>5325.8</v>
      </c>
      <c r="I760" s="27">
        <f t="shared" si="347"/>
        <v>5325.8</v>
      </c>
    </row>
    <row r="761" spans="1:9" ht="31.5" x14ac:dyDescent="0.25">
      <c r="A761" s="372" t="s">
        <v>146</v>
      </c>
      <c r="B761" s="366">
        <v>906</v>
      </c>
      <c r="C761" s="368" t="s">
        <v>279</v>
      </c>
      <c r="D761" s="368" t="s">
        <v>234</v>
      </c>
      <c r="E761" s="368" t="s">
        <v>904</v>
      </c>
      <c r="F761" s="368" t="s">
        <v>147</v>
      </c>
      <c r="G761" s="373">
        <f>G762</f>
        <v>212</v>
      </c>
      <c r="H761" s="26">
        <f t="shared" ref="H761:I761" si="348">H762</f>
        <v>255.6</v>
      </c>
      <c r="I761" s="26">
        <f t="shared" si="348"/>
        <v>255.6</v>
      </c>
    </row>
    <row r="762" spans="1:9" ht="31.5" x14ac:dyDescent="0.25">
      <c r="A762" s="372" t="s">
        <v>148</v>
      </c>
      <c r="B762" s="366">
        <v>906</v>
      </c>
      <c r="C762" s="368" t="s">
        <v>279</v>
      </c>
      <c r="D762" s="368" t="s">
        <v>234</v>
      </c>
      <c r="E762" s="368" t="s">
        <v>904</v>
      </c>
      <c r="F762" s="368" t="s">
        <v>149</v>
      </c>
      <c r="G762" s="373">
        <v>212</v>
      </c>
      <c r="H762" s="26">
        <f t="shared" ref="H762:I762" si="349">157.2+98.4</f>
        <v>255.6</v>
      </c>
      <c r="I762" s="26">
        <f t="shared" si="349"/>
        <v>255.6</v>
      </c>
    </row>
    <row r="763" spans="1:9" s="222" customFormat="1" ht="31.5" x14ac:dyDescent="0.25">
      <c r="A763" s="372" t="s">
        <v>883</v>
      </c>
      <c r="B763" s="366">
        <v>906</v>
      </c>
      <c r="C763" s="368" t="s">
        <v>279</v>
      </c>
      <c r="D763" s="368" t="s">
        <v>234</v>
      </c>
      <c r="E763" s="368" t="s">
        <v>906</v>
      </c>
      <c r="F763" s="368"/>
      <c r="G763" s="373">
        <f>G764</f>
        <v>126</v>
      </c>
      <c r="H763" s="26">
        <f t="shared" ref="H763:I764" si="350">H764</f>
        <v>0</v>
      </c>
      <c r="I763" s="26">
        <f t="shared" si="350"/>
        <v>0</v>
      </c>
    </row>
    <row r="764" spans="1:9" s="222" customFormat="1" ht="63" x14ac:dyDescent="0.25">
      <c r="A764" s="372" t="s">
        <v>142</v>
      </c>
      <c r="B764" s="366">
        <v>906</v>
      </c>
      <c r="C764" s="368" t="s">
        <v>279</v>
      </c>
      <c r="D764" s="368" t="s">
        <v>234</v>
      </c>
      <c r="E764" s="368" t="s">
        <v>906</v>
      </c>
      <c r="F764" s="368" t="s">
        <v>143</v>
      </c>
      <c r="G764" s="373">
        <f>G765</f>
        <v>126</v>
      </c>
      <c r="H764" s="26">
        <f t="shared" si="350"/>
        <v>0</v>
      </c>
      <c r="I764" s="26">
        <f t="shared" si="350"/>
        <v>0</v>
      </c>
    </row>
    <row r="765" spans="1:9" s="222" customFormat="1" ht="31.5" x14ac:dyDescent="0.25">
      <c r="A765" s="372" t="s">
        <v>144</v>
      </c>
      <c r="B765" s="366">
        <v>906</v>
      </c>
      <c r="C765" s="368" t="s">
        <v>279</v>
      </c>
      <c r="D765" s="368" t="s">
        <v>234</v>
      </c>
      <c r="E765" s="368" t="s">
        <v>906</v>
      </c>
      <c r="F765" s="368" t="s">
        <v>145</v>
      </c>
      <c r="G765" s="373">
        <v>126</v>
      </c>
      <c r="H765" s="26"/>
      <c r="I765" s="26"/>
    </row>
    <row r="766" spans="1:9" ht="15.75" x14ac:dyDescent="0.25">
      <c r="A766" s="370" t="s">
        <v>156</v>
      </c>
      <c r="B766" s="367">
        <v>906</v>
      </c>
      <c r="C766" s="371" t="s">
        <v>279</v>
      </c>
      <c r="D766" s="371" t="s">
        <v>234</v>
      </c>
      <c r="E766" s="371" t="s">
        <v>910</v>
      </c>
      <c r="F766" s="371"/>
      <c r="G766" s="369">
        <f>G767+G771</f>
        <v>14713.199999999999</v>
      </c>
      <c r="H766" s="21">
        <f t="shared" ref="H766:I766" si="351">H767+H771</f>
        <v>14438.4</v>
      </c>
      <c r="I766" s="21">
        <f t="shared" si="351"/>
        <v>14438.4</v>
      </c>
    </row>
    <row r="767" spans="1:9" s="222" customFormat="1" ht="31.5" x14ac:dyDescent="0.25">
      <c r="A767" s="370" t="s">
        <v>914</v>
      </c>
      <c r="B767" s="367">
        <v>906</v>
      </c>
      <c r="C767" s="371" t="s">
        <v>279</v>
      </c>
      <c r="D767" s="371" t="s">
        <v>234</v>
      </c>
      <c r="E767" s="371" t="s">
        <v>909</v>
      </c>
      <c r="F767" s="371"/>
      <c r="G767" s="369">
        <f>G768</f>
        <v>550</v>
      </c>
      <c r="H767" s="21">
        <f t="shared" ref="H767:I769" si="352">H768</f>
        <v>600</v>
      </c>
      <c r="I767" s="21">
        <f t="shared" si="352"/>
        <v>600</v>
      </c>
    </row>
    <row r="768" spans="1:9" ht="15.75" x14ac:dyDescent="0.25">
      <c r="A768" s="372" t="s">
        <v>493</v>
      </c>
      <c r="B768" s="366">
        <v>906</v>
      </c>
      <c r="C768" s="368" t="s">
        <v>279</v>
      </c>
      <c r="D768" s="368" t="s">
        <v>234</v>
      </c>
      <c r="E768" s="368" t="s">
        <v>1058</v>
      </c>
      <c r="F768" s="368"/>
      <c r="G768" s="373">
        <f>G769</f>
        <v>550</v>
      </c>
      <c r="H768" s="26">
        <f t="shared" si="352"/>
        <v>600</v>
      </c>
      <c r="I768" s="26">
        <f t="shared" si="352"/>
        <v>600</v>
      </c>
    </row>
    <row r="769" spans="1:9" ht="31.5" x14ac:dyDescent="0.25">
      <c r="A769" s="372" t="s">
        <v>146</v>
      </c>
      <c r="B769" s="366">
        <v>906</v>
      </c>
      <c r="C769" s="368" t="s">
        <v>279</v>
      </c>
      <c r="D769" s="368" t="s">
        <v>234</v>
      </c>
      <c r="E769" s="368" t="s">
        <v>1058</v>
      </c>
      <c r="F769" s="368" t="s">
        <v>147</v>
      </c>
      <c r="G769" s="373">
        <f>G770</f>
        <v>550</v>
      </c>
      <c r="H769" s="26">
        <f t="shared" si="352"/>
        <v>600</v>
      </c>
      <c r="I769" s="26">
        <f t="shared" si="352"/>
        <v>600</v>
      </c>
    </row>
    <row r="770" spans="1:9" ht="31.5" x14ac:dyDescent="0.25">
      <c r="A770" s="372" t="s">
        <v>148</v>
      </c>
      <c r="B770" s="366">
        <v>906</v>
      </c>
      <c r="C770" s="368" t="s">
        <v>279</v>
      </c>
      <c r="D770" s="368" t="s">
        <v>234</v>
      </c>
      <c r="E770" s="368" t="s">
        <v>1058</v>
      </c>
      <c r="F770" s="368" t="s">
        <v>149</v>
      </c>
      <c r="G770" s="373">
        <f>300+250</f>
        <v>550</v>
      </c>
      <c r="H770" s="26">
        <f t="shared" ref="H770:I770" si="353">350-35+35+250</f>
        <v>600</v>
      </c>
      <c r="I770" s="26">
        <f t="shared" si="353"/>
        <v>600</v>
      </c>
    </row>
    <row r="771" spans="1:9" s="222" customFormat="1" ht="31.5" x14ac:dyDescent="0.25">
      <c r="A771" s="370" t="s">
        <v>1000</v>
      </c>
      <c r="B771" s="367">
        <v>906</v>
      </c>
      <c r="C771" s="371" t="s">
        <v>279</v>
      </c>
      <c r="D771" s="371" t="s">
        <v>234</v>
      </c>
      <c r="E771" s="371" t="s">
        <v>985</v>
      </c>
      <c r="F771" s="371"/>
      <c r="G771" s="369">
        <f>G772+G779</f>
        <v>14163.199999999999</v>
      </c>
      <c r="H771" s="21">
        <f t="shared" ref="H771:I771" si="354">H772+H779</f>
        <v>13838.4</v>
      </c>
      <c r="I771" s="21">
        <f t="shared" si="354"/>
        <v>13838.4</v>
      </c>
    </row>
    <row r="772" spans="1:9" ht="31.5" x14ac:dyDescent="0.25">
      <c r="A772" s="372" t="s">
        <v>1280</v>
      </c>
      <c r="B772" s="366">
        <v>906</v>
      </c>
      <c r="C772" s="368" t="s">
        <v>279</v>
      </c>
      <c r="D772" s="368" t="s">
        <v>234</v>
      </c>
      <c r="E772" s="368" t="s">
        <v>986</v>
      </c>
      <c r="F772" s="368"/>
      <c r="G772" s="373">
        <f>G773+G775+G777</f>
        <v>13827.199999999999</v>
      </c>
      <c r="H772" s="26">
        <f t="shared" ref="H772:I772" si="355">H773+H775+H777</f>
        <v>13838.4</v>
      </c>
      <c r="I772" s="26">
        <f t="shared" si="355"/>
        <v>13838.4</v>
      </c>
    </row>
    <row r="773" spans="1:9" ht="61.5" customHeight="1" x14ac:dyDescent="0.25">
      <c r="A773" s="372" t="s">
        <v>142</v>
      </c>
      <c r="B773" s="366">
        <v>906</v>
      </c>
      <c r="C773" s="368" t="s">
        <v>279</v>
      </c>
      <c r="D773" s="368" t="s">
        <v>234</v>
      </c>
      <c r="E773" s="368" t="s">
        <v>986</v>
      </c>
      <c r="F773" s="368" t="s">
        <v>143</v>
      </c>
      <c r="G773" s="373">
        <f>G774</f>
        <v>12735.199999999999</v>
      </c>
      <c r="H773" s="26">
        <f t="shared" ref="H773:I773" si="356">H774</f>
        <v>12520.9</v>
      </c>
      <c r="I773" s="26">
        <f t="shared" si="356"/>
        <v>12520.9</v>
      </c>
    </row>
    <row r="774" spans="1:9" ht="15.75" x14ac:dyDescent="0.25">
      <c r="A774" s="372" t="s">
        <v>357</v>
      </c>
      <c r="B774" s="366">
        <v>906</v>
      </c>
      <c r="C774" s="368" t="s">
        <v>279</v>
      </c>
      <c r="D774" s="368" t="s">
        <v>234</v>
      </c>
      <c r="E774" s="368" t="s">
        <v>986</v>
      </c>
      <c r="F774" s="368" t="s">
        <v>224</v>
      </c>
      <c r="G774" s="374">
        <f>12517+180.9+25.3+12</f>
        <v>12735.199999999999</v>
      </c>
      <c r="H774" s="27">
        <f t="shared" ref="H774:I774" si="357">11858.3-4.3+509+157.9</f>
        <v>12520.9</v>
      </c>
      <c r="I774" s="27">
        <f t="shared" si="357"/>
        <v>12520.9</v>
      </c>
    </row>
    <row r="775" spans="1:9" ht="31.5" x14ac:dyDescent="0.25">
      <c r="A775" s="372" t="s">
        <v>146</v>
      </c>
      <c r="B775" s="366">
        <v>906</v>
      </c>
      <c r="C775" s="368" t="s">
        <v>279</v>
      </c>
      <c r="D775" s="368" t="s">
        <v>234</v>
      </c>
      <c r="E775" s="368" t="s">
        <v>986</v>
      </c>
      <c r="F775" s="368" t="s">
        <v>147</v>
      </c>
      <c r="G775" s="373">
        <f>G776</f>
        <v>1077</v>
      </c>
      <c r="H775" s="26">
        <f t="shared" ref="H775:I775" si="358">H776</f>
        <v>1302.0999999999999</v>
      </c>
      <c r="I775" s="26">
        <f t="shared" si="358"/>
        <v>1302.0999999999999</v>
      </c>
    </row>
    <row r="776" spans="1:9" ht="33" customHeight="1" x14ac:dyDescent="0.25">
      <c r="A776" s="372" t="s">
        <v>148</v>
      </c>
      <c r="B776" s="366">
        <v>906</v>
      </c>
      <c r="C776" s="368" t="s">
        <v>279</v>
      </c>
      <c r="D776" s="368" t="s">
        <v>234</v>
      </c>
      <c r="E776" s="368" t="s">
        <v>986</v>
      </c>
      <c r="F776" s="368" t="s">
        <v>149</v>
      </c>
      <c r="G776" s="373">
        <f>1077</f>
        <v>1077</v>
      </c>
      <c r="H776" s="26">
        <f t="shared" ref="H776:I776" si="359">1272.1+30</f>
        <v>1302.0999999999999</v>
      </c>
      <c r="I776" s="26">
        <f t="shared" si="359"/>
        <v>1302.0999999999999</v>
      </c>
    </row>
    <row r="777" spans="1:9" ht="15.75" x14ac:dyDescent="0.25">
      <c r="A777" s="372" t="s">
        <v>150</v>
      </c>
      <c r="B777" s="366">
        <v>906</v>
      </c>
      <c r="C777" s="368" t="s">
        <v>279</v>
      </c>
      <c r="D777" s="368" t="s">
        <v>234</v>
      </c>
      <c r="E777" s="368" t="s">
        <v>986</v>
      </c>
      <c r="F777" s="368" t="s">
        <v>160</v>
      </c>
      <c r="G777" s="373">
        <f>G778</f>
        <v>15</v>
      </c>
      <c r="H777" s="26">
        <f t="shared" ref="H777:I777" si="360">H778</f>
        <v>15.4</v>
      </c>
      <c r="I777" s="26">
        <f t="shared" si="360"/>
        <v>15.4</v>
      </c>
    </row>
    <row r="778" spans="1:9" ht="15.75" x14ac:dyDescent="0.25">
      <c r="A778" s="372" t="s">
        <v>583</v>
      </c>
      <c r="B778" s="366">
        <v>906</v>
      </c>
      <c r="C778" s="368" t="s">
        <v>279</v>
      </c>
      <c r="D778" s="368" t="s">
        <v>234</v>
      </c>
      <c r="E778" s="368" t="s">
        <v>986</v>
      </c>
      <c r="F778" s="368" t="s">
        <v>153</v>
      </c>
      <c r="G778" s="373">
        <f>15.4-0.4</f>
        <v>15</v>
      </c>
      <c r="H778" s="26">
        <f t="shared" ref="H778:I778" si="361">15.4</f>
        <v>15.4</v>
      </c>
      <c r="I778" s="26">
        <f t="shared" si="361"/>
        <v>15.4</v>
      </c>
    </row>
    <row r="779" spans="1:9" s="222" customFormat="1" ht="31.5" x14ac:dyDescent="0.25">
      <c r="A779" s="372" t="s">
        <v>883</v>
      </c>
      <c r="B779" s="366">
        <v>906</v>
      </c>
      <c r="C779" s="368" t="s">
        <v>279</v>
      </c>
      <c r="D779" s="368" t="s">
        <v>234</v>
      </c>
      <c r="E779" s="368" t="s">
        <v>987</v>
      </c>
      <c r="F779" s="368"/>
      <c r="G779" s="373">
        <f>G780</f>
        <v>336</v>
      </c>
      <c r="H779" s="26">
        <f t="shared" ref="H779:I780" si="362">H780</f>
        <v>0</v>
      </c>
      <c r="I779" s="26">
        <f t="shared" si="362"/>
        <v>0</v>
      </c>
    </row>
    <row r="780" spans="1:9" s="222" customFormat="1" ht="63" x14ac:dyDescent="0.25">
      <c r="A780" s="372" t="s">
        <v>142</v>
      </c>
      <c r="B780" s="366">
        <v>906</v>
      </c>
      <c r="C780" s="368" t="s">
        <v>279</v>
      </c>
      <c r="D780" s="368" t="s">
        <v>234</v>
      </c>
      <c r="E780" s="368" t="s">
        <v>987</v>
      </c>
      <c r="F780" s="368" t="s">
        <v>143</v>
      </c>
      <c r="G780" s="373">
        <f>G781</f>
        <v>336</v>
      </c>
      <c r="H780" s="26">
        <f t="shared" si="362"/>
        <v>0</v>
      </c>
      <c r="I780" s="26">
        <f t="shared" si="362"/>
        <v>0</v>
      </c>
    </row>
    <row r="781" spans="1:9" s="222" customFormat="1" ht="15.75" x14ac:dyDescent="0.25">
      <c r="A781" s="372" t="s">
        <v>357</v>
      </c>
      <c r="B781" s="366">
        <v>906</v>
      </c>
      <c r="C781" s="368" t="s">
        <v>279</v>
      </c>
      <c r="D781" s="368" t="s">
        <v>234</v>
      </c>
      <c r="E781" s="368" t="s">
        <v>987</v>
      </c>
      <c r="F781" s="368" t="s">
        <v>224</v>
      </c>
      <c r="G781" s="373">
        <v>336</v>
      </c>
      <c r="H781" s="26"/>
      <c r="I781" s="26"/>
    </row>
    <row r="782" spans="1:9" ht="36.75" customHeight="1" x14ac:dyDescent="0.25">
      <c r="A782" s="367" t="s">
        <v>495</v>
      </c>
      <c r="B782" s="367">
        <v>907</v>
      </c>
      <c r="C782" s="368"/>
      <c r="D782" s="368"/>
      <c r="E782" s="368"/>
      <c r="F782" s="368"/>
      <c r="G782" s="369">
        <f>G790+G783</f>
        <v>66134.7304</v>
      </c>
      <c r="H782" s="21" t="e">
        <f t="shared" ref="H782:I782" si="363">H790</f>
        <v>#REF!</v>
      </c>
      <c r="I782" s="21" t="e">
        <f t="shared" si="363"/>
        <v>#REF!</v>
      </c>
    </row>
    <row r="783" spans="1:9" s="222" customFormat="1" ht="18.75" customHeight="1" x14ac:dyDescent="0.25">
      <c r="A783" s="370" t="s">
        <v>132</v>
      </c>
      <c r="B783" s="367">
        <v>907</v>
      </c>
      <c r="C783" s="371" t="s">
        <v>133</v>
      </c>
      <c r="D783" s="371"/>
      <c r="E783" s="371"/>
      <c r="F783" s="371"/>
      <c r="G783" s="369">
        <f t="shared" ref="G783:G784" si="364">G784</f>
        <v>70</v>
      </c>
      <c r="H783" s="21"/>
      <c r="I783" s="21"/>
    </row>
    <row r="784" spans="1:9" s="222" customFormat="1" ht="21.75" customHeight="1" x14ac:dyDescent="0.25">
      <c r="A784" s="34" t="s">
        <v>154</v>
      </c>
      <c r="B784" s="367">
        <v>907</v>
      </c>
      <c r="C784" s="371" t="s">
        <v>133</v>
      </c>
      <c r="D784" s="371" t="s">
        <v>155</v>
      </c>
      <c r="E784" s="371"/>
      <c r="F784" s="371"/>
      <c r="G784" s="369">
        <f t="shared" si="364"/>
        <v>70</v>
      </c>
      <c r="H784" s="21"/>
      <c r="I784" s="21"/>
    </row>
    <row r="785" spans="1:9" s="222" customFormat="1" ht="56.25" customHeight="1" x14ac:dyDescent="0.25">
      <c r="A785" s="370" t="s">
        <v>349</v>
      </c>
      <c r="B785" s="367">
        <v>907</v>
      </c>
      <c r="C785" s="371" t="s">
        <v>133</v>
      </c>
      <c r="D785" s="371" t="s">
        <v>155</v>
      </c>
      <c r="E785" s="371" t="s">
        <v>350</v>
      </c>
      <c r="F785" s="371"/>
      <c r="G785" s="369">
        <f>G786</f>
        <v>70</v>
      </c>
      <c r="H785" s="21"/>
      <c r="I785" s="21"/>
    </row>
    <row r="786" spans="1:9" s="222" customFormat="1" ht="36.75" customHeight="1" x14ac:dyDescent="0.25">
      <c r="A786" s="240" t="s">
        <v>1225</v>
      </c>
      <c r="B786" s="367">
        <v>907</v>
      </c>
      <c r="C786" s="371" t="s">
        <v>133</v>
      </c>
      <c r="D786" s="371" t="s">
        <v>155</v>
      </c>
      <c r="E786" s="371" t="s">
        <v>1226</v>
      </c>
      <c r="F786" s="371"/>
      <c r="G786" s="369">
        <f>G787</f>
        <v>70</v>
      </c>
      <c r="H786" s="21"/>
      <c r="I786" s="21"/>
    </row>
    <row r="787" spans="1:9" s="222" customFormat="1" ht="36.75" customHeight="1" x14ac:dyDescent="0.25">
      <c r="A787" s="98" t="s">
        <v>351</v>
      </c>
      <c r="B787" s="366">
        <v>907</v>
      </c>
      <c r="C787" s="368" t="s">
        <v>133</v>
      </c>
      <c r="D787" s="368" t="s">
        <v>155</v>
      </c>
      <c r="E787" s="368" t="s">
        <v>1227</v>
      </c>
      <c r="F787" s="368"/>
      <c r="G787" s="373">
        <f>G788</f>
        <v>70</v>
      </c>
      <c r="H787" s="21"/>
      <c r="I787" s="21"/>
    </row>
    <row r="788" spans="1:9" s="222" customFormat="1" ht="36.75" customHeight="1" x14ac:dyDescent="0.25">
      <c r="A788" s="372" t="s">
        <v>146</v>
      </c>
      <c r="B788" s="366">
        <v>907</v>
      </c>
      <c r="C788" s="368" t="s">
        <v>133</v>
      </c>
      <c r="D788" s="368" t="s">
        <v>155</v>
      </c>
      <c r="E788" s="368" t="s">
        <v>1227</v>
      </c>
      <c r="F788" s="368" t="s">
        <v>147</v>
      </c>
      <c r="G788" s="373">
        <f>G789</f>
        <v>70</v>
      </c>
      <c r="H788" s="21"/>
      <c r="I788" s="21"/>
    </row>
    <row r="789" spans="1:9" s="222" customFormat="1" ht="36.75" customHeight="1" x14ac:dyDescent="0.25">
      <c r="A789" s="372" t="s">
        <v>148</v>
      </c>
      <c r="B789" s="366">
        <v>907</v>
      </c>
      <c r="C789" s="368" t="s">
        <v>133</v>
      </c>
      <c r="D789" s="368" t="s">
        <v>155</v>
      </c>
      <c r="E789" s="368" t="s">
        <v>1227</v>
      </c>
      <c r="F789" s="368" t="s">
        <v>149</v>
      </c>
      <c r="G789" s="373">
        <v>70</v>
      </c>
      <c r="H789" s="21"/>
      <c r="I789" s="21"/>
    </row>
    <row r="790" spans="1:9" ht="15.75" x14ac:dyDescent="0.25">
      <c r="A790" s="370" t="s">
        <v>505</v>
      </c>
      <c r="B790" s="367">
        <v>907</v>
      </c>
      <c r="C790" s="371" t="s">
        <v>506</v>
      </c>
      <c r="D790" s="368"/>
      <c r="E790" s="368"/>
      <c r="F790" s="368"/>
      <c r="G790" s="369">
        <f>G791+G848</f>
        <v>66064.7304</v>
      </c>
      <c r="H790" s="21" t="e">
        <f>H791+H848</f>
        <v>#REF!</v>
      </c>
      <c r="I790" s="21" t="e">
        <f>I791+I848</f>
        <v>#REF!</v>
      </c>
    </row>
    <row r="791" spans="1:9" s="222" customFormat="1" ht="15.75" x14ac:dyDescent="0.25">
      <c r="A791" s="370" t="s">
        <v>507</v>
      </c>
      <c r="B791" s="367">
        <v>907</v>
      </c>
      <c r="C791" s="371" t="s">
        <v>506</v>
      </c>
      <c r="D791" s="371" t="s">
        <v>133</v>
      </c>
      <c r="E791" s="368"/>
      <c r="F791" s="368"/>
      <c r="G791" s="369">
        <f>G796+G843</f>
        <v>52846.530400000003</v>
      </c>
      <c r="H791" s="21" t="e">
        <f>H796+H843</f>
        <v>#REF!</v>
      </c>
      <c r="I791" s="21" t="e">
        <f>I796+I843</f>
        <v>#REF!</v>
      </c>
    </row>
    <row r="792" spans="1:9" s="222" customFormat="1" ht="47.25" hidden="1" x14ac:dyDescent="0.25">
      <c r="A792" s="370" t="s">
        <v>1169</v>
      </c>
      <c r="B792" s="367">
        <v>907</v>
      </c>
      <c r="C792" s="371" t="s">
        <v>506</v>
      </c>
      <c r="D792" s="371" t="s">
        <v>133</v>
      </c>
      <c r="E792" s="371" t="s">
        <v>1114</v>
      </c>
      <c r="F792" s="368"/>
      <c r="G792" s="369">
        <f>G793</f>
        <v>0</v>
      </c>
      <c r="H792" s="21"/>
      <c r="I792" s="21"/>
    </row>
    <row r="793" spans="1:9" s="222" customFormat="1" ht="31.5" hidden="1" x14ac:dyDescent="0.25">
      <c r="A793" s="372" t="s">
        <v>1509</v>
      </c>
      <c r="B793" s="366">
        <v>907</v>
      </c>
      <c r="C793" s="368" t="s">
        <v>506</v>
      </c>
      <c r="D793" s="368" t="s">
        <v>133</v>
      </c>
      <c r="E793" s="368" t="s">
        <v>1508</v>
      </c>
      <c r="F793" s="368"/>
      <c r="G793" s="373">
        <f>G794</f>
        <v>0</v>
      </c>
      <c r="H793" s="21"/>
      <c r="I793" s="21"/>
    </row>
    <row r="794" spans="1:9" s="222" customFormat="1" ht="31.5" hidden="1" x14ac:dyDescent="0.25">
      <c r="A794" s="372" t="s">
        <v>146</v>
      </c>
      <c r="B794" s="366">
        <v>907</v>
      </c>
      <c r="C794" s="368" t="s">
        <v>506</v>
      </c>
      <c r="D794" s="368" t="s">
        <v>133</v>
      </c>
      <c r="E794" s="368" t="s">
        <v>1508</v>
      </c>
      <c r="F794" s="368" t="s">
        <v>147</v>
      </c>
      <c r="G794" s="373">
        <f>G795</f>
        <v>0</v>
      </c>
      <c r="H794" s="21"/>
      <c r="I794" s="21"/>
    </row>
    <row r="795" spans="1:9" s="222" customFormat="1" ht="31.5" hidden="1" x14ac:dyDescent="0.25">
      <c r="A795" s="372" t="s">
        <v>148</v>
      </c>
      <c r="B795" s="366">
        <v>907</v>
      </c>
      <c r="C795" s="368" t="s">
        <v>506</v>
      </c>
      <c r="D795" s="368" t="s">
        <v>133</v>
      </c>
      <c r="E795" s="368" t="s">
        <v>1508</v>
      </c>
      <c r="F795" s="368" t="s">
        <v>149</v>
      </c>
      <c r="G795" s="373">
        <v>0</v>
      </c>
      <c r="H795" s="21"/>
      <c r="I795" s="21"/>
    </row>
    <row r="796" spans="1:9" s="222" customFormat="1" ht="47.25" x14ac:dyDescent="0.25">
      <c r="A796" s="370" t="s">
        <v>496</v>
      </c>
      <c r="B796" s="367">
        <v>907</v>
      </c>
      <c r="C796" s="371" t="s">
        <v>506</v>
      </c>
      <c r="D796" s="371" t="s">
        <v>133</v>
      </c>
      <c r="E796" s="371" t="s">
        <v>497</v>
      </c>
      <c r="F796" s="371"/>
      <c r="G796" s="369">
        <f>G797</f>
        <v>52306.430400000005</v>
      </c>
      <c r="H796" s="21" t="e">
        <f t="shared" ref="H796:I796" si="365">H797</f>
        <v>#REF!</v>
      </c>
      <c r="I796" s="21" t="e">
        <f t="shared" si="365"/>
        <v>#REF!</v>
      </c>
    </row>
    <row r="797" spans="1:9" ht="47.25" x14ac:dyDescent="0.25">
      <c r="A797" s="370" t="s">
        <v>508</v>
      </c>
      <c r="B797" s="367">
        <v>907</v>
      </c>
      <c r="C797" s="371" t="s">
        <v>506</v>
      </c>
      <c r="D797" s="371" t="s">
        <v>133</v>
      </c>
      <c r="E797" s="371" t="s">
        <v>509</v>
      </c>
      <c r="F797" s="371"/>
      <c r="G797" s="369">
        <f>G798+G808+G818+G825+G832+G836</f>
        <v>52306.430400000005</v>
      </c>
      <c r="H797" s="21" t="e">
        <f>H798+H808+H818</f>
        <v>#REF!</v>
      </c>
      <c r="I797" s="21" t="e">
        <f>I798+I808+I818</f>
        <v>#REF!</v>
      </c>
    </row>
    <row r="798" spans="1:9" ht="31.5" x14ac:dyDescent="0.25">
      <c r="A798" s="370" t="s">
        <v>1026</v>
      </c>
      <c r="B798" s="367">
        <v>907</v>
      </c>
      <c r="C798" s="371" t="s">
        <v>506</v>
      </c>
      <c r="D798" s="371" t="s">
        <v>133</v>
      </c>
      <c r="E798" s="371" t="s">
        <v>1059</v>
      </c>
      <c r="F798" s="371"/>
      <c r="G798" s="369">
        <f>G799+G802+G805</f>
        <v>44780.4</v>
      </c>
      <c r="H798" s="21" t="e">
        <f>H799+#REF!+#REF!+H825</f>
        <v>#REF!</v>
      </c>
      <c r="I798" s="21" t="e">
        <f>I799+#REF!+#REF!+I825</f>
        <v>#REF!</v>
      </c>
    </row>
    <row r="799" spans="1:9" ht="47.25" x14ac:dyDescent="0.25">
      <c r="A799" s="372" t="s">
        <v>1467</v>
      </c>
      <c r="B799" s="366">
        <v>907</v>
      </c>
      <c r="C799" s="368" t="s">
        <v>506</v>
      </c>
      <c r="D799" s="368" t="s">
        <v>133</v>
      </c>
      <c r="E799" s="368" t="s">
        <v>1069</v>
      </c>
      <c r="F799" s="368"/>
      <c r="G799" s="373">
        <f>G800</f>
        <v>12963.2</v>
      </c>
      <c r="H799" s="26">
        <f t="shared" ref="H799:I800" si="366">H800</f>
        <v>12832.4</v>
      </c>
      <c r="I799" s="26">
        <f t="shared" si="366"/>
        <v>12832.4</v>
      </c>
    </row>
    <row r="800" spans="1:9" ht="36" customHeight="1" x14ac:dyDescent="0.25">
      <c r="A800" s="372" t="s">
        <v>287</v>
      </c>
      <c r="B800" s="366">
        <v>907</v>
      </c>
      <c r="C800" s="368" t="s">
        <v>506</v>
      </c>
      <c r="D800" s="368" t="s">
        <v>133</v>
      </c>
      <c r="E800" s="368" t="s">
        <v>1069</v>
      </c>
      <c r="F800" s="368" t="s">
        <v>288</v>
      </c>
      <c r="G800" s="373">
        <f>G801</f>
        <v>12963.2</v>
      </c>
      <c r="H800" s="26">
        <f t="shared" si="366"/>
        <v>12832.4</v>
      </c>
      <c r="I800" s="26">
        <f t="shared" si="366"/>
        <v>12832.4</v>
      </c>
    </row>
    <row r="801" spans="1:10" ht="15.75" x14ac:dyDescent="0.25">
      <c r="A801" s="372" t="s">
        <v>289</v>
      </c>
      <c r="B801" s="366">
        <v>907</v>
      </c>
      <c r="C801" s="368" t="s">
        <v>506</v>
      </c>
      <c r="D801" s="368" t="s">
        <v>133</v>
      </c>
      <c r="E801" s="368" t="s">
        <v>1069</v>
      </c>
      <c r="F801" s="368" t="s">
        <v>290</v>
      </c>
      <c r="G801" s="374">
        <f>12832.4-0.4+776-500-55.5-89.3</f>
        <v>12963.2</v>
      </c>
      <c r="H801" s="27">
        <v>12832.4</v>
      </c>
      <c r="I801" s="27">
        <v>12832.4</v>
      </c>
      <c r="J801" s="109"/>
    </row>
    <row r="802" spans="1:10" s="222" customFormat="1" ht="47.25" x14ac:dyDescent="0.25">
      <c r="A802" s="372" t="s">
        <v>1465</v>
      </c>
      <c r="B802" s="366">
        <v>907</v>
      </c>
      <c r="C802" s="368" t="s">
        <v>506</v>
      </c>
      <c r="D802" s="368" t="s">
        <v>133</v>
      </c>
      <c r="E802" s="368" t="s">
        <v>1070</v>
      </c>
      <c r="F802" s="368"/>
      <c r="G802" s="373">
        <f>G803</f>
        <v>13290.199999999999</v>
      </c>
      <c r="H802" s="27"/>
      <c r="I802" s="27"/>
      <c r="J802" s="109"/>
    </row>
    <row r="803" spans="1:10" s="222" customFormat="1" ht="31.5" x14ac:dyDescent="0.25">
      <c r="A803" s="372" t="s">
        <v>287</v>
      </c>
      <c r="B803" s="366">
        <v>907</v>
      </c>
      <c r="C803" s="368" t="s">
        <v>506</v>
      </c>
      <c r="D803" s="368" t="s">
        <v>133</v>
      </c>
      <c r="E803" s="368" t="s">
        <v>1070</v>
      </c>
      <c r="F803" s="368" t="s">
        <v>288</v>
      </c>
      <c r="G803" s="373">
        <f>G804</f>
        <v>13290.199999999999</v>
      </c>
      <c r="H803" s="27"/>
      <c r="I803" s="27"/>
      <c r="J803" s="109"/>
    </row>
    <row r="804" spans="1:10" s="222" customFormat="1" ht="15.75" x14ac:dyDescent="0.25">
      <c r="A804" s="372" t="s">
        <v>289</v>
      </c>
      <c r="B804" s="366">
        <v>907</v>
      </c>
      <c r="C804" s="368" t="s">
        <v>506</v>
      </c>
      <c r="D804" s="368" t="s">
        <v>133</v>
      </c>
      <c r="E804" s="368" t="s">
        <v>1070</v>
      </c>
      <c r="F804" s="368" t="s">
        <v>290</v>
      </c>
      <c r="G804" s="373">
        <f>12897+253.9+89.3+50</f>
        <v>13290.199999999999</v>
      </c>
      <c r="H804" s="27"/>
      <c r="I804" s="27"/>
      <c r="J804" s="109"/>
    </row>
    <row r="805" spans="1:10" s="222" customFormat="1" ht="47.25" x14ac:dyDescent="0.25">
      <c r="A805" s="372" t="s">
        <v>1466</v>
      </c>
      <c r="B805" s="366">
        <v>907</v>
      </c>
      <c r="C805" s="368" t="s">
        <v>506</v>
      </c>
      <c r="D805" s="368" t="s">
        <v>133</v>
      </c>
      <c r="E805" s="368" t="s">
        <v>1071</v>
      </c>
      <c r="F805" s="368"/>
      <c r="G805" s="373">
        <f>G806</f>
        <v>18527</v>
      </c>
      <c r="H805" s="27"/>
      <c r="I805" s="27"/>
      <c r="J805" s="109"/>
    </row>
    <row r="806" spans="1:10" s="222" customFormat="1" ht="31.5" x14ac:dyDescent="0.25">
      <c r="A806" s="372" t="s">
        <v>287</v>
      </c>
      <c r="B806" s="366">
        <v>907</v>
      </c>
      <c r="C806" s="368" t="s">
        <v>506</v>
      </c>
      <c r="D806" s="368" t="s">
        <v>133</v>
      </c>
      <c r="E806" s="368" t="s">
        <v>1071</v>
      </c>
      <c r="F806" s="368" t="s">
        <v>288</v>
      </c>
      <c r="G806" s="373">
        <f>G807</f>
        <v>18527</v>
      </c>
      <c r="H806" s="27"/>
      <c r="I806" s="27"/>
      <c r="J806" s="109"/>
    </row>
    <row r="807" spans="1:10" s="222" customFormat="1" ht="15.75" x14ac:dyDescent="0.25">
      <c r="A807" s="372" t="s">
        <v>289</v>
      </c>
      <c r="B807" s="366">
        <v>907</v>
      </c>
      <c r="C807" s="368" t="s">
        <v>506</v>
      </c>
      <c r="D807" s="368" t="s">
        <v>133</v>
      </c>
      <c r="E807" s="368" t="s">
        <v>1071</v>
      </c>
      <c r="F807" s="368" t="s">
        <v>290</v>
      </c>
      <c r="G807" s="373">
        <f>18577-50</f>
        <v>18527</v>
      </c>
      <c r="H807" s="27"/>
      <c r="I807" s="27"/>
      <c r="J807" s="109"/>
    </row>
    <row r="808" spans="1:10" s="222" customFormat="1" ht="15.75" x14ac:dyDescent="0.25">
      <c r="A808" s="370" t="s">
        <v>1072</v>
      </c>
      <c r="B808" s="367">
        <v>907</v>
      </c>
      <c r="C808" s="371" t="s">
        <v>506</v>
      </c>
      <c r="D808" s="371" t="s">
        <v>133</v>
      </c>
      <c r="E808" s="371" t="s">
        <v>1073</v>
      </c>
      <c r="F808" s="371"/>
      <c r="G808" s="44">
        <f>G809+G812+G815</f>
        <v>36</v>
      </c>
      <c r="H808" s="44">
        <f t="shared" ref="H808:I808" si="367">H809+H812+H815</f>
        <v>651</v>
      </c>
      <c r="I808" s="44">
        <f t="shared" si="367"/>
        <v>651</v>
      </c>
      <c r="J808" s="109"/>
    </row>
    <row r="809" spans="1:10" ht="31.7" hidden="1" customHeight="1" x14ac:dyDescent="0.25">
      <c r="A809" s="372" t="s">
        <v>293</v>
      </c>
      <c r="B809" s="366">
        <v>907</v>
      </c>
      <c r="C809" s="368" t="s">
        <v>506</v>
      </c>
      <c r="D809" s="368" t="s">
        <v>133</v>
      </c>
      <c r="E809" s="368" t="s">
        <v>1077</v>
      </c>
      <c r="F809" s="368"/>
      <c r="G809" s="373">
        <f>G810</f>
        <v>0</v>
      </c>
      <c r="H809" s="26">
        <f t="shared" ref="H809:I810" si="368">H810</f>
        <v>429.6</v>
      </c>
      <c r="I809" s="26">
        <f t="shared" si="368"/>
        <v>429.6</v>
      </c>
      <c r="J809" s="354"/>
    </row>
    <row r="810" spans="1:10" ht="31.5" hidden="1" x14ac:dyDescent="0.25">
      <c r="A810" s="372" t="s">
        <v>287</v>
      </c>
      <c r="B810" s="366">
        <v>907</v>
      </c>
      <c r="C810" s="368" t="s">
        <v>506</v>
      </c>
      <c r="D810" s="368" t="s">
        <v>133</v>
      </c>
      <c r="E810" s="368" t="s">
        <v>1077</v>
      </c>
      <c r="F810" s="368" t="s">
        <v>288</v>
      </c>
      <c r="G810" s="373">
        <f>G811</f>
        <v>0</v>
      </c>
      <c r="H810" s="26">
        <f t="shared" si="368"/>
        <v>429.6</v>
      </c>
      <c r="I810" s="26">
        <f t="shared" si="368"/>
        <v>429.6</v>
      </c>
      <c r="J810" s="109"/>
    </row>
    <row r="811" spans="1:10" ht="15.75" hidden="1" x14ac:dyDescent="0.25">
      <c r="A811" s="372" t="s">
        <v>289</v>
      </c>
      <c r="B811" s="366">
        <v>907</v>
      </c>
      <c r="C811" s="368" t="s">
        <v>506</v>
      </c>
      <c r="D811" s="368" t="s">
        <v>133</v>
      </c>
      <c r="E811" s="368" t="s">
        <v>1077</v>
      </c>
      <c r="F811" s="368" t="s">
        <v>290</v>
      </c>
      <c r="G811" s="373">
        <v>0</v>
      </c>
      <c r="H811" s="26">
        <v>429.6</v>
      </c>
      <c r="I811" s="26">
        <v>429.6</v>
      </c>
      <c r="J811" s="109"/>
    </row>
    <row r="812" spans="1:10" ht="33" hidden="1" customHeight="1" x14ac:dyDescent="0.25">
      <c r="A812" s="372" t="s">
        <v>295</v>
      </c>
      <c r="B812" s="366">
        <v>907</v>
      </c>
      <c r="C812" s="368" t="s">
        <v>506</v>
      </c>
      <c r="D812" s="368" t="s">
        <v>133</v>
      </c>
      <c r="E812" s="368" t="s">
        <v>1078</v>
      </c>
      <c r="F812" s="368"/>
      <c r="G812" s="373">
        <f>G813</f>
        <v>0</v>
      </c>
      <c r="H812" s="26">
        <f t="shared" ref="H812:I813" si="369">H813</f>
        <v>185.4</v>
      </c>
      <c r="I812" s="26">
        <f t="shared" si="369"/>
        <v>185.4</v>
      </c>
      <c r="J812" s="109"/>
    </row>
    <row r="813" spans="1:10" ht="37.5" hidden="1" customHeight="1" x14ac:dyDescent="0.25">
      <c r="A813" s="372" t="s">
        <v>287</v>
      </c>
      <c r="B813" s="366">
        <v>907</v>
      </c>
      <c r="C813" s="368" t="s">
        <v>506</v>
      </c>
      <c r="D813" s="368" t="s">
        <v>133</v>
      </c>
      <c r="E813" s="368" t="s">
        <v>1078</v>
      </c>
      <c r="F813" s="368" t="s">
        <v>288</v>
      </c>
      <c r="G813" s="373">
        <f>G814</f>
        <v>0</v>
      </c>
      <c r="H813" s="26">
        <f t="shared" si="369"/>
        <v>185.4</v>
      </c>
      <c r="I813" s="26">
        <f t="shared" si="369"/>
        <v>185.4</v>
      </c>
      <c r="J813" s="109"/>
    </row>
    <row r="814" spans="1:10" ht="15.75" hidden="1" customHeight="1" x14ac:dyDescent="0.25">
      <c r="A814" s="372" t="s">
        <v>289</v>
      </c>
      <c r="B814" s="366">
        <v>907</v>
      </c>
      <c r="C814" s="368" t="s">
        <v>506</v>
      </c>
      <c r="D814" s="368" t="s">
        <v>133</v>
      </c>
      <c r="E814" s="368" t="s">
        <v>1078</v>
      </c>
      <c r="F814" s="368" t="s">
        <v>290</v>
      </c>
      <c r="G814" s="373">
        <v>0</v>
      </c>
      <c r="H814" s="26">
        <v>185.4</v>
      </c>
      <c r="I814" s="26">
        <v>185.4</v>
      </c>
      <c r="J814" s="109"/>
    </row>
    <row r="815" spans="1:10" s="222" customFormat="1" ht="15.75" customHeight="1" x14ac:dyDescent="0.25">
      <c r="A815" s="372" t="s">
        <v>874</v>
      </c>
      <c r="B815" s="366">
        <v>907</v>
      </c>
      <c r="C815" s="368" t="s">
        <v>506</v>
      </c>
      <c r="D815" s="368" t="s">
        <v>133</v>
      </c>
      <c r="E815" s="368" t="s">
        <v>1079</v>
      </c>
      <c r="F815" s="368"/>
      <c r="G815" s="373">
        <f>G816</f>
        <v>36</v>
      </c>
      <c r="H815" s="26">
        <f t="shared" ref="H815:I816" si="370">H816</f>
        <v>36</v>
      </c>
      <c r="I815" s="26">
        <f t="shared" si="370"/>
        <v>36</v>
      </c>
      <c r="J815" s="109"/>
    </row>
    <row r="816" spans="1:10" s="222" customFormat="1" ht="41.25" customHeight="1" x14ac:dyDescent="0.25">
      <c r="A816" s="372" t="s">
        <v>287</v>
      </c>
      <c r="B816" s="366">
        <v>907</v>
      </c>
      <c r="C816" s="368" t="s">
        <v>506</v>
      </c>
      <c r="D816" s="368" t="s">
        <v>133</v>
      </c>
      <c r="E816" s="368" t="s">
        <v>1079</v>
      </c>
      <c r="F816" s="368" t="s">
        <v>288</v>
      </c>
      <c r="G816" s="373">
        <f>G817</f>
        <v>36</v>
      </c>
      <c r="H816" s="26">
        <f t="shared" si="370"/>
        <v>36</v>
      </c>
      <c r="I816" s="26">
        <f t="shared" si="370"/>
        <v>36</v>
      </c>
      <c r="J816" s="109"/>
    </row>
    <row r="817" spans="1:10" s="222" customFormat="1" ht="15.75" customHeight="1" x14ac:dyDescent="0.25">
      <c r="A817" s="372" t="s">
        <v>289</v>
      </c>
      <c r="B817" s="366">
        <v>907</v>
      </c>
      <c r="C817" s="368" t="s">
        <v>506</v>
      </c>
      <c r="D817" s="368" t="s">
        <v>133</v>
      </c>
      <c r="E817" s="368" t="s">
        <v>1079</v>
      </c>
      <c r="F817" s="368" t="s">
        <v>290</v>
      </c>
      <c r="G817" s="373">
        <v>36</v>
      </c>
      <c r="H817" s="26">
        <v>36</v>
      </c>
      <c r="I817" s="26">
        <v>36</v>
      </c>
      <c r="J817" s="109"/>
    </row>
    <row r="818" spans="1:10" s="222" customFormat="1" ht="35.450000000000003" customHeight="1" x14ac:dyDescent="0.25">
      <c r="A818" s="370" t="s">
        <v>1074</v>
      </c>
      <c r="B818" s="367">
        <v>907</v>
      </c>
      <c r="C818" s="371" t="s">
        <v>506</v>
      </c>
      <c r="D818" s="371" t="s">
        <v>133</v>
      </c>
      <c r="E818" s="371" t="s">
        <v>1076</v>
      </c>
      <c r="F818" s="371"/>
      <c r="G818" s="369">
        <f>G819+G822</f>
        <v>1205.8</v>
      </c>
      <c r="H818" s="21">
        <f t="shared" ref="H818:I818" si="371">H819+H822</f>
        <v>1247</v>
      </c>
      <c r="I818" s="21">
        <f t="shared" si="371"/>
        <v>1247</v>
      </c>
      <c r="J818" s="109"/>
    </row>
    <row r="819" spans="1:10" ht="33.75" hidden="1" customHeight="1" x14ac:dyDescent="0.25">
      <c r="A819" s="372" t="s">
        <v>815</v>
      </c>
      <c r="B819" s="366">
        <v>907</v>
      </c>
      <c r="C819" s="368" t="s">
        <v>506</v>
      </c>
      <c r="D819" s="368" t="s">
        <v>133</v>
      </c>
      <c r="E819" s="368" t="s">
        <v>1080</v>
      </c>
      <c r="F819" s="368"/>
      <c r="G819" s="373">
        <f>G820</f>
        <v>0</v>
      </c>
      <c r="H819" s="26">
        <f t="shared" ref="H819:I820" si="372">H820</f>
        <v>53.7</v>
      </c>
      <c r="I819" s="26">
        <f t="shared" si="372"/>
        <v>53.7</v>
      </c>
      <c r="J819" s="109"/>
    </row>
    <row r="820" spans="1:10" ht="31.5" hidden="1" x14ac:dyDescent="0.25">
      <c r="A820" s="372" t="s">
        <v>287</v>
      </c>
      <c r="B820" s="366">
        <v>907</v>
      </c>
      <c r="C820" s="368" t="s">
        <v>506</v>
      </c>
      <c r="D820" s="368" t="s">
        <v>133</v>
      </c>
      <c r="E820" s="368" t="s">
        <v>1080</v>
      </c>
      <c r="F820" s="368" t="s">
        <v>288</v>
      </c>
      <c r="G820" s="373">
        <f>G821</f>
        <v>0</v>
      </c>
      <c r="H820" s="26">
        <f t="shared" si="372"/>
        <v>53.7</v>
      </c>
      <c r="I820" s="26">
        <f t="shared" si="372"/>
        <v>53.7</v>
      </c>
      <c r="J820" s="109"/>
    </row>
    <row r="821" spans="1:10" ht="15.75" hidden="1" customHeight="1" x14ac:dyDescent="0.25">
      <c r="A821" s="372" t="s">
        <v>289</v>
      </c>
      <c r="B821" s="366">
        <v>907</v>
      </c>
      <c r="C821" s="368" t="s">
        <v>506</v>
      </c>
      <c r="D821" s="368" t="s">
        <v>133</v>
      </c>
      <c r="E821" s="368" t="s">
        <v>1080</v>
      </c>
      <c r="F821" s="368" t="s">
        <v>290</v>
      </c>
      <c r="G821" s="373">
        <v>0</v>
      </c>
      <c r="H821" s="26">
        <v>53.7</v>
      </c>
      <c r="I821" s="26">
        <v>53.7</v>
      </c>
      <c r="J821" s="109"/>
    </row>
    <row r="822" spans="1:10" ht="34.5" customHeight="1" x14ac:dyDescent="0.25">
      <c r="A822" s="45" t="s">
        <v>785</v>
      </c>
      <c r="B822" s="366">
        <v>907</v>
      </c>
      <c r="C822" s="368" t="s">
        <v>506</v>
      </c>
      <c r="D822" s="368" t="s">
        <v>133</v>
      </c>
      <c r="E822" s="368" t="s">
        <v>1081</v>
      </c>
      <c r="F822" s="368"/>
      <c r="G822" s="373">
        <f>G823</f>
        <v>1205.8</v>
      </c>
      <c r="H822" s="26">
        <f t="shared" ref="H822:I823" si="373">H823</f>
        <v>1193.3</v>
      </c>
      <c r="I822" s="26">
        <f t="shared" si="373"/>
        <v>1193.3</v>
      </c>
      <c r="J822" s="109"/>
    </row>
    <row r="823" spans="1:10" ht="33" customHeight="1" x14ac:dyDescent="0.25">
      <c r="A823" s="31" t="s">
        <v>287</v>
      </c>
      <c r="B823" s="366">
        <v>907</v>
      </c>
      <c r="C823" s="368" t="s">
        <v>506</v>
      </c>
      <c r="D823" s="368" t="s">
        <v>133</v>
      </c>
      <c r="E823" s="368" t="s">
        <v>1081</v>
      </c>
      <c r="F823" s="368" t="s">
        <v>288</v>
      </c>
      <c r="G823" s="373">
        <f>G824</f>
        <v>1205.8</v>
      </c>
      <c r="H823" s="26">
        <f t="shared" si="373"/>
        <v>1193.3</v>
      </c>
      <c r="I823" s="26">
        <f t="shared" si="373"/>
        <v>1193.3</v>
      </c>
      <c r="J823" s="109"/>
    </row>
    <row r="824" spans="1:10" ht="15.75" customHeight="1" x14ac:dyDescent="0.25">
      <c r="A824" s="31" t="s">
        <v>289</v>
      </c>
      <c r="B824" s="366">
        <v>907</v>
      </c>
      <c r="C824" s="368" t="s">
        <v>506</v>
      </c>
      <c r="D824" s="368" t="s">
        <v>133</v>
      </c>
      <c r="E824" s="368" t="s">
        <v>1081</v>
      </c>
      <c r="F824" s="368" t="s">
        <v>290</v>
      </c>
      <c r="G824" s="373">
        <f>756+394.3+55.5</f>
        <v>1205.8</v>
      </c>
      <c r="H824" s="26">
        <f t="shared" ref="H824:I824" si="374">808.1+438.9-53.7</f>
        <v>1193.3</v>
      </c>
      <c r="I824" s="26">
        <f t="shared" si="374"/>
        <v>1193.3</v>
      </c>
      <c r="J824" s="109"/>
    </row>
    <row r="825" spans="1:10" s="222" customFormat="1" ht="44.25" customHeight="1" x14ac:dyDescent="0.25">
      <c r="A825" s="370" t="s">
        <v>969</v>
      </c>
      <c r="B825" s="367">
        <v>907</v>
      </c>
      <c r="C825" s="371" t="s">
        <v>506</v>
      </c>
      <c r="D825" s="371" t="s">
        <v>133</v>
      </c>
      <c r="E825" s="371" t="s">
        <v>1082</v>
      </c>
      <c r="F825" s="371"/>
      <c r="G825" s="369">
        <f>G829+G826</f>
        <v>813.5</v>
      </c>
      <c r="H825" s="21">
        <f>H829</f>
        <v>870.2</v>
      </c>
      <c r="I825" s="21">
        <f>I829</f>
        <v>870.2</v>
      </c>
      <c r="J825" s="109"/>
    </row>
    <row r="826" spans="1:10" s="362" customFormat="1" ht="77.25" customHeight="1" x14ac:dyDescent="0.25">
      <c r="A826" s="31" t="s">
        <v>308</v>
      </c>
      <c r="B826" s="366">
        <v>907</v>
      </c>
      <c r="C826" s="368" t="s">
        <v>506</v>
      </c>
      <c r="D826" s="368" t="s">
        <v>133</v>
      </c>
      <c r="E826" s="368" t="s">
        <v>1525</v>
      </c>
      <c r="F826" s="368"/>
      <c r="G826" s="373">
        <f>G827</f>
        <v>813.5</v>
      </c>
      <c r="H826" s="369"/>
      <c r="I826" s="369"/>
      <c r="J826" s="109"/>
    </row>
    <row r="827" spans="1:10" s="362" customFormat="1" ht="31.5" x14ac:dyDescent="0.25">
      <c r="A827" s="372" t="s">
        <v>287</v>
      </c>
      <c r="B827" s="366">
        <v>907</v>
      </c>
      <c r="C827" s="368" t="s">
        <v>506</v>
      </c>
      <c r="D827" s="368" t="s">
        <v>133</v>
      </c>
      <c r="E827" s="368" t="s">
        <v>1525</v>
      </c>
      <c r="F827" s="368" t="s">
        <v>288</v>
      </c>
      <c r="G827" s="373">
        <f>G828</f>
        <v>813.5</v>
      </c>
      <c r="H827" s="369"/>
      <c r="I827" s="369"/>
      <c r="J827" s="109"/>
    </row>
    <row r="828" spans="1:10" s="362" customFormat="1" ht="15.75" x14ac:dyDescent="0.25">
      <c r="A828" s="372" t="s">
        <v>289</v>
      </c>
      <c r="B828" s="366">
        <v>907</v>
      </c>
      <c r="C828" s="368" t="s">
        <v>506</v>
      </c>
      <c r="D828" s="368" t="s">
        <v>133</v>
      </c>
      <c r="E828" s="368" t="s">
        <v>1525</v>
      </c>
      <c r="F828" s="368" t="s">
        <v>290</v>
      </c>
      <c r="G828" s="373">
        <v>813.5</v>
      </c>
      <c r="H828" s="369"/>
      <c r="I828" s="369"/>
      <c r="J828" s="109"/>
    </row>
    <row r="829" spans="1:10" s="222" customFormat="1" ht="78.75" hidden="1" x14ac:dyDescent="0.25">
      <c r="A829" s="31" t="s">
        <v>479</v>
      </c>
      <c r="B829" s="366">
        <v>907</v>
      </c>
      <c r="C829" s="368" t="s">
        <v>506</v>
      </c>
      <c r="D829" s="368" t="s">
        <v>133</v>
      </c>
      <c r="E829" s="368" t="s">
        <v>1083</v>
      </c>
      <c r="F829" s="368"/>
      <c r="G829" s="373">
        <f>G830</f>
        <v>0</v>
      </c>
      <c r="H829" s="26">
        <f t="shared" ref="H829:I830" si="375">H830</f>
        <v>870.2</v>
      </c>
      <c r="I829" s="26">
        <f t="shared" si="375"/>
        <v>870.2</v>
      </c>
      <c r="J829" s="109"/>
    </row>
    <row r="830" spans="1:10" s="222" customFormat="1" ht="31.5" hidden="1" x14ac:dyDescent="0.25">
      <c r="A830" s="372" t="s">
        <v>287</v>
      </c>
      <c r="B830" s="366">
        <v>907</v>
      </c>
      <c r="C830" s="368" t="s">
        <v>506</v>
      </c>
      <c r="D830" s="368" t="s">
        <v>133</v>
      </c>
      <c r="E830" s="368" t="s">
        <v>1083</v>
      </c>
      <c r="F830" s="368" t="s">
        <v>288</v>
      </c>
      <c r="G830" s="373">
        <f>G831</f>
        <v>0</v>
      </c>
      <c r="H830" s="26">
        <f t="shared" si="375"/>
        <v>870.2</v>
      </c>
      <c r="I830" s="26">
        <f t="shared" si="375"/>
        <v>870.2</v>
      </c>
      <c r="J830" s="109"/>
    </row>
    <row r="831" spans="1:10" s="222" customFormat="1" ht="15.75" hidden="1" x14ac:dyDescent="0.25">
      <c r="A831" s="372" t="s">
        <v>289</v>
      </c>
      <c r="B831" s="366">
        <v>907</v>
      </c>
      <c r="C831" s="368" t="s">
        <v>506</v>
      </c>
      <c r="D831" s="368" t="s">
        <v>133</v>
      </c>
      <c r="E831" s="368" t="s">
        <v>1083</v>
      </c>
      <c r="F831" s="368" t="s">
        <v>290</v>
      </c>
      <c r="G831" s="373"/>
      <c r="H831" s="26">
        <f t="shared" ref="H831:I831" si="376">56.7+813.5</f>
        <v>870.2</v>
      </c>
      <c r="I831" s="26">
        <f t="shared" si="376"/>
        <v>870.2</v>
      </c>
      <c r="J831" s="109"/>
    </row>
    <row r="832" spans="1:10" s="222" customFormat="1" ht="47.25" x14ac:dyDescent="0.25">
      <c r="A832" s="370" t="s">
        <v>1488</v>
      </c>
      <c r="B832" s="367">
        <v>907</v>
      </c>
      <c r="C832" s="371" t="s">
        <v>506</v>
      </c>
      <c r="D832" s="371" t="s">
        <v>133</v>
      </c>
      <c r="E832" s="371" t="s">
        <v>1485</v>
      </c>
      <c r="F832" s="371"/>
      <c r="G832" s="369">
        <f>G833</f>
        <v>439.56040000000002</v>
      </c>
      <c r="H832" s="26"/>
      <c r="I832" s="26"/>
      <c r="J832" s="109"/>
    </row>
    <row r="833" spans="1:10" s="224" customFormat="1" ht="47.25" x14ac:dyDescent="0.25">
      <c r="A833" s="372" t="s">
        <v>1489</v>
      </c>
      <c r="B833" s="366">
        <v>907</v>
      </c>
      <c r="C833" s="368" t="s">
        <v>506</v>
      </c>
      <c r="D833" s="368" t="s">
        <v>133</v>
      </c>
      <c r="E833" s="368" t="s">
        <v>1484</v>
      </c>
      <c r="F833" s="368"/>
      <c r="G833" s="373">
        <f>G834</f>
        <v>439.56040000000002</v>
      </c>
      <c r="H833" s="26"/>
      <c r="I833" s="26"/>
      <c r="J833" s="128"/>
    </row>
    <row r="834" spans="1:10" s="224" customFormat="1" ht="31.5" x14ac:dyDescent="0.25">
      <c r="A834" s="372" t="s">
        <v>287</v>
      </c>
      <c r="B834" s="366">
        <v>907</v>
      </c>
      <c r="C834" s="368" t="s">
        <v>506</v>
      </c>
      <c r="D834" s="368" t="s">
        <v>133</v>
      </c>
      <c r="E834" s="368" t="s">
        <v>1484</v>
      </c>
      <c r="F834" s="368" t="s">
        <v>288</v>
      </c>
      <c r="G834" s="373">
        <f>G835</f>
        <v>439.56040000000002</v>
      </c>
      <c r="H834" s="26"/>
      <c r="I834" s="26"/>
      <c r="J834" s="128"/>
    </row>
    <row r="835" spans="1:10" s="224" customFormat="1" ht="15.75" x14ac:dyDescent="0.25">
      <c r="A835" s="372" t="s">
        <v>289</v>
      </c>
      <c r="B835" s="366">
        <v>907</v>
      </c>
      <c r="C835" s="368" t="s">
        <v>506</v>
      </c>
      <c r="D835" s="368" t="s">
        <v>133</v>
      </c>
      <c r="E835" s="368" t="s">
        <v>1484</v>
      </c>
      <c r="F835" s="368" t="s">
        <v>290</v>
      </c>
      <c r="G835" s="373">
        <f>400+39.5604</f>
        <v>439.56040000000002</v>
      </c>
      <c r="H835" s="26"/>
      <c r="I835" s="26"/>
      <c r="J835" s="128"/>
    </row>
    <row r="836" spans="1:10" s="224" customFormat="1" ht="51.75" customHeight="1" x14ac:dyDescent="0.25">
      <c r="A836" s="370" t="s">
        <v>1519</v>
      </c>
      <c r="B836" s="367">
        <v>907</v>
      </c>
      <c r="C836" s="371" t="s">
        <v>506</v>
      </c>
      <c r="D836" s="371" t="s">
        <v>133</v>
      </c>
      <c r="E836" s="371" t="s">
        <v>1512</v>
      </c>
      <c r="F836" s="368"/>
      <c r="G836" s="369">
        <f>G837+G840</f>
        <v>5031.17</v>
      </c>
      <c r="H836" s="26"/>
      <c r="I836" s="26"/>
      <c r="J836" s="128"/>
    </row>
    <row r="837" spans="1:10" s="224" customFormat="1" ht="47.25" x14ac:dyDescent="0.25">
      <c r="A837" s="372" t="s">
        <v>1518</v>
      </c>
      <c r="B837" s="366">
        <v>907</v>
      </c>
      <c r="C837" s="368" t="s">
        <v>506</v>
      </c>
      <c r="D837" s="368" t="s">
        <v>133</v>
      </c>
      <c r="E837" s="368" t="s">
        <v>1513</v>
      </c>
      <c r="F837" s="368"/>
      <c r="G837" s="373">
        <f>G838</f>
        <v>206.27</v>
      </c>
      <c r="H837" s="26"/>
      <c r="I837" s="26"/>
      <c r="J837" s="128"/>
    </row>
    <row r="838" spans="1:10" s="224" customFormat="1" ht="31.5" x14ac:dyDescent="0.25">
      <c r="A838" s="372" t="s">
        <v>287</v>
      </c>
      <c r="B838" s="366">
        <v>907</v>
      </c>
      <c r="C838" s="368" t="s">
        <v>506</v>
      </c>
      <c r="D838" s="368" t="s">
        <v>133</v>
      </c>
      <c r="E838" s="368" t="s">
        <v>1513</v>
      </c>
      <c r="F838" s="368" t="s">
        <v>288</v>
      </c>
      <c r="G838" s="373">
        <f>G839</f>
        <v>206.27</v>
      </c>
      <c r="H838" s="26"/>
      <c r="I838" s="26"/>
      <c r="J838" s="128"/>
    </row>
    <row r="839" spans="1:10" s="224" customFormat="1" ht="15.75" x14ac:dyDescent="0.25">
      <c r="A839" s="372" t="s">
        <v>289</v>
      </c>
      <c r="B839" s="366">
        <v>907</v>
      </c>
      <c r="C839" s="368" t="s">
        <v>506</v>
      </c>
      <c r="D839" s="368" t="s">
        <v>133</v>
      </c>
      <c r="E839" s="368" t="s">
        <v>1513</v>
      </c>
      <c r="F839" s="368" t="s">
        <v>290</v>
      </c>
      <c r="G839" s="373">
        <v>206.27</v>
      </c>
      <c r="H839" s="26"/>
      <c r="I839" s="26"/>
      <c r="J839" s="128"/>
    </row>
    <row r="840" spans="1:10" s="224" customFormat="1" ht="31.5" x14ac:dyDescent="0.25">
      <c r="A840" s="372" t="s">
        <v>1509</v>
      </c>
      <c r="B840" s="366">
        <v>907</v>
      </c>
      <c r="C840" s="368" t="s">
        <v>506</v>
      </c>
      <c r="D840" s="368" t="s">
        <v>133</v>
      </c>
      <c r="E840" s="368" t="s">
        <v>1514</v>
      </c>
      <c r="F840" s="368"/>
      <c r="G840" s="373">
        <f>G841</f>
        <v>4824.8999999999996</v>
      </c>
      <c r="H840" s="26"/>
      <c r="I840" s="26"/>
      <c r="J840" s="128"/>
    </row>
    <row r="841" spans="1:10" s="224" customFormat="1" ht="31.5" x14ac:dyDescent="0.25">
      <c r="A841" s="372" t="s">
        <v>287</v>
      </c>
      <c r="B841" s="366">
        <v>907</v>
      </c>
      <c r="C841" s="368" t="s">
        <v>506</v>
      </c>
      <c r="D841" s="368" t="s">
        <v>133</v>
      </c>
      <c r="E841" s="368" t="s">
        <v>1514</v>
      </c>
      <c r="F841" s="368" t="s">
        <v>288</v>
      </c>
      <c r="G841" s="373">
        <f>G842</f>
        <v>4824.8999999999996</v>
      </c>
      <c r="H841" s="26"/>
      <c r="I841" s="26"/>
      <c r="J841" s="128"/>
    </row>
    <row r="842" spans="1:10" s="224" customFormat="1" ht="15.75" x14ac:dyDescent="0.25">
      <c r="A842" s="372" t="s">
        <v>289</v>
      </c>
      <c r="B842" s="366">
        <v>907</v>
      </c>
      <c r="C842" s="368" t="s">
        <v>506</v>
      </c>
      <c r="D842" s="368" t="s">
        <v>133</v>
      </c>
      <c r="E842" s="368" t="s">
        <v>1514</v>
      </c>
      <c r="F842" s="368" t="s">
        <v>290</v>
      </c>
      <c r="G842" s="373">
        <v>4824.8999999999996</v>
      </c>
      <c r="H842" s="26"/>
      <c r="I842" s="26"/>
      <c r="J842" s="128"/>
    </row>
    <row r="843" spans="1:10" ht="47.25" x14ac:dyDescent="0.25">
      <c r="A843" s="41" t="s">
        <v>1177</v>
      </c>
      <c r="B843" s="367">
        <v>907</v>
      </c>
      <c r="C843" s="371" t="s">
        <v>506</v>
      </c>
      <c r="D843" s="371" t="s">
        <v>133</v>
      </c>
      <c r="E843" s="371" t="s">
        <v>726</v>
      </c>
      <c r="F843" s="250"/>
      <c r="G843" s="369">
        <f>G844</f>
        <v>540.1</v>
      </c>
      <c r="H843" s="21">
        <f>H844</f>
        <v>540.1</v>
      </c>
      <c r="I843" s="21">
        <f>I844</f>
        <v>540.1</v>
      </c>
      <c r="J843" s="109"/>
    </row>
    <row r="844" spans="1:10" s="222" customFormat="1" ht="47.25" x14ac:dyDescent="0.25">
      <c r="A844" s="41" t="s">
        <v>947</v>
      </c>
      <c r="B844" s="367">
        <v>907</v>
      </c>
      <c r="C844" s="371" t="s">
        <v>506</v>
      </c>
      <c r="D844" s="371" t="s">
        <v>133</v>
      </c>
      <c r="E844" s="371" t="s">
        <v>945</v>
      </c>
      <c r="F844" s="250"/>
      <c r="G844" s="369">
        <f>G845</f>
        <v>540.1</v>
      </c>
      <c r="H844" s="21">
        <f t="shared" ref="H844:I846" si="377">H845</f>
        <v>540.1</v>
      </c>
      <c r="I844" s="21">
        <f t="shared" si="377"/>
        <v>540.1</v>
      </c>
      <c r="J844" s="109"/>
    </row>
    <row r="845" spans="1:10" ht="39.200000000000003" customHeight="1" x14ac:dyDescent="0.25">
      <c r="A845" s="99" t="s">
        <v>801</v>
      </c>
      <c r="B845" s="366">
        <v>907</v>
      </c>
      <c r="C845" s="368" t="s">
        <v>506</v>
      </c>
      <c r="D845" s="368" t="s">
        <v>133</v>
      </c>
      <c r="E845" s="368" t="s">
        <v>1025</v>
      </c>
      <c r="F845" s="32"/>
      <c r="G845" s="373">
        <f>G846</f>
        <v>540.1</v>
      </c>
      <c r="H845" s="26">
        <f t="shared" si="377"/>
        <v>540.1</v>
      </c>
      <c r="I845" s="26">
        <f t="shared" si="377"/>
        <v>540.1</v>
      </c>
    </row>
    <row r="846" spans="1:10" ht="31.5" x14ac:dyDescent="0.25">
      <c r="A846" s="375" t="s">
        <v>287</v>
      </c>
      <c r="B846" s="366">
        <v>907</v>
      </c>
      <c r="C846" s="368" t="s">
        <v>506</v>
      </c>
      <c r="D846" s="368" t="s">
        <v>133</v>
      </c>
      <c r="E846" s="368" t="s">
        <v>1025</v>
      </c>
      <c r="F846" s="32" t="s">
        <v>288</v>
      </c>
      <c r="G846" s="373">
        <f>G847</f>
        <v>540.1</v>
      </c>
      <c r="H846" s="26">
        <f t="shared" si="377"/>
        <v>540.1</v>
      </c>
      <c r="I846" s="26">
        <f t="shared" si="377"/>
        <v>540.1</v>
      </c>
    </row>
    <row r="847" spans="1:10" ht="15.75" x14ac:dyDescent="0.25">
      <c r="A847" s="193" t="s">
        <v>289</v>
      </c>
      <c r="B847" s="366">
        <v>907</v>
      </c>
      <c r="C847" s="368" t="s">
        <v>506</v>
      </c>
      <c r="D847" s="368" t="s">
        <v>133</v>
      </c>
      <c r="E847" s="368" t="s">
        <v>1025</v>
      </c>
      <c r="F847" s="32" t="s">
        <v>290</v>
      </c>
      <c r="G847" s="373">
        <f>377+163.1</f>
        <v>540.1</v>
      </c>
      <c r="H847" s="26">
        <f t="shared" ref="H847:I847" si="378">377+163.1</f>
        <v>540.1</v>
      </c>
      <c r="I847" s="26">
        <f t="shared" si="378"/>
        <v>540.1</v>
      </c>
    </row>
    <row r="848" spans="1:10" ht="19.5" customHeight="1" x14ac:dyDescent="0.25">
      <c r="A848" s="370" t="s">
        <v>515</v>
      </c>
      <c r="B848" s="367">
        <v>907</v>
      </c>
      <c r="C848" s="371" t="s">
        <v>506</v>
      </c>
      <c r="D848" s="371" t="s">
        <v>249</v>
      </c>
      <c r="E848" s="371"/>
      <c r="F848" s="371"/>
      <c r="G848" s="369">
        <f>G849+G857+G869</f>
        <v>13218.2</v>
      </c>
      <c r="H848" s="21">
        <f>H849+H869</f>
        <v>12225.600000000002</v>
      </c>
      <c r="I848" s="21">
        <f>I849+I869</f>
        <v>12225.600000000002</v>
      </c>
    </row>
    <row r="849" spans="1:9" ht="31.5" x14ac:dyDescent="0.25">
      <c r="A849" s="370" t="s">
        <v>988</v>
      </c>
      <c r="B849" s="367">
        <v>907</v>
      </c>
      <c r="C849" s="371" t="s">
        <v>506</v>
      </c>
      <c r="D849" s="371" t="s">
        <v>249</v>
      </c>
      <c r="E849" s="371" t="s">
        <v>902</v>
      </c>
      <c r="F849" s="371"/>
      <c r="G849" s="369">
        <f>G850</f>
        <v>5160.8999999999996</v>
      </c>
      <c r="H849" s="21">
        <f>H850+H857</f>
        <v>9728.4000000000015</v>
      </c>
      <c r="I849" s="21">
        <f>I850+I857</f>
        <v>9728.4000000000015</v>
      </c>
    </row>
    <row r="850" spans="1:9" ht="15.75" x14ac:dyDescent="0.25">
      <c r="A850" s="370" t="s">
        <v>989</v>
      </c>
      <c r="B850" s="367">
        <v>907</v>
      </c>
      <c r="C850" s="371" t="s">
        <v>506</v>
      </c>
      <c r="D850" s="371" t="s">
        <v>249</v>
      </c>
      <c r="E850" s="371" t="s">
        <v>903</v>
      </c>
      <c r="F850" s="371"/>
      <c r="G850" s="369">
        <f>G851+G854</f>
        <v>5160.8999999999996</v>
      </c>
      <c r="H850" s="21">
        <f>H851+H854</f>
        <v>4537.2000000000007</v>
      </c>
      <c r="I850" s="21">
        <f>I851+I854</f>
        <v>4537.2000000000007</v>
      </c>
    </row>
    <row r="851" spans="1:9" ht="33" customHeight="1" x14ac:dyDescent="0.25">
      <c r="A851" s="372" t="s">
        <v>965</v>
      </c>
      <c r="B851" s="366">
        <v>907</v>
      </c>
      <c r="C851" s="368" t="s">
        <v>506</v>
      </c>
      <c r="D851" s="368" t="s">
        <v>249</v>
      </c>
      <c r="E851" s="368" t="s">
        <v>904</v>
      </c>
      <c r="F851" s="368"/>
      <c r="G851" s="373">
        <f>G852</f>
        <v>4798.8999999999996</v>
      </c>
      <c r="H851" s="26">
        <f t="shared" ref="H851:I851" si="379">H852</f>
        <v>4537.2000000000007</v>
      </c>
      <c r="I851" s="26">
        <f t="shared" si="379"/>
        <v>4537.2000000000007</v>
      </c>
    </row>
    <row r="852" spans="1:9" ht="64.5" customHeight="1" x14ac:dyDescent="0.25">
      <c r="A852" s="372" t="s">
        <v>142</v>
      </c>
      <c r="B852" s="366">
        <v>907</v>
      </c>
      <c r="C852" s="368" t="s">
        <v>506</v>
      </c>
      <c r="D852" s="368" t="s">
        <v>249</v>
      </c>
      <c r="E852" s="368" t="s">
        <v>904</v>
      </c>
      <c r="F852" s="368" t="s">
        <v>143</v>
      </c>
      <c r="G852" s="373">
        <f>G853</f>
        <v>4798.8999999999996</v>
      </c>
      <c r="H852" s="26">
        <f t="shared" ref="H852:I852" si="380">H853</f>
        <v>4537.2000000000007</v>
      </c>
      <c r="I852" s="26">
        <f t="shared" si="380"/>
        <v>4537.2000000000007</v>
      </c>
    </row>
    <row r="853" spans="1:9" ht="31.5" x14ac:dyDescent="0.25">
      <c r="A853" s="372" t="s">
        <v>144</v>
      </c>
      <c r="B853" s="366">
        <v>907</v>
      </c>
      <c r="C853" s="368" t="s">
        <v>506</v>
      </c>
      <c r="D853" s="368" t="s">
        <v>249</v>
      </c>
      <c r="E853" s="368" t="s">
        <v>904</v>
      </c>
      <c r="F853" s="368" t="s">
        <v>145</v>
      </c>
      <c r="G853" s="374">
        <f>4447+266+85.9</f>
        <v>4798.8999999999996</v>
      </c>
      <c r="H853" s="27">
        <f t="shared" ref="H853:I853" si="381">4378.8-26.2+184.6</f>
        <v>4537.2000000000007</v>
      </c>
      <c r="I853" s="27">
        <f t="shared" si="381"/>
        <v>4537.2000000000007</v>
      </c>
    </row>
    <row r="854" spans="1:9" s="222" customFormat="1" ht="36.75" customHeight="1" x14ac:dyDescent="0.25">
      <c r="A854" s="372" t="s">
        <v>883</v>
      </c>
      <c r="B854" s="366">
        <v>907</v>
      </c>
      <c r="C854" s="368" t="s">
        <v>506</v>
      </c>
      <c r="D854" s="368" t="s">
        <v>249</v>
      </c>
      <c r="E854" s="368" t="s">
        <v>906</v>
      </c>
      <c r="F854" s="368"/>
      <c r="G854" s="373">
        <f>G855</f>
        <v>362</v>
      </c>
      <c r="H854" s="26">
        <f t="shared" ref="H854:I855" si="382">H855</f>
        <v>0</v>
      </c>
      <c r="I854" s="26">
        <f t="shared" si="382"/>
        <v>0</v>
      </c>
    </row>
    <row r="855" spans="1:9" s="222" customFormat="1" ht="47.25" customHeight="1" x14ac:dyDescent="0.25">
      <c r="A855" s="372" t="s">
        <v>142</v>
      </c>
      <c r="B855" s="366">
        <v>907</v>
      </c>
      <c r="C855" s="368" t="s">
        <v>506</v>
      </c>
      <c r="D855" s="368" t="s">
        <v>249</v>
      </c>
      <c r="E855" s="368" t="s">
        <v>906</v>
      </c>
      <c r="F855" s="368" t="s">
        <v>143</v>
      </c>
      <c r="G855" s="373">
        <f>G856</f>
        <v>362</v>
      </c>
      <c r="H855" s="26">
        <f t="shared" si="382"/>
        <v>0</v>
      </c>
      <c r="I855" s="26">
        <f t="shared" si="382"/>
        <v>0</v>
      </c>
    </row>
    <row r="856" spans="1:9" s="222" customFormat="1" ht="34.5" customHeight="1" x14ac:dyDescent="0.25">
      <c r="A856" s="372" t="s">
        <v>144</v>
      </c>
      <c r="B856" s="366">
        <v>907</v>
      </c>
      <c r="C856" s="368" t="s">
        <v>506</v>
      </c>
      <c r="D856" s="368" t="s">
        <v>249</v>
      </c>
      <c r="E856" s="368" t="s">
        <v>906</v>
      </c>
      <c r="F856" s="368" t="s">
        <v>145</v>
      </c>
      <c r="G856" s="373">
        <f>84+252+26</f>
        <v>362</v>
      </c>
      <c r="H856" s="26"/>
      <c r="I856" s="26"/>
    </row>
    <row r="857" spans="1:9" ht="15.75" x14ac:dyDescent="0.25">
      <c r="A857" s="370" t="s">
        <v>156</v>
      </c>
      <c r="B857" s="367">
        <v>907</v>
      </c>
      <c r="C857" s="371" t="s">
        <v>506</v>
      </c>
      <c r="D857" s="371" t="s">
        <v>249</v>
      </c>
      <c r="E857" s="371" t="s">
        <v>910</v>
      </c>
      <c r="F857" s="371"/>
      <c r="G857" s="369">
        <f>G858</f>
        <v>5057.3</v>
      </c>
      <c r="H857" s="21">
        <f t="shared" ref="H857:I857" si="383">H859</f>
        <v>5191.2</v>
      </c>
      <c r="I857" s="21">
        <f t="shared" si="383"/>
        <v>5191.2</v>
      </c>
    </row>
    <row r="858" spans="1:9" s="222" customFormat="1" ht="31.5" x14ac:dyDescent="0.25">
      <c r="A858" s="370" t="s">
        <v>1000</v>
      </c>
      <c r="B858" s="367">
        <v>907</v>
      </c>
      <c r="C858" s="371" t="s">
        <v>506</v>
      </c>
      <c r="D858" s="371" t="s">
        <v>249</v>
      </c>
      <c r="E858" s="371" t="s">
        <v>985</v>
      </c>
      <c r="F858" s="371"/>
      <c r="G858" s="369">
        <f>G859+G866</f>
        <v>5057.3</v>
      </c>
      <c r="H858" s="21">
        <f t="shared" ref="H858:I858" si="384">H859+H866</f>
        <v>5191.2</v>
      </c>
      <c r="I858" s="21">
        <f t="shared" si="384"/>
        <v>5191.2</v>
      </c>
    </row>
    <row r="859" spans="1:9" ht="31.5" x14ac:dyDescent="0.25">
      <c r="A859" s="372" t="s">
        <v>972</v>
      </c>
      <c r="B859" s="366">
        <v>907</v>
      </c>
      <c r="C859" s="368" t="s">
        <v>506</v>
      </c>
      <c r="D859" s="368" t="s">
        <v>249</v>
      </c>
      <c r="E859" s="368" t="s">
        <v>986</v>
      </c>
      <c r="F859" s="368"/>
      <c r="G859" s="373">
        <f>G860+G862+G864</f>
        <v>4973.3</v>
      </c>
      <c r="H859" s="26">
        <f t="shared" ref="H859:I859" si="385">H860+H862+H864</f>
        <v>5191.2</v>
      </c>
      <c r="I859" s="26">
        <f t="shared" si="385"/>
        <v>5191.2</v>
      </c>
    </row>
    <row r="860" spans="1:9" ht="72.75" customHeight="1" x14ac:dyDescent="0.25">
      <c r="A860" s="372" t="s">
        <v>142</v>
      </c>
      <c r="B860" s="366">
        <v>907</v>
      </c>
      <c r="C860" s="368" t="s">
        <v>506</v>
      </c>
      <c r="D860" s="368" t="s">
        <v>249</v>
      </c>
      <c r="E860" s="368" t="s">
        <v>986</v>
      </c>
      <c r="F860" s="368" t="s">
        <v>143</v>
      </c>
      <c r="G860" s="373">
        <f>G861</f>
        <v>4617</v>
      </c>
      <c r="H860" s="26">
        <f t="shared" ref="H860:I860" si="386">H861</f>
        <v>4542.6000000000004</v>
      </c>
      <c r="I860" s="26">
        <f t="shared" si="386"/>
        <v>4542.6000000000004</v>
      </c>
    </row>
    <row r="861" spans="1:9" ht="25.5" customHeight="1" x14ac:dyDescent="0.25">
      <c r="A861" s="372" t="s">
        <v>357</v>
      </c>
      <c r="B861" s="366">
        <v>907</v>
      </c>
      <c r="C861" s="368" t="s">
        <v>506</v>
      </c>
      <c r="D861" s="368" t="s">
        <v>249</v>
      </c>
      <c r="E861" s="368" t="s">
        <v>986</v>
      </c>
      <c r="F861" s="368" t="s">
        <v>224</v>
      </c>
      <c r="G861" s="374">
        <f>4454+64.3+46+40.7+12</f>
        <v>4617</v>
      </c>
      <c r="H861" s="27">
        <f t="shared" ref="H861:I861" si="387">3501.9+462.6+159.1+419</f>
        <v>4542.6000000000004</v>
      </c>
      <c r="I861" s="27">
        <f t="shared" si="387"/>
        <v>4542.6000000000004</v>
      </c>
    </row>
    <row r="862" spans="1:9" ht="31.5" x14ac:dyDescent="0.25">
      <c r="A862" s="372" t="s">
        <v>146</v>
      </c>
      <c r="B862" s="366">
        <v>907</v>
      </c>
      <c r="C862" s="368" t="s">
        <v>506</v>
      </c>
      <c r="D862" s="368" t="s">
        <v>249</v>
      </c>
      <c r="E862" s="368" t="s">
        <v>986</v>
      </c>
      <c r="F862" s="368" t="s">
        <v>147</v>
      </c>
      <c r="G862" s="373">
        <f>G863</f>
        <v>305.3</v>
      </c>
      <c r="H862" s="26">
        <f t="shared" ref="H862:I862" si="388">H863</f>
        <v>597.40000000000009</v>
      </c>
      <c r="I862" s="26">
        <f t="shared" si="388"/>
        <v>597.40000000000009</v>
      </c>
    </row>
    <row r="863" spans="1:9" ht="31.5" x14ac:dyDescent="0.25">
      <c r="A863" s="372" t="s">
        <v>148</v>
      </c>
      <c r="B863" s="366">
        <v>907</v>
      </c>
      <c r="C863" s="368" t="s">
        <v>506</v>
      </c>
      <c r="D863" s="368" t="s">
        <v>249</v>
      </c>
      <c r="E863" s="368" t="s">
        <v>986</v>
      </c>
      <c r="F863" s="368" t="s">
        <v>149</v>
      </c>
      <c r="G863" s="374">
        <f>510-82.7-84-38</f>
        <v>305.3</v>
      </c>
      <c r="H863" s="27">
        <f t="shared" ref="H863:I863" si="389">764.2-166.8</f>
        <v>597.40000000000009</v>
      </c>
      <c r="I863" s="27">
        <f t="shared" si="389"/>
        <v>597.40000000000009</v>
      </c>
    </row>
    <row r="864" spans="1:9" ht="15.75" x14ac:dyDescent="0.25">
      <c r="A864" s="372" t="s">
        <v>150</v>
      </c>
      <c r="B864" s="366">
        <v>907</v>
      </c>
      <c r="C864" s="368" t="s">
        <v>506</v>
      </c>
      <c r="D864" s="368" t="s">
        <v>249</v>
      </c>
      <c r="E864" s="368" t="s">
        <v>986</v>
      </c>
      <c r="F864" s="368" t="s">
        <v>160</v>
      </c>
      <c r="G864" s="373">
        <f>G865</f>
        <v>51</v>
      </c>
      <c r="H864" s="26">
        <f t="shared" ref="H864:I864" si="390">H865</f>
        <v>51.2</v>
      </c>
      <c r="I864" s="26">
        <f t="shared" si="390"/>
        <v>51.2</v>
      </c>
    </row>
    <row r="865" spans="1:9" ht="15.75" x14ac:dyDescent="0.25">
      <c r="A865" s="372" t="s">
        <v>583</v>
      </c>
      <c r="B865" s="366">
        <v>907</v>
      </c>
      <c r="C865" s="368" t="s">
        <v>506</v>
      </c>
      <c r="D865" s="368" t="s">
        <v>249</v>
      </c>
      <c r="E865" s="368" t="s">
        <v>986</v>
      </c>
      <c r="F865" s="368" t="s">
        <v>153</v>
      </c>
      <c r="G865" s="373">
        <f>27.1+24.1-0.2</f>
        <v>51</v>
      </c>
      <c r="H865" s="26">
        <f t="shared" ref="H865:I865" si="391">27.1+24.1</f>
        <v>51.2</v>
      </c>
      <c r="I865" s="26">
        <f t="shared" si="391"/>
        <v>51.2</v>
      </c>
    </row>
    <row r="866" spans="1:9" s="222" customFormat="1" ht="31.5" x14ac:dyDescent="0.25">
      <c r="A866" s="372" t="s">
        <v>883</v>
      </c>
      <c r="B866" s="366">
        <v>907</v>
      </c>
      <c r="C866" s="368" t="s">
        <v>506</v>
      </c>
      <c r="D866" s="368" t="s">
        <v>249</v>
      </c>
      <c r="E866" s="368" t="s">
        <v>987</v>
      </c>
      <c r="F866" s="368"/>
      <c r="G866" s="373">
        <f>G867</f>
        <v>84</v>
      </c>
      <c r="H866" s="26">
        <f t="shared" ref="H866:I867" si="392">H867</f>
        <v>0</v>
      </c>
      <c r="I866" s="26">
        <f t="shared" si="392"/>
        <v>0</v>
      </c>
    </row>
    <row r="867" spans="1:9" s="222" customFormat="1" ht="63" x14ac:dyDescent="0.25">
      <c r="A867" s="372" t="s">
        <v>142</v>
      </c>
      <c r="B867" s="366">
        <v>907</v>
      </c>
      <c r="C867" s="368" t="s">
        <v>506</v>
      </c>
      <c r="D867" s="368" t="s">
        <v>249</v>
      </c>
      <c r="E867" s="368" t="s">
        <v>987</v>
      </c>
      <c r="F867" s="368" t="s">
        <v>143</v>
      </c>
      <c r="G867" s="373">
        <f>G868</f>
        <v>84</v>
      </c>
      <c r="H867" s="26">
        <f t="shared" si="392"/>
        <v>0</v>
      </c>
      <c r="I867" s="26">
        <f t="shared" si="392"/>
        <v>0</v>
      </c>
    </row>
    <row r="868" spans="1:9" s="222" customFormat="1" ht="15.75" x14ac:dyDescent="0.25">
      <c r="A868" s="372" t="s">
        <v>357</v>
      </c>
      <c r="B868" s="366">
        <v>907</v>
      </c>
      <c r="C868" s="368" t="s">
        <v>506</v>
      </c>
      <c r="D868" s="368" t="s">
        <v>249</v>
      </c>
      <c r="E868" s="368" t="s">
        <v>987</v>
      </c>
      <c r="F868" s="368" t="s">
        <v>224</v>
      </c>
      <c r="G868" s="373">
        <f>210-210+84</f>
        <v>84</v>
      </c>
      <c r="H868" s="26"/>
      <c r="I868" s="26"/>
    </row>
    <row r="869" spans="1:9" s="222" customFormat="1" ht="47.25" x14ac:dyDescent="0.25">
      <c r="A869" s="41" t="s">
        <v>496</v>
      </c>
      <c r="B869" s="367">
        <v>907</v>
      </c>
      <c r="C869" s="371" t="s">
        <v>506</v>
      </c>
      <c r="D869" s="371" t="s">
        <v>249</v>
      </c>
      <c r="E869" s="364" t="s">
        <v>497</v>
      </c>
      <c r="F869" s="371"/>
      <c r="G869" s="369">
        <f>G870</f>
        <v>3000</v>
      </c>
      <c r="H869" s="21">
        <f t="shared" ref="H869:I871" si="393">H870</f>
        <v>2497.1999999999998</v>
      </c>
      <c r="I869" s="21">
        <f t="shared" si="393"/>
        <v>2497.1999999999998</v>
      </c>
    </row>
    <row r="870" spans="1:9" s="222" customFormat="1" ht="31.5" x14ac:dyDescent="0.25">
      <c r="A870" s="58" t="s">
        <v>516</v>
      </c>
      <c r="B870" s="367">
        <v>907</v>
      </c>
      <c r="C870" s="371" t="s">
        <v>506</v>
      </c>
      <c r="D870" s="371" t="s">
        <v>249</v>
      </c>
      <c r="E870" s="364" t="s">
        <v>517</v>
      </c>
      <c r="F870" s="371"/>
      <c r="G870" s="369">
        <f>G871</f>
        <v>3000</v>
      </c>
      <c r="H870" s="21">
        <f t="shared" si="393"/>
        <v>2497.1999999999998</v>
      </c>
      <c r="I870" s="21">
        <f t="shared" si="393"/>
        <v>2497.1999999999998</v>
      </c>
    </row>
    <row r="871" spans="1:9" s="222" customFormat="1" ht="31.5" x14ac:dyDescent="0.25">
      <c r="A871" s="58" t="s">
        <v>1084</v>
      </c>
      <c r="B871" s="367">
        <v>907</v>
      </c>
      <c r="C871" s="371" t="s">
        <v>506</v>
      </c>
      <c r="D871" s="371" t="s">
        <v>249</v>
      </c>
      <c r="E871" s="364" t="s">
        <v>1085</v>
      </c>
      <c r="F871" s="371"/>
      <c r="G871" s="369">
        <f>G872</f>
        <v>3000</v>
      </c>
      <c r="H871" s="21">
        <f t="shared" si="393"/>
        <v>2497.1999999999998</v>
      </c>
      <c r="I871" s="21">
        <f t="shared" si="393"/>
        <v>2497.1999999999998</v>
      </c>
    </row>
    <row r="872" spans="1:9" s="222" customFormat="1" ht="15.75" x14ac:dyDescent="0.25">
      <c r="A872" s="375" t="s">
        <v>1086</v>
      </c>
      <c r="B872" s="366">
        <v>907</v>
      </c>
      <c r="C872" s="368" t="s">
        <v>506</v>
      </c>
      <c r="D872" s="368" t="s">
        <v>249</v>
      </c>
      <c r="E872" s="376" t="s">
        <v>1236</v>
      </c>
      <c r="F872" s="368"/>
      <c r="G872" s="373">
        <f>G873+G875</f>
        <v>3000</v>
      </c>
      <c r="H872" s="26">
        <f t="shared" ref="H872:I872" si="394">H873+H875</f>
        <v>2497.1999999999998</v>
      </c>
      <c r="I872" s="26">
        <f t="shared" si="394"/>
        <v>2497.1999999999998</v>
      </c>
    </row>
    <row r="873" spans="1:9" s="222" customFormat="1" ht="63" x14ac:dyDescent="0.25">
      <c r="A873" s="372" t="s">
        <v>142</v>
      </c>
      <c r="B873" s="366">
        <v>907</v>
      </c>
      <c r="C873" s="368" t="s">
        <v>506</v>
      </c>
      <c r="D873" s="368" t="s">
        <v>249</v>
      </c>
      <c r="E873" s="376" t="s">
        <v>1236</v>
      </c>
      <c r="F873" s="368" t="s">
        <v>143</v>
      </c>
      <c r="G873" s="373">
        <f>G874</f>
        <v>2500</v>
      </c>
      <c r="H873" s="26">
        <f t="shared" ref="H873:I873" si="395">H874</f>
        <v>1611</v>
      </c>
      <c r="I873" s="26">
        <f t="shared" si="395"/>
        <v>1611</v>
      </c>
    </row>
    <row r="874" spans="1:9" s="222" customFormat="1" ht="15.75" x14ac:dyDescent="0.25">
      <c r="A874" s="372" t="s">
        <v>357</v>
      </c>
      <c r="B874" s="366">
        <v>907</v>
      </c>
      <c r="C874" s="368" t="s">
        <v>506</v>
      </c>
      <c r="D874" s="368" t="s">
        <v>249</v>
      </c>
      <c r="E874" s="376" t="s">
        <v>1236</v>
      </c>
      <c r="F874" s="368" t="s">
        <v>224</v>
      </c>
      <c r="G874" s="373">
        <f>1500+1000</f>
        <v>2500</v>
      </c>
      <c r="H874" s="26">
        <f t="shared" ref="H874:I874" si="396">1611-4.8+4.8</f>
        <v>1611</v>
      </c>
      <c r="I874" s="26">
        <f t="shared" si="396"/>
        <v>1611</v>
      </c>
    </row>
    <row r="875" spans="1:9" s="222" customFormat="1" ht="31.5" x14ac:dyDescent="0.25">
      <c r="A875" s="375" t="s">
        <v>146</v>
      </c>
      <c r="B875" s="366">
        <v>907</v>
      </c>
      <c r="C875" s="368" t="s">
        <v>506</v>
      </c>
      <c r="D875" s="368" t="s">
        <v>249</v>
      </c>
      <c r="E875" s="376" t="s">
        <v>1236</v>
      </c>
      <c r="F875" s="368" t="s">
        <v>147</v>
      </c>
      <c r="G875" s="373">
        <f>G876</f>
        <v>500</v>
      </c>
      <c r="H875" s="26">
        <f t="shared" ref="H875:I875" si="397">H876</f>
        <v>886.2</v>
      </c>
      <c r="I875" s="26">
        <f t="shared" si="397"/>
        <v>886.2</v>
      </c>
    </row>
    <row r="876" spans="1:9" s="222" customFormat="1" ht="31.5" x14ac:dyDescent="0.25">
      <c r="A876" s="375" t="s">
        <v>148</v>
      </c>
      <c r="B876" s="366">
        <v>907</v>
      </c>
      <c r="C876" s="368" t="s">
        <v>506</v>
      </c>
      <c r="D876" s="368" t="s">
        <v>249</v>
      </c>
      <c r="E876" s="376" t="s">
        <v>1236</v>
      </c>
      <c r="F876" s="368" t="s">
        <v>149</v>
      </c>
      <c r="G876" s="373">
        <v>500</v>
      </c>
      <c r="H876" s="26">
        <f t="shared" ref="H876:I876" si="398">789+97.2+4.8-4.8</f>
        <v>886.2</v>
      </c>
      <c r="I876" s="26">
        <f t="shared" si="398"/>
        <v>886.2</v>
      </c>
    </row>
    <row r="877" spans="1:9" ht="31.5" x14ac:dyDescent="0.25">
      <c r="A877" s="367" t="s">
        <v>519</v>
      </c>
      <c r="B877" s="367">
        <v>908</v>
      </c>
      <c r="C877" s="368"/>
      <c r="D877" s="368"/>
      <c r="E877" s="368"/>
      <c r="F877" s="368"/>
      <c r="G877" s="369">
        <f>G892+G899+G926+G1094+G878</f>
        <v>107964.6</v>
      </c>
      <c r="H877" s="21">
        <f>H892+H899+H926+H1094+H878</f>
        <v>224395.14999999997</v>
      </c>
      <c r="I877" s="21">
        <f>I892+I899+I926+I1094+I878</f>
        <v>224395.14999999997</v>
      </c>
    </row>
    <row r="878" spans="1:9" ht="15.75" x14ac:dyDescent="0.25">
      <c r="A878" s="34" t="s">
        <v>132</v>
      </c>
      <c r="B878" s="367">
        <v>908</v>
      </c>
      <c r="C878" s="371" t="s">
        <v>133</v>
      </c>
      <c r="D878" s="368"/>
      <c r="E878" s="368"/>
      <c r="F878" s="368"/>
      <c r="G878" s="369">
        <f>G879</f>
        <v>38291.599999999999</v>
      </c>
      <c r="H878" s="21">
        <f t="shared" ref="H878:I880" si="399">H879</f>
        <v>46568.799999999996</v>
      </c>
      <c r="I878" s="21">
        <f t="shared" si="399"/>
        <v>46568.799999999996</v>
      </c>
    </row>
    <row r="879" spans="1:9" ht="15.75" x14ac:dyDescent="0.25">
      <c r="A879" s="34" t="s">
        <v>154</v>
      </c>
      <c r="B879" s="367">
        <v>908</v>
      </c>
      <c r="C879" s="371" t="s">
        <v>133</v>
      </c>
      <c r="D879" s="371" t="s">
        <v>155</v>
      </c>
      <c r="E879" s="368"/>
      <c r="F879" s="368"/>
      <c r="G879" s="369">
        <f>G880</f>
        <v>38291.599999999999</v>
      </c>
      <c r="H879" s="21">
        <f t="shared" si="399"/>
        <v>46568.799999999996</v>
      </c>
      <c r="I879" s="21">
        <f t="shared" si="399"/>
        <v>46568.799999999996</v>
      </c>
    </row>
    <row r="880" spans="1:9" ht="21.2" customHeight="1" x14ac:dyDescent="0.25">
      <c r="A880" s="370" t="s">
        <v>156</v>
      </c>
      <c r="B880" s="367">
        <v>908</v>
      </c>
      <c r="C880" s="371" t="s">
        <v>133</v>
      </c>
      <c r="D880" s="371" t="s">
        <v>155</v>
      </c>
      <c r="E880" s="371" t="s">
        <v>910</v>
      </c>
      <c r="F880" s="371"/>
      <c r="G880" s="44">
        <f>G881</f>
        <v>38291.599999999999</v>
      </c>
      <c r="H880" s="44">
        <f t="shared" si="399"/>
        <v>46568.799999999996</v>
      </c>
      <c r="I880" s="44">
        <f t="shared" si="399"/>
        <v>46568.799999999996</v>
      </c>
    </row>
    <row r="881" spans="1:9" ht="15.75" x14ac:dyDescent="0.25">
      <c r="A881" s="370" t="s">
        <v>1088</v>
      </c>
      <c r="B881" s="367">
        <v>908</v>
      </c>
      <c r="C881" s="371" t="s">
        <v>133</v>
      </c>
      <c r="D881" s="371" t="s">
        <v>155</v>
      </c>
      <c r="E881" s="371" t="s">
        <v>1087</v>
      </c>
      <c r="F881" s="371"/>
      <c r="G881" s="44">
        <f>G885+G882</f>
        <v>38291.599999999999</v>
      </c>
      <c r="H881" s="44">
        <f>H885+H882</f>
        <v>46568.799999999996</v>
      </c>
      <c r="I881" s="44">
        <f>I885+I882</f>
        <v>46568.799999999996</v>
      </c>
    </row>
    <row r="882" spans="1:9" s="222" customFormat="1" ht="31.5" x14ac:dyDescent="0.25">
      <c r="A882" s="372" t="s">
        <v>883</v>
      </c>
      <c r="B882" s="366">
        <v>908</v>
      </c>
      <c r="C882" s="368" t="s">
        <v>133</v>
      </c>
      <c r="D882" s="368" t="s">
        <v>155</v>
      </c>
      <c r="E882" s="368" t="s">
        <v>1090</v>
      </c>
      <c r="F882" s="368"/>
      <c r="G882" s="373">
        <f>G883</f>
        <v>1072</v>
      </c>
      <c r="H882" s="26">
        <f t="shared" ref="H882:I883" si="400">H883</f>
        <v>674.7</v>
      </c>
      <c r="I882" s="26">
        <f t="shared" si="400"/>
        <v>674.7</v>
      </c>
    </row>
    <row r="883" spans="1:9" s="222" customFormat="1" ht="63" x14ac:dyDescent="0.25">
      <c r="A883" s="372" t="s">
        <v>142</v>
      </c>
      <c r="B883" s="366">
        <v>908</v>
      </c>
      <c r="C883" s="368" t="s">
        <v>133</v>
      </c>
      <c r="D883" s="368" t="s">
        <v>155</v>
      </c>
      <c r="E883" s="368" t="s">
        <v>1090</v>
      </c>
      <c r="F883" s="368" t="s">
        <v>143</v>
      </c>
      <c r="G883" s="373">
        <f>G884</f>
        <v>1072</v>
      </c>
      <c r="H883" s="26">
        <f t="shared" si="400"/>
        <v>674.7</v>
      </c>
      <c r="I883" s="26">
        <f t="shared" si="400"/>
        <v>674.7</v>
      </c>
    </row>
    <row r="884" spans="1:9" s="222" customFormat="1" ht="31.5" x14ac:dyDescent="0.25">
      <c r="A884" s="372" t="s">
        <v>144</v>
      </c>
      <c r="B884" s="366">
        <v>908</v>
      </c>
      <c r="C884" s="368" t="s">
        <v>133</v>
      </c>
      <c r="D884" s="368" t="s">
        <v>155</v>
      </c>
      <c r="E884" s="368" t="s">
        <v>1090</v>
      </c>
      <c r="F884" s="368" t="s">
        <v>224</v>
      </c>
      <c r="G884" s="373">
        <f>672+400</f>
        <v>1072</v>
      </c>
      <c r="H884" s="26">
        <v>674.7</v>
      </c>
      <c r="I884" s="26">
        <v>674.7</v>
      </c>
    </row>
    <row r="885" spans="1:9" s="222" customFormat="1" ht="15.75" x14ac:dyDescent="0.25">
      <c r="A885" s="372" t="s">
        <v>832</v>
      </c>
      <c r="B885" s="366">
        <v>908</v>
      </c>
      <c r="C885" s="368" t="s">
        <v>133</v>
      </c>
      <c r="D885" s="368" t="s">
        <v>155</v>
      </c>
      <c r="E885" s="368" t="s">
        <v>1089</v>
      </c>
      <c r="F885" s="368"/>
      <c r="G885" s="374">
        <f>G886+G888+G890</f>
        <v>37219.599999999999</v>
      </c>
      <c r="H885" s="27">
        <f t="shared" ref="H885:I885" si="401">H886+H888+H890</f>
        <v>45894.1</v>
      </c>
      <c r="I885" s="27">
        <f t="shared" si="401"/>
        <v>45894.1</v>
      </c>
    </row>
    <row r="886" spans="1:9" ht="74.25" customHeight="1" x14ac:dyDescent="0.25">
      <c r="A886" s="372" t="s">
        <v>142</v>
      </c>
      <c r="B886" s="366">
        <v>908</v>
      </c>
      <c r="C886" s="368" t="s">
        <v>133</v>
      </c>
      <c r="D886" s="368" t="s">
        <v>155</v>
      </c>
      <c r="E886" s="368" t="s">
        <v>1089</v>
      </c>
      <c r="F886" s="368" t="s">
        <v>143</v>
      </c>
      <c r="G886" s="374">
        <f>G887</f>
        <v>30152.400000000001</v>
      </c>
      <c r="H886" s="27">
        <f t="shared" ref="H886:I886" si="402">H887</f>
        <v>34923.9</v>
      </c>
      <c r="I886" s="27">
        <f t="shared" si="402"/>
        <v>34923.9</v>
      </c>
    </row>
    <row r="887" spans="1:9" ht="15.75" x14ac:dyDescent="0.25">
      <c r="A887" s="46" t="s">
        <v>357</v>
      </c>
      <c r="B887" s="366">
        <v>908</v>
      </c>
      <c r="C887" s="368" t="s">
        <v>133</v>
      </c>
      <c r="D887" s="368" t="s">
        <v>155</v>
      </c>
      <c r="E887" s="368" t="s">
        <v>1089</v>
      </c>
      <c r="F887" s="368" t="s">
        <v>224</v>
      </c>
      <c r="G887" s="374">
        <f>30180-27.6</f>
        <v>30152.400000000001</v>
      </c>
      <c r="H887" s="27">
        <f t="shared" ref="H887:I887" si="403">30242.8+2244.5+3111.3-674.7</f>
        <v>34923.9</v>
      </c>
      <c r="I887" s="27">
        <f t="shared" si="403"/>
        <v>34923.9</v>
      </c>
    </row>
    <row r="888" spans="1:9" ht="31.5" x14ac:dyDescent="0.25">
      <c r="A888" s="372" t="s">
        <v>146</v>
      </c>
      <c r="B888" s="366">
        <v>908</v>
      </c>
      <c r="C888" s="368" t="s">
        <v>133</v>
      </c>
      <c r="D888" s="368" t="s">
        <v>155</v>
      </c>
      <c r="E888" s="368" t="s">
        <v>1089</v>
      </c>
      <c r="F888" s="368" t="s">
        <v>147</v>
      </c>
      <c r="G888" s="374">
        <f>G889</f>
        <v>6566.2</v>
      </c>
      <c r="H888" s="27">
        <f t="shared" ref="H888:I888" si="404">H889</f>
        <v>10549.599999999999</v>
      </c>
      <c r="I888" s="27">
        <f t="shared" si="404"/>
        <v>10549.599999999999</v>
      </c>
    </row>
    <row r="889" spans="1:9" ht="31.5" x14ac:dyDescent="0.25">
      <c r="A889" s="372" t="s">
        <v>148</v>
      </c>
      <c r="B889" s="366">
        <v>908</v>
      </c>
      <c r="C889" s="368" t="s">
        <v>133</v>
      </c>
      <c r="D889" s="368" t="s">
        <v>155</v>
      </c>
      <c r="E889" s="368" t="s">
        <v>1089</v>
      </c>
      <c r="F889" s="368" t="s">
        <v>149</v>
      </c>
      <c r="G889" s="374">
        <f>7000-400+46.2-80</f>
        <v>6566.2</v>
      </c>
      <c r="H889" s="27">
        <f t="shared" ref="H889:I889" si="405">8950+1731.8-124.7-7.5</f>
        <v>10549.599999999999</v>
      </c>
      <c r="I889" s="27">
        <f t="shared" si="405"/>
        <v>10549.599999999999</v>
      </c>
    </row>
    <row r="890" spans="1:9" ht="15.75" x14ac:dyDescent="0.25">
      <c r="A890" s="372" t="s">
        <v>150</v>
      </c>
      <c r="B890" s="366">
        <v>908</v>
      </c>
      <c r="C890" s="368" t="s">
        <v>133</v>
      </c>
      <c r="D890" s="368" t="s">
        <v>155</v>
      </c>
      <c r="E890" s="368" t="s">
        <v>1089</v>
      </c>
      <c r="F890" s="368" t="s">
        <v>160</v>
      </c>
      <c r="G890" s="374">
        <f>G891</f>
        <v>501</v>
      </c>
      <c r="H890" s="27">
        <f t="shared" ref="H890:I890" si="406">H891</f>
        <v>420.59999999999997</v>
      </c>
      <c r="I890" s="27">
        <f t="shared" si="406"/>
        <v>420.59999999999997</v>
      </c>
    </row>
    <row r="891" spans="1:9" ht="15.75" x14ac:dyDescent="0.25">
      <c r="A891" s="372" t="s">
        <v>725</v>
      </c>
      <c r="B891" s="366">
        <v>908</v>
      </c>
      <c r="C891" s="368" t="s">
        <v>133</v>
      </c>
      <c r="D891" s="368" t="s">
        <v>155</v>
      </c>
      <c r="E891" s="368" t="s">
        <v>1089</v>
      </c>
      <c r="F891" s="368" t="s">
        <v>153</v>
      </c>
      <c r="G891" s="374">
        <f>421+80</f>
        <v>501</v>
      </c>
      <c r="H891" s="27">
        <f t="shared" ref="H891:I891" si="407">156.7+131.7+124.7+7.5</f>
        <v>420.59999999999997</v>
      </c>
      <c r="I891" s="27">
        <f t="shared" si="407"/>
        <v>420.59999999999997</v>
      </c>
    </row>
    <row r="892" spans="1:9" ht="31.5" x14ac:dyDescent="0.25">
      <c r="A892" s="370" t="s">
        <v>237</v>
      </c>
      <c r="B892" s="367">
        <v>908</v>
      </c>
      <c r="C892" s="371" t="s">
        <v>230</v>
      </c>
      <c r="D892" s="371"/>
      <c r="E892" s="371"/>
      <c r="F892" s="371"/>
      <c r="G892" s="369">
        <f t="shared" ref="G892:I897" si="408">G893</f>
        <v>107</v>
      </c>
      <c r="H892" s="21">
        <f t="shared" si="408"/>
        <v>106.9</v>
      </c>
      <c r="I892" s="21">
        <f t="shared" si="408"/>
        <v>106.9</v>
      </c>
    </row>
    <row r="893" spans="1:9" ht="51" customHeight="1" x14ac:dyDescent="0.25">
      <c r="A893" s="370" t="s">
        <v>238</v>
      </c>
      <c r="B893" s="367">
        <v>908</v>
      </c>
      <c r="C893" s="371" t="s">
        <v>230</v>
      </c>
      <c r="D893" s="371" t="s">
        <v>234</v>
      </c>
      <c r="E893" s="371"/>
      <c r="F893" s="371"/>
      <c r="G893" s="369">
        <f t="shared" si="408"/>
        <v>107</v>
      </c>
      <c r="H893" s="21">
        <f t="shared" si="408"/>
        <v>106.9</v>
      </c>
      <c r="I893" s="21">
        <f t="shared" si="408"/>
        <v>106.9</v>
      </c>
    </row>
    <row r="894" spans="1:9" ht="21.75" customHeight="1" x14ac:dyDescent="0.25">
      <c r="A894" s="370" t="s">
        <v>156</v>
      </c>
      <c r="B894" s="367">
        <v>908</v>
      </c>
      <c r="C894" s="371" t="s">
        <v>230</v>
      </c>
      <c r="D894" s="371" t="s">
        <v>234</v>
      </c>
      <c r="E894" s="371" t="s">
        <v>910</v>
      </c>
      <c r="F894" s="371"/>
      <c r="G894" s="369">
        <f t="shared" si="408"/>
        <v>107</v>
      </c>
      <c r="H894" s="21">
        <f t="shared" si="408"/>
        <v>106.9</v>
      </c>
      <c r="I894" s="21">
        <f t="shared" si="408"/>
        <v>106.9</v>
      </c>
    </row>
    <row r="895" spans="1:9" ht="31.5" x14ac:dyDescent="0.25">
      <c r="A895" s="370" t="s">
        <v>914</v>
      </c>
      <c r="B895" s="367">
        <v>908</v>
      </c>
      <c r="C895" s="371" t="s">
        <v>230</v>
      </c>
      <c r="D895" s="371" t="s">
        <v>234</v>
      </c>
      <c r="E895" s="371" t="s">
        <v>909</v>
      </c>
      <c r="F895" s="371"/>
      <c r="G895" s="369">
        <f t="shared" si="408"/>
        <v>107</v>
      </c>
      <c r="H895" s="21">
        <f t="shared" si="408"/>
        <v>106.9</v>
      </c>
      <c r="I895" s="21">
        <f t="shared" si="408"/>
        <v>106.9</v>
      </c>
    </row>
    <row r="896" spans="1:9" ht="15.75" x14ac:dyDescent="0.25">
      <c r="A896" s="372" t="s">
        <v>245</v>
      </c>
      <c r="B896" s="366">
        <v>908</v>
      </c>
      <c r="C896" s="368" t="s">
        <v>230</v>
      </c>
      <c r="D896" s="368" t="s">
        <v>234</v>
      </c>
      <c r="E896" s="368" t="s">
        <v>920</v>
      </c>
      <c r="F896" s="368"/>
      <c r="G896" s="373">
        <f t="shared" si="408"/>
        <v>107</v>
      </c>
      <c r="H896" s="26">
        <f t="shared" si="408"/>
        <v>106.9</v>
      </c>
      <c r="I896" s="26">
        <f t="shared" si="408"/>
        <v>106.9</v>
      </c>
    </row>
    <row r="897" spans="1:9" ht="31.5" x14ac:dyDescent="0.25">
      <c r="A897" s="372" t="s">
        <v>146</v>
      </c>
      <c r="B897" s="366">
        <v>908</v>
      </c>
      <c r="C897" s="368" t="s">
        <v>230</v>
      </c>
      <c r="D897" s="368" t="s">
        <v>234</v>
      </c>
      <c r="E897" s="368" t="s">
        <v>920</v>
      </c>
      <c r="F897" s="368" t="s">
        <v>147</v>
      </c>
      <c r="G897" s="373">
        <f t="shared" si="408"/>
        <v>107</v>
      </c>
      <c r="H897" s="26">
        <f t="shared" si="408"/>
        <v>106.9</v>
      </c>
      <c r="I897" s="26">
        <f t="shared" si="408"/>
        <v>106.9</v>
      </c>
    </row>
    <row r="898" spans="1:9" ht="31.5" x14ac:dyDescent="0.25">
      <c r="A898" s="372" t="s">
        <v>148</v>
      </c>
      <c r="B898" s="366">
        <v>908</v>
      </c>
      <c r="C898" s="368" t="s">
        <v>230</v>
      </c>
      <c r="D898" s="368" t="s">
        <v>234</v>
      </c>
      <c r="E898" s="368" t="s">
        <v>920</v>
      </c>
      <c r="F898" s="368" t="s">
        <v>149</v>
      </c>
      <c r="G898" s="373">
        <v>107</v>
      </c>
      <c r="H898" s="26">
        <v>106.9</v>
      </c>
      <c r="I898" s="26">
        <v>106.9</v>
      </c>
    </row>
    <row r="899" spans="1:9" ht="15.75" x14ac:dyDescent="0.25">
      <c r="A899" s="370" t="s">
        <v>247</v>
      </c>
      <c r="B899" s="367">
        <v>908</v>
      </c>
      <c r="C899" s="371" t="s">
        <v>165</v>
      </c>
      <c r="D899" s="371"/>
      <c r="E899" s="371"/>
      <c r="F899" s="371"/>
      <c r="G899" s="369">
        <f>G900+G906+G920</f>
        <v>7054</v>
      </c>
      <c r="H899" s="21">
        <f t="shared" ref="H899:I899" si="409">H900+H906</f>
        <v>8024.9000000000005</v>
      </c>
      <c r="I899" s="21">
        <f t="shared" si="409"/>
        <v>8024.9000000000005</v>
      </c>
    </row>
    <row r="900" spans="1:9" ht="15.75" x14ac:dyDescent="0.25">
      <c r="A900" s="370" t="s">
        <v>520</v>
      </c>
      <c r="B900" s="367">
        <v>908</v>
      </c>
      <c r="C900" s="371" t="s">
        <v>165</v>
      </c>
      <c r="D900" s="371" t="s">
        <v>314</v>
      </c>
      <c r="E900" s="371"/>
      <c r="F900" s="371"/>
      <c r="G900" s="369">
        <f>G901</f>
        <v>3258</v>
      </c>
      <c r="H900" s="21">
        <f t="shared" ref="H900:I904" si="410">H901</f>
        <v>3258.3</v>
      </c>
      <c r="I900" s="21">
        <f t="shared" si="410"/>
        <v>3258.3</v>
      </c>
    </row>
    <row r="901" spans="1:9" ht="15.75" x14ac:dyDescent="0.25">
      <c r="A901" s="370" t="s">
        <v>156</v>
      </c>
      <c r="B901" s="367">
        <v>908</v>
      </c>
      <c r="C901" s="371" t="s">
        <v>165</v>
      </c>
      <c r="D901" s="371" t="s">
        <v>314</v>
      </c>
      <c r="E901" s="371" t="s">
        <v>910</v>
      </c>
      <c r="F901" s="371"/>
      <c r="G901" s="369">
        <f>G902</f>
        <v>3258</v>
      </c>
      <c r="H901" s="21">
        <f t="shared" si="410"/>
        <v>3258.3</v>
      </c>
      <c r="I901" s="21">
        <f t="shared" si="410"/>
        <v>3258.3</v>
      </c>
    </row>
    <row r="902" spans="1:9" ht="31.5" x14ac:dyDescent="0.25">
      <c r="A902" s="370" t="s">
        <v>914</v>
      </c>
      <c r="B902" s="367">
        <v>908</v>
      </c>
      <c r="C902" s="371" t="s">
        <v>165</v>
      </c>
      <c r="D902" s="371" t="s">
        <v>314</v>
      </c>
      <c r="E902" s="371" t="s">
        <v>909</v>
      </c>
      <c r="F902" s="371"/>
      <c r="G902" s="369">
        <f>G903</f>
        <v>3258</v>
      </c>
      <c r="H902" s="21">
        <f t="shared" si="410"/>
        <v>3258.3</v>
      </c>
      <c r="I902" s="21">
        <f t="shared" si="410"/>
        <v>3258.3</v>
      </c>
    </row>
    <row r="903" spans="1:9" ht="18" customHeight="1" x14ac:dyDescent="0.25">
      <c r="A903" s="372" t="s">
        <v>521</v>
      </c>
      <c r="B903" s="366">
        <v>908</v>
      </c>
      <c r="C903" s="368" t="s">
        <v>165</v>
      </c>
      <c r="D903" s="368" t="s">
        <v>314</v>
      </c>
      <c r="E903" s="368" t="s">
        <v>1091</v>
      </c>
      <c r="F903" s="368"/>
      <c r="G903" s="373">
        <f>G904</f>
        <v>3258</v>
      </c>
      <c r="H903" s="26">
        <f t="shared" si="410"/>
        <v>3258.3</v>
      </c>
      <c r="I903" s="26">
        <f t="shared" si="410"/>
        <v>3258.3</v>
      </c>
    </row>
    <row r="904" spans="1:9" ht="31.5" x14ac:dyDescent="0.25">
      <c r="A904" s="372" t="s">
        <v>146</v>
      </c>
      <c r="B904" s="366">
        <v>908</v>
      </c>
      <c r="C904" s="368" t="s">
        <v>165</v>
      </c>
      <c r="D904" s="368" t="s">
        <v>314</v>
      </c>
      <c r="E904" s="368" t="s">
        <v>1091</v>
      </c>
      <c r="F904" s="368" t="s">
        <v>147</v>
      </c>
      <c r="G904" s="373">
        <f>G905</f>
        <v>3258</v>
      </c>
      <c r="H904" s="26">
        <f t="shared" si="410"/>
        <v>3258.3</v>
      </c>
      <c r="I904" s="26">
        <f t="shared" si="410"/>
        <v>3258.3</v>
      </c>
    </row>
    <row r="905" spans="1:9" ht="31.5" x14ac:dyDescent="0.25">
      <c r="A905" s="372" t="s">
        <v>148</v>
      </c>
      <c r="B905" s="366">
        <v>908</v>
      </c>
      <c r="C905" s="368" t="s">
        <v>165</v>
      </c>
      <c r="D905" s="368" t="s">
        <v>314</v>
      </c>
      <c r="E905" s="368" t="s">
        <v>1091</v>
      </c>
      <c r="F905" s="368" t="s">
        <v>149</v>
      </c>
      <c r="G905" s="373">
        <v>3258</v>
      </c>
      <c r="H905" s="26">
        <f t="shared" ref="H905:I905" si="411">3258.3</f>
        <v>3258.3</v>
      </c>
      <c r="I905" s="26">
        <f t="shared" si="411"/>
        <v>3258.3</v>
      </c>
    </row>
    <row r="906" spans="1:9" ht="15.75" x14ac:dyDescent="0.25">
      <c r="A906" s="370" t="s">
        <v>523</v>
      </c>
      <c r="B906" s="367">
        <v>908</v>
      </c>
      <c r="C906" s="371" t="s">
        <v>165</v>
      </c>
      <c r="D906" s="371" t="s">
        <v>234</v>
      </c>
      <c r="E906" s="368"/>
      <c r="F906" s="371"/>
      <c r="G906" s="369">
        <f>G907</f>
        <v>3446</v>
      </c>
      <c r="H906" s="21">
        <f t="shared" ref="H906:I906" si="412">H907</f>
        <v>4766.6000000000004</v>
      </c>
      <c r="I906" s="21">
        <f t="shared" si="412"/>
        <v>4766.6000000000004</v>
      </c>
    </row>
    <row r="907" spans="1:9" ht="47.25" x14ac:dyDescent="0.25">
      <c r="A907" s="34" t="s">
        <v>1178</v>
      </c>
      <c r="B907" s="367">
        <v>908</v>
      </c>
      <c r="C907" s="371" t="s">
        <v>165</v>
      </c>
      <c r="D907" s="371" t="s">
        <v>234</v>
      </c>
      <c r="E907" s="371" t="s">
        <v>525</v>
      </c>
      <c r="F907" s="371"/>
      <c r="G907" s="369">
        <f>G913+G908</f>
        <v>3446</v>
      </c>
      <c r="H907" s="21">
        <f>H913+H908</f>
        <v>4766.6000000000004</v>
      </c>
      <c r="I907" s="21">
        <f>I913+I908</f>
        <v>4766.6000000000004</v>
      </c>
    </row>
    <row r="908" spans="1:9" s="222" customFormat="1" ht="31.5" hidden="1" x14ac:dyDescent="0.25">
      <c r="A908" s="34" t="s">
        <v>1148</v>
      </c>
      <c r="B908" s="367">
        <v>908</v>
      </c>
      <c r="C908" s="371" t="s">
        <v>165</v>
      </c>
      <c r="D908" s="371" t="s">
        <v>234</v>
      </c>
      <c r="E908" s="364" t="s">
        <v>1092</v>
      </c>
      <c r="F908" s="371"/>
      <c r="G908" s="369">
        <f>G909</f>
        <v>0</v>
      </c>
      <c r="H908" s="21">
        <f t="shared" ref="H908:I910" si="413">H909</f>
        <v>0</v>
      </c>
      <c r="I908" s="21">
        <f t="shared" si="413"/>
        <v>0</v>
      </c>
    </row>
    <row r="909" spans="1:9" s="222" customFormat="1" ht="15.75" hidden="1" x14ac:dyDescent="0.25">
      <c r="A909" s="375" t="s">
        <v>1150</v>
      </c>
      <c r="B909" s="366">
        <v>908</v>
      </c>
      <c r="C909" s="368" t="s">
        <v>165</v>
      </c>
      <c r="D909" s="368" t="s">
        <v>234</v>
      </c>
      <c r="E909" s="376" t="s">
        <v>1149</v>
      </c>
      <c r="F909" s="368"/>
      <c r="G909" s="373">
        <f>G910</f>
        <v>0</v>
      </c>
      <c r="H909" s="26">
        <f t="shared" si="413"/>
        <v>0</v>
      </c>
      <c r="I909" s="26">
        <f t="shared" si="413"/>
        <v>0</v>
      </c>
    </row>
    <row r="910" spans="1:9" s="222" customFormat="1" ht="31.5" hidden="1" x14ac:dyDescent="0.25">
      <c r="A910" s="372" t="s">
        <v>146</v>
      </c>
      <c r="B910" s="366">
        <v>908</v>
      </c>
      <c r="C910" s="368" t="s">
        <v>165</v>
      </c>
      <c r="D910" s="368" t="s">
        <v>234</v>
      </c>
      <c r="E910" s="376" t="s">
        <v>1149</v>
      </c>
      <c r="F910" s="368" t="s">
        <v>147</v>
      </c>
      <c r="G910" s="373">
        <f>G911</f>
        <v>0</v>
      </c>
      <c r="H910" s="26">
        <f t="shared" si="413"/>
        <v>0</v>
      </c>
      <c r="I910" s="26">
        <f t="shared" si="413"/>
        <v>0</v>
      </c>
    </row>
    <row r="911" spans="1:9" s="222" customFormat="1" ht="31.5" hidden="1" x14ac:dyDescent="0.25">
      <c r="A911" s="372" t="s">
        <v>148</v>
      </c>
      <c r="B911" s="366">
        <v>908</v>
      </c>
      <c r="C911" s="368" t="s">
        <v>165</v>
      </c>
      <c r="D911" s="368" t="s">
        <v>234</v>
      </c>
      <c r="E911" s="376" t="s">
        <v>1149</v>
      </c>
      <c r="F911" s="368" t="s">
        <v>149</v>
      </c>
      <c r="G911" s="373">
        <v>0</v>
      </c>
      <c r="H911" s="26">
        <v>0</v>
      </c>
      <c r="I911" s="26">
        <v>0</v>
      </c>
    </row>
    <row r="912" spans="1:9" s="222" customFormat="1" ht="31.5" x14ac:dyDescent="0.25">
      <c r="A912" s="34" t="s">
        <v>1237</v>
      </c>
      <c r="B912" s="367">
        <v>908</v>
      </c>
      <c r="C912" s="371" t="s">
        <v>165</v>
      </c>
      <c r="D912" s="371" t="s">
        <v>234</v>
      </c>
      <c r="E912" s="371" t="s">
        <v>1093</v>
      </c>
      <c r="F912" s="371"/>
      <c r="G912" s="369">
        <f>G913</f>
        <v>3446</v>
      </c>
      <c r="H912" s="21">
        <f t="shared" ref="H912:I912" si="414">H913</f>
        <v>4766.6000000000004</v>
      </c>
      <c r="I912" s="21">
        <f t="shared" si="414"/>
        <v>4766.6000000000004</v>
      </c>
    </row>
    <row r="913" spans="1:9" ht="15.75" x14ac:dyDescent="0.25">
      <c r="A913" s="375" t="s">
        <v>526</v>
      </c>
      <c r="B913" s="366">
        <v>908</v>
      </c>
      <c r="C913" s="368" t="s">
        <v>165</v>
      </c>
      <c r="D913" s="368" t="s">
        <v>234</v>
      </c>
      <c r="E913" s="376" t="s">
        <v>1151</v>
      </c>
      <c r="F913" s="368"/>
      <c r="G913" s="373">
        <f>G916+G918+G914</f>
        <v>3446</v>
      </c>
      <c r="H913" s="26">
        <f t="shared" ref="H913:I913" si="415">H916+H918</f>
        <v>4766.6000000000004</v>
      </c>
      <c r="I913" s="26">
        <f t="shared" si="415"/>
        <v>4766.6000000000004</v>
      </c>
    </row>
    <row r="914" spans="1:9" s="222" customFormat="1" ht="63" x14ac:dyDescent="0.25">
      <c r="A914" s="372" t="s">
        <v>142</v>
      </c>
      <c r="B914" s="366">
        <v>908</v>
      </c>
      <c r="C914" s="368" t="s">
        <v>165</v>
      </c>
      <c r="D914" s="368" t="s">
        <v>234</v>
      </c>
      <c r="E914" s="376" t="s">
        <v>1151</v>
      </c>
      <c r="F914" s="368" t="s">
        <v>143</v>
      </c>
      <c r="G914" s="373">
        <f>G915</f>
        <v>1791.3</v>
      </c>
      <c r="H914" s="26"/>
      <c r="I914" s="26"/>
    </row>
    <row r="915" spans="1:9" s="222" customFormat="1" ht="15.75" x14ac:dyDescent="0.25">
      <c r="A915" s="372" t="s">
        <v>357</v>
      </c>
      <c r="B915" s="366">
        <v>908</v>
      </c>
      <c r="C915" s="368" t="s">
        <v>165</v>
      </c>
      <c r="D915" s="368" t="s">
        <v>234</v>
      </c>
      <c r="E915" s="376" t="s">
        <v>1151</v>
      </c>
      <c r="F915" s="368" t="s">
        <v>224</v>
      </c>
      <c r="G915" s="373">
        <v>1791.3</v>
      </c>
      <c r="H915" s="26"/>
      <c r="I915" s="26"/>
    </row>
    <row r="916" spans="1:9" ht="31.5" x14ac:dyDescent="0.25">
      <c r="A916" s="372" t="s">
        <v>146</v>
      </c>
      <c r="B916" s="366">
        <v>908</v>
      </c>
      <c r="C916" s="368" t="s">
        <v>165</v>
      </c>
      <c r="D916" s="368" t="s">
        <v>234</v>
      </c>
      <c r="E916" s="376" t="s">
        <v>1151</v>
      </c>
      <c r="F916" s="368" t="s">
        <v>147</v>
      </c>
      <c r="G916" s="373">
        <f>G917</f>
        <v>1654.7</v>
      </c>
      <c r="H916" s="26">
        <f t="shared" ref="H916:I916" si="416">H917</f>
        <v>4740.5</v>
      </c>
      <c r="I916" s="26">
        <f t="shared" si="416"/>
        <v>4740.5</v>
      </c>
    </row>
    <row r="917" spans="1:9" ht="31.5" x14ac:dyDescent="0.25">
      <c r="A917" s="372" t="s">
        <v>148</v>
      </c>
      <c r="B917" s="366">
        <v>908</v>
      </c>
      <c r="C917" s="368" t="s">
        <v>165</v>
      </c>
      <c r="D917" s="368" t="s">
        <v>234</v>
      </c>
      <c r="E917" s="376" t="s">
        <v>1151</v>
      </c>
      <c r="F917" s="368" t="s">
        <v>149</v>
      </c>
      <c r="G917" s="373">
        <f>3446-1791.3</f>
        <v>1654.7</v>
      </c>
      <c r="H917" s="26">
        <v>4740.5</v>
      </c>
      <c r="I917" s="26">
        <v>4740.5</v>
      </c>
    </row>
    <row r="918" spans="1:9" ht="15.75" hidden="1" x14ac:dyDescent="0.25">
      <c r="A918" s="372" t="s">
        <v>150</v>
      </c>
      <c r="B918" s="366">
        <v>908</v>
      </c>
      <c r="C918" s="368" t="s">
        <v>165</v>
      </c>
      <c r="D918" s="368" t="s">
        <v>234</v>
      </c>
      <c r="E918" s="376" t="s">
        <v>1151</v>
      </c>
      <c r="F918" s="368" t="s">
        <v>160</v>
      </c>
      <c r="G918" s="373">
        <f>G919</f>
        <v>0</v>
      </c>
      <c r="H918" s="26">
        <f t="shared" ref="H918:I918" si="417">H919</f>
        <v>26.1</v>
      </c>
      <c r="I918" s="26">
        <f t="shared" si="417"/>
        <v>26.1</v>
      </c>
    </row>
    <row r="919" spans="1:9" ht="15.75" hidden="1" x14ac:dyDescent="0.25">
      <c r="A919" s="372" t="s">
        <v>583</v>
      </c>
      <c r="B919" s="366">
        <v>908</v>
      </c>
      <c r="C919" s="368" t="s">
        <v>165</v>
      </c>
      <c r="D919" s="368" t="s">
        <v>234</v>
      </c>
      <c r="E919" s="376" t="s">
        <v>1151</v>
      </c>
      <c r="F919" s="368" t="s">
        <v>153</v>
      </c>
      <c r="G919" s="373">
        <v>0</v>
      </c>
      <c r="H919" s="26">
        <f t="shared" ref="H919:I919" si="418">16+10.1</f>
        <v>26.1</v>
      </c>
      <c r="I919" s="26">
        <f t="shared" si="418"/>
        <v>26.1</v>
      </c>
    </row>
    <row r="920" spans="1:9" s="222" customFormat="1" ht="15.75" x14ac:dyDescent="0.25">
      <c r="A920" s="370" t="s">
        <v>252</v>
      </c>
      <c r="B920" s="367">
        <v>908</v>
      </c>
      <c r="C920" s="371" t="s">
        <v>165</v>
      </c>
      <c r="D920" s="371" t="s">
        <v>253</v>
      </c>
      <c r="E920" s="364"/>
      <c r="F920" s="371"/>
      <c r="G920" s="369">
        <f>G921</f>
        <v>350</v>
      </c>
      <c r="H920" s="26"/>
      <c r="I920" s="26"/>
    </row>
    <row r="921" spans="1:9" s="222" customFormat="1" ht="15.75" x14ac:dyDescent="0.25">
      <c r="A921" s="370" t="s">
        <v>156</v>
      </c>
      <c r="B921" s="367">
        <v>908</v>
      </c>
      <c r="C921" s="371" t="s">
        <v>165</v>
      </c>
      <c r="D921" s="371" t="s">
        <v>253</v>
      </c>
      <c r="E921" s="371" t="s">
        <v>910</v>
      </c>
      <c r="F921" s="368"/>
      <c r="G921" s="369">
        <f>G922</f>
        <v>350</v>
      </c>
      <c r="H921" s="26"/>
      <c r="I921" s="26"/>
    </row>
    <row r="922" spans="1:9" s="222" customFormat="1" ht="31.5" x14ac:dyDescent="0.25">
      <c r="A922" s="370" t="s">
        <v>914</v>
      </c>
      <c r="B922" s="367">
        <v>908</v>
      </c>
      <c r="C922" s="371" t="s">
        <v>165</v>
      </c>
      <c r="D922" s="371" t="s">
        <v>253</v>
      </c>
      <c r="E922" s="371" t="s">
        <v>909</v>
      </c>
      <c r="F922" s="368"/>
      <c r="G922" s="369">
        <f>G923</f>
        <v>350</v>
      </c>
      <c r="H922" s="26"/>
      <c r="I922" s="26"/>
    </row>
    <row r="923" spans="1:9" s="222" customFormat="1" ht="15.75" x14ac:dyDescent="0.25">
      <c r="A923" s="372" t="s">
        <v>1515</v>
      </c>
      <c r="B923" s="366">
        <v>908</v>
      </c>
      <c r="C923" s="368" t="s">
        <v>165</v>
      </c>
      <c r="D923" s="368" t="s">
        <v>253</v>
      </c>
      <c r="E923" s="368" t="s">
        <v>1516</v>
      </c>
      <c r="F923" s="368"/>
      <c r="G923" s="373">
        <f>G924</f>
        <v>350</v>
      </c>
      <c r="H923" s="26"/>
      <c r="I923" s="26"/>
    </row>
    <row r="924" spans="1:9" s="222" customFormat="1" ht="31.5" x14ac:dyDescent="0.25">
      <c r="A924" s="372" t="s">
        <v>146</v>
      </c>
      <c r="B924" s="366">
        <v>908</v>
      </c>
      <c r="C924" s="368" t="s">
        <v>165</v>
      </c>
      <c r="D924" s="368" t="s">
        <v>253</v>
      </c>
      <c r="E924" s="368" t="s">
        <v>1516</v>
      </c>
      <c r="F924" s="368" t="s">
        <v>147</v>
      </c>
      <c r="G924" s="373">
        <f>G925</f>
        <v>350</v>
      </c>
      <c r="H924" s="26"/>
      <c r="I924" s="26"/>
    </row>
    <row r="925" spans="1:9" s="222" customFormat="1" ht="31.5" x14ac:dyDescent="0.25">
      <c r="A925" s="372" t="s">
        <v>148</v>
      </c>
      <c r="B925" s="366">
        <v>908</v>
      </c>
      <c r="C925" s="368" t="s">
        <v>165</v>
      </c>
      <c r="D925" s="368" t="s">
        <v>253</v>
      </c>
      <c r="E925" s="368" t="s">
        <v>1516</v>
      </c>
      <c r="F925" s="368" t="s">
        <v>149</v>
      </c>
      <c r="G925" s="373">
        <v>350</v>
      </c>
      <c r="H925" s="26"/>
      <c r="I925" s="26"/>
    </row>
    <row r="926" spans="1:9" ht="15.75" x14ac:dyDescent="0.25">
      <c r="A926" s="370" t="s">
        <v>405</v>
      </c>
      <c r="B926" s="367">
        <v>908</v>
      </c>
      <c r="C926" s="371" t="s">
        <v>249</v>
      </c>
      <c r="D926" s="371"/>
      <c r="E926" s="371"/>
      <c r="F926" s="371"/>
      <c r="G926" s="369">
        <f>G927+G941+G1008+G1057</f>
        <v>62397.400000000009</v>
      </c>
      <c r="H926" s="21">
        <f>H927+H941+H1008+H1057</f>
        <v>169607.44999999998</v>
      </c>
      <c r="I926" s="21">
        <f>I927+I941+I1008+I1057</f>
        <v>169607.44999999998</v>
      </c>
    </row>
    <row r="927" spans="1:9" ht="15.75" x14ac:dyDescent="0.25">
      <c r="A927" s="370" t="s">
        <v>406</v>
      </c>
      <c r="B927" s="367">
        <v>908</v>
      </c>
      <c r="C927" s="371" t="s">
        <v>249</v>
      </c>
      <c r="D927" s="371" t="s">
        <v>133</v>
      </c>
      <c r="E927" s="371"/>
      <c r="F927" s="371"/>
      <c r="G927" s="369">
        <f>G928</f>
        <v>5434</v>
      </c>
      <c r="H927" s="21">
        <f t="shared" ref="H927:I928" si="419">H928</f>
        <v>26909.4</v>
      </c>
      <c r="I927" s="21">
        <f t="shared" si="419"/>
        <v>26909.4</v>
      </c>
    </row>
    <row r="928" spans="1:9" ht="15.75" x14ac:dyDescent="0.25">
      <c r="A928" s="370" t="s">
        <v>156</v>
      </c>
      <c r="B928" s="367">
        <v>908</v>
      </c>
      <c r="C928" s="371" t="s">
        <v>249</v>
      </c>
      <c r="D928" s="371" t="s">
        <v>133</v>
      </c>
      <c r="E928" s="371" t="s">
        <v>910</v>
      </c>
      <c r="F928" s="371"/>
      <c r="G928" s="369">
        <f>G929</f>
        <v>5434</v>
      </c>
      <c r="H928" s="21">
        <f t="shared" si="419"/>
        <v>26909.4</v>
      </c>
      <c r="I928" s="21">
        <f t="shared" si="419"/>
        <v>26909.4</v>
      </c>
    </row>
    <row r="929" spans="1:9" ht="31.5" x14ac:dyDescent="0.25">
      <c r="A929" s="370" t="s">
        <v>914</v>
      </c>
      <c r="B929" s="367">
        <v>908</v>
      </c>
      <c r="C929" s="371" t="s">
        <v>249</v>
      </c>
      <c r="D929" s="371" t="s">
        <v>133</v>
      </c>
      <c r="E929" s="371" t="s">
        <v>909</v>
      </c>
      <c r="F929" s="371"/>
      <c r="G929" s="369">
        <f>G938+G935+G930</f>
        <v>5434</v>
      </c>
      <c r="H929" s="21">
        <f t="shared" ref="H929:I929" si="420">H938+H935+H930</f>
        <v>26909.4</v>
      </c>
      <c r="I929" s="21">
        <f t="shared" si="420"/>
        <v>26909.4</v>
      </c>
    </row>
    <row r="930" spans="1:9" ht="15.75" x14ac:dyDescent="0.25">
      <c r="A930" s="372" t="s">
        <v>530</v>
      </c>
      <c r="B930" s="366">
        <v>908</v>
      </c>
      <c r="C930" s="368" t="s">
        <v>795</v>
      </c>
      <c r="D930" s="368" t="s">
        <v>133</v>
      </c>
      <c r="E930" s="368" t="s">
        <v>1094</v>
      </c>
      <c r="F930" s="371"/>
      <c r="G930" s="373">
        <f>G933+G931</f>
        <v>274</v>
      </c>
      <c r="H930" s="26">
        <f t="shared" ref="H930:I930" si="421">H933+H931</f>
        <v>21756.5</v>
      </c>
      <c r="I930" s="26">
        <f t="shared" si="421"/>
        <v>21756.5</v>
      </c>
    </row>
    <row r="931" spans="1:9" s="222" customFormat="1" ht="31.5" x14ac:dyDescent="0.25">
      <c r="A931" s="372" t="s">
        <v>146</v>
      </c>
      <c r="B931" s="366">
        <v>908</v>
      </c>
      <c r="C931" s="368" t="s">
        <v>249</v>
      </c>
      <c r="D931" s="368" t="s">
        <v>133</v>
      </c>
      <c r="E931" s="368" t="s">
        <v>1094</v>
      </c>
      <c r="F931" s="368" t="s">
        <v>147</v>
      </c>
      <c r="G931" s="373">
        <f>G932</f>
        <v>274</v>
      </c>
      <c r="H931" s="26">
        <f t="shared" ref="H931:I931" si="422">H932</f>
        <v>20230.900000000001</v>
      </c>
      <c r="I931" s="26">
        <f t="shared" si="422"/>
        <v>20230.900000000001</v>
      </c>
    </row>
    <row r="932" spans="1:9" s="222" customFormat="1" ht="31.5" x14ac:dyDescent="0.25">
      <c r="A932" s="372" t="s">
        <v>148</v>
      </c>
      <c r="B932" s="366">
        <v>908</v>
      </c>
      <c r="C932" s="368" t="s">
        <v>249</v>
      </c>
      <c r="D932" s="368" t="s">
        <v>133</v>
      </c>
      <c r="E932" s="368" t="s">
        <v>1094</v>
      </c>
      <c r="F932" s="368" t="s">
        <v>149</v>
      </c>
      <c r="G932" s="373">
        <f>140+134</f>
        <v>274</v>
      </c>
      <c r="H932" s="26">
        <f t="shared" ref="H932:I932" si="423">10000+10230.9</f>
        <v>20230.900000000001</v>
      </c>
      <c r="I932" s="26">
        <f t="shared" si="423"/>
        <v>20230.900000000001</v>
      </c>
    </row>
    <row r="933" spans="1:9" ht="15.75" hidden="1" x14ac:dyDescent="0.25">
      <c r="A933" s="372" t="s">
        <v>150</v>
      </c>
      <c r="B933" s="366">
        <v>908</v>
      </c>
      <c r="C933" s="368" t="s">
        <v>249</v>
      </c>
      <c r="D933" s="368" t="s">
        <v>133</v>
      </c>
      <c r="E933" s="368" t="s">
        <v>1094</v>
      </c>
      <c r="F933" s="368" t="s">
        <v>160</v>
      </c>
      <c r="G933" s="373">
        <f>G934</f>
        <v>0</v>
      </c>
      <c r="H933" s="26">
        <f t="shared" ref="H933:I933" si="424">H934</f>
        <v>1525.6</v>
      </c>
      <c r="I933" s="26">
        <f t="shared" si="424"/>
        <v>1525.6</v>
      </c>
    </row>
    <row r="934" spans="1:9" ht="48.75" hidden="1" customHeight="1" x14ac:dyDescent="0.25">
      <c r="A934" s="372" t="s">
        <v>199</v>
      </c>
      <c r="B934" s="366">
        <v>908</v>
      </c>
      <c r="C934" s="368" t="s">
        <v>249</v>
      </c>
      <c r="D934" s="368" t="s">
        <v>133</v>
      </c>
      <c r="E934" s="368" t="s">
        <v>1094</v>
      </c>
      <c r="F934" s="368" t="s">
        <v>175</v>
      </c>
      <c r="G934" s="373">
        <v>0</v>
      </c>
      <c r="H934" s="26">
        <f t="shared" ref="H934:I934" si="425">1525.6</f>
        <v>1525.6</v>
      </c>
      <c r="I934" s="26">
        <f t="shared" si="425"/>
        <v>1525.6</v>
      </c>
    </row>
    <row r="935" spans="1:9" ht="31.5" x14ac:dyDescent="0.25">
      <c r="A935" s="375" t="s">
        <v>413</v>
      </c>
      <c r="B935" s="366">
        <v>908</v>
      </c>
      <c r="C935" s="368" t="s">
        <v>249</v>
      </c>
      <c r="D935" s="368" t="s">
        <v>133</v>
      </c>
      <c r="E935" s="368" t="s">
        <v>1095</v>
      </c>
      <c r="F935" s="371"/>
      <c r="G935" s="373">
        <f>G936</f>
        <v>4020</v>
      </c>
      <c r="H935" s="26">
        <f t="shared" ref="H935:I936" si="426">H936</f>
        <v>4017.6</v>
      </c>
      <c r="I935" s="26">
        <f t="shared" si="426"/>
        <v>4017.6</v>
      </c>
    </row>
    <row r="936" spans="1:9" ht="31.5" x14ac:dyDescent="0.25">
      <c r="A936" s="372" t="s">
        <v>146</v>
      </c>
      <c r="B936" s="366">
        <v>908</v>
      </c>
      <c r="C936" s="368" t="s">
        <v>249</v>
      </c>
      <c r="D936" s="368" t="s">
        <v>133</v>
      </c>
      <c r="E936" s="368" t="s">
        <v>1095</v>
      </c>
      <c r="F936" s="368" t="s">
        <v>147</v>
      </c>
      <c r="G936" s="373">
        <f>G937</f>
        <v>4020</v>
      </c>
      <c r="H936" s="26">
        <f t="shared" si="426"/>
        <v>4017.6</v>
      </c>
      <c r="I936" s="26">
        <f t="shared" si="426"/>
        <v>4017.6</v>
      </c>
    </row>
    <row r="937" spans="1:9" ht="33" customHeight="1" x14ac:dyDescent="0.25">
      <c r="A937" s="372" t="s">
        <v>148</v>
      </c>
      <c r="B937" s="366">
        <v>908</v>
      </c>
      <c r="C937" s="368" t="s">
        <v>249</v>
      </c>
      <c r="D937" s="368" t="s">
        <v>133</v>
      </c>
      <c r="E937" s="368" t="s">
        <v>1095</v>
      </c>
      <c r="F937" s="368" t="s">
        <v>149</v>
      </c>
      <c r="G937" s="374">
        <v>4020</v>
      </c>
      <c r="H937" s="27">
        <f t="shared" ref="H937:I937" si="427">4017.6</f>
        <v>4017.6</v>
      </c>
      <c r="I937" s="27">
        <f t="shared" si="427"/>
        <v>4017.6</v>
      </c>
    </row>
    <row r="938" spans="1:9" ht="31.5" x14ac:dyDescent="0.25">
      <c r="A938" s="375" t="s">
        <v>1003</v>
      </c>
      <c r="B938" s="366">
        <v>908</v>
      </c>
      <c r="C938" s="368" t="s">
        <v>249</v>
      </c>
      <c r="D938" s="368" t="s">
        <v>133</v>
      </c>
      <c r="E938" s="368" t="s">
        <v>1096</v>
      </c>
      <c r="F938" s="371"/>
      <c r="G938" s="373">
        <f>G939</f>
        <v>1140</v>
      </c>
      <c r="H938" s="26">
        <f t="shared" ref="H938:I939" si="428">H939</f>
        <v>1135.3</v>
      </c>
      <c r="I938" s="26">
        <f t="shared" si="428"/>
        <v>1135.3</v>
      </c>
    </row>
    <row r="939" spans="1:9" ht="31.5" x14ac:dyDescent="0.25">
      <c r="A939" s="372" t="s">
        <v>146</v>
      </c>
      <c r="B939" s="366">
        <v>908</v>
      </c>
      <c r="C939" s="368" t="s">
        <v>249</v>
      </c>
      <c r="D939" s="368" t="s">
        <v>133</v>
      </c>
      <c r="E939" s="368" t="s">
        <v>1096</v>
      </c>
      <c r="F939" s="368" t="s">
        <v>147</v>
      </c>
      <c r="G939" s="373">
        <f>G940</f>
        <v>1140</v>
      </c>
      <c r="H939" s="26">
        <f t="shared" si="428"/>
        <v>1135.3</v>
      </c>
      <c r="I939" s="26">
        <f t="shared" si="428"/>
        <v>1135.3</v>
      </c>
    </row>
    <row r="940" spans="1:9" ht="33" customHeight="1" x14ac:dyDescent="0.25">
      <c r="A940" s="372" t="s">
        <v>148</v>
      </c>
      <c r="B940" s="366">
        <v>908</v>
      </c>
      <c r="C940" s="368" t="s">
        <v>249</v>
      </c>
      <c r="D940" s="368" t="s">
        <v>133</v>
      </c>
      <c r="E940" s="368" t="s">
        <v>1096</v>
      </c>
      <c r="F940" s="368" t="s">
        <v>149</v>
      </c>
      <c r="G940" s="373">
        <v>1140</v>
      </c>
      <c r="H940" s="26">
        <f t="shared" ref="H940:I940" si="429">1191.6-15-41.3</f>
        <v>1135.3</v>
      </c>
      <c r="I940" s="26">
        <f t="shared" si="429"/>
        <v>1135.3</v>
      </c>
    </row>
    <row r="941" spans="1:9" ht="15.75" x14ac:dyDescent="0.25">
      <c r="A941" s="370" t="s">
        <v>532</v>
      </c>
      <c r="B941" s="367">
        <v>908</v>
      </c>
      <c r="C941" s="371" t="s">
        <v>249</v>
      </c>
      <c r="D941" s="371" t="s">
        <v>228</v>
      </c>
      <c r="E941" s="371"/>
      <c r="F941" s="371"/>
      <c r="G941" s="369">
        <f>G942+G974+G1003</f>
        <v>29308.400000000001</v>
      </c>
      <c r="H941" s="21">
        <f>H942+H974</f>
        <v>105884.63</v>
      </c>
      <c r="I941" s="21">
        <f>I942+I974</f>
        <v>105884.63</v>
      </c>
    </row>
    <row r="942" spans="1:9" s="222" customFormat="1" ht="15.75" x14ac:dyDescent="0.25">
      <c r="A942" s="370" t="s">
        <v>156</v>
      </c>
      <c r="B942" s="367">
        <v>908</v>
      </c>
      <c r="C942" s="371" t="s">
        <v>249</v>
      </c>
      <c r="D942" s="371" t="s">
        <v>228</v>
      </c>
      <c r="E942" s="371" t="s">
        <v>910</v>
      </c>
      <c r="F942" s="371"/>
      <c r="G942" s="369">
        <f>G943+G957</f>
        <v>29179.4</v>
      </c>
      <c r="H942" s="21">
        <f>H943+H957</f>
        <v>96944.63</v>
      </c>
      <c r="I942" s="21">
        <f>I943+I957</f>
        <v>96944.63</v>
      </c>
    </row>
    <row r="943" spans="1:9" s="222" customFormat="1" ht="31.5" x14ac:dyDescent="0.25">
      <c r="A943" s="370" t="s">
        <v>914</v>
      </c>
      <c r="B943" s="367">
        <v>908</v>
      </c>
      <c r="C943" s="371" t="s">
        <v>249</v>
      </c>
      <c r="D943" s="371" t="s">
        <v>228</v>
      </c>
      <c r="E943" s="371" t="s">
        <v>909</v>
      </c>
      <c r="F943" s="371"/>
      <c r="G943" s="369">
        <f>G944+G952</f>
        <v>6979.4</v>
      </c>
      <c r="H943" s="21">
        <f>H944+H952</f>
        <v>23180.9</v>
      </c>
      <c r="I943" s="21">
        <f>I944+I952</f>
        <v>23180.9</v>
      </c>
    </row>
    <row r="944" spans="1:9" s="222" customFormat="1" ht="15.75" x14ac:dyDescent="0.25">
      <c r="A944" s="35" t="s">
        <v>552</v>
      </c>
      <c r="B944" s="366">
        <v>908</v>
      </c>
      <c r="C944" s="368" t="s">
        <v>249</v>
      </c>
      <c r="D944" s="368" t="s">
        <v>228</v>
      </c>
      <c r="E944" s="368" t="s">
        <v>1113</v>
      </c>
      <c r="F944" s="368"/>
      <c r="G944" s="373">
        <f>G945+G949+G947</f>
        <v>1279.3999999999999</v>
      </c>
      <c r="H944" s="26">
        <f>H945+H949</f>
        <v>15322.9</v>
      </c>
      <c r="I944" s="26">
        <f>I945+I949</f>
        <v>15322.9</v>
      </c>
    </row>
    <row r="945" spans="1:9" s="222" customFormat="1" ht="31.5" hidden="1" x14ac:dyDescent="0.25">
      <c r="A945" s="372" t="s">
        <v>146</v>
      </c>
      <c r="B945" s="366">
        <v>908</v>
      </c>
      <c r="C945" s="368" t="s">
        <v>249</v>
      </c>
      <c r="D945" s="368" t="s">
        <v>228</v>
      </c>
      <c r="E945" s="368" t="s">
        <v>1113</v>
      </c>
      <c r="F945" s="368" t="s">
        <v>147</v>
      </c>
      <c r="G945" s="373">
        <f>G946</f>
        <v>0</v>
      </c>
      <c r="H945" s="26">
        <f t="shared" ref="H945:I945" si="430">H946</f>
        <v>322.89999999999998</v>
      </c>
      <c r="I945" s="26">
        <f t="shared" si="430"/>
        <v>322.89999999999998</v>
      </c>
    </row>
    <row r="946" spans="1:9" s="222" customFormat="1" ht="31.5" hidden="1" x14ac:dyDescent="0.25">
      <c r="A946" s="372" t="s">
        <v>148</v>
      </c>
      <c r="B946" s="366">
        <v>908</v>
      </c>
      <c r="C946" s="368" t="s">
        <v>249</v>
      </c>
      <c r="D946" s="368" t="s">
        <v>228</v>
      </c>
      <c r="E946" s="368" t="s">
        <v>1113</v>
      </c>
      <c r="F946" s="368" t="s">
        <v>149</v>
      </c>
      <c r="G946" s="236">
        <f>1271.6-1271.6</f>
        <v>0</v>
      </c>
      <c r="H946" s="236">
        <v>322.89999999999998</v>
      </c>
      <c r="I946" s="236">
        <v>322.89999999999998</v>
      </c>
    </row>
    <row r="947" spans="1:9" s="222" customFormat="1" ht="31.5" x14ac:dyDescent="0.25">
      <c r="A947" s="372" t="s">
        <v>882</v>
      </c>
      <c r="B947" s="366">
        <v>908</v>
      </c>
      <c r="C947" s="368" t="s">
        <v>249</v>
      </c>
      <c r="D947" s="368" t="s">
        <v>228</v>
      </c>
      <c r="E947" s="368" t="s">
        <v>1113</v>
      </c>
      <c r="F947" s="368" t="s">
        <v>881</v>
      </c>
      <c r="G947" s="236">
        <f>G948</f>
        <v>1271.5999999999999</v>
      </c>
      <c r="H947" s="236"/>
      <c r="I947" s="236"/>
    </row>
    <row r="948" spans="1:9" s="222" customFormat="1" ht="47.25" x14ac:dyDescent="0.25">
      <c r="A948" s="372" t="s">
        <v>1224</v>
      </c>
      <c r="B948" s="366">
        <v>908</v>
      </c>
      <c r="C948" s="368" t="s">
        <v>249</v>
      </c>
      <c r="D948" s="368" t="s">
        <v>228</v>
      </c>
      <c r="E948" s="368" t="s">
        <v>1113</v>
      </c>
      <c r="F948" s="368" t="s">
        <v>1246</v>
      </c>
      <c r="G948" s="236">
        <v>1271.5999999999999</v>
      </c>
      <c r="H948" s="236"/>
      <c r="I948" s="236"/>
    </row>
    <row r="949" spans="1:9" s="222" customFormat="1" ht="15.75" x14ac:dyDescent="0.25">
      <c r="A949" s="372" t="s">
        <v>150</v>
      </c>
      <c r="B949" s="366">
        <v>908</v>
      </c>
      <c r="C949" s="368" t="s">
        <v>249</v>
      </c>
      <c r="D949" s="368" t="s">
        <v>228</v>
      </c>
      <c r="E949" s="368" t="s">
        <v>1113</v>
      </c>
      <c r="F949" s="368" t="s">
        <v>160</v>
      </c>
      <c r="G949" s="236">
        <f>G950+G951</f>
        <v>7.8</v>
      </c>
      <c r="H949" s="236">
        <f t="shared" ref="H949:I949" si="431">H950</f>
        <v>15000</v>
      </c>
      <c r="I949" s="236">
        <f t="shared" si="431"/>
        <v>15000</v>
      </c>
    </row>
    <row r="950" spans="1:9" s="222" customFormat="1" ht="47.25" hidden="1" x14ac:dyDescent="0.25">
      <c r="A950" s="372" t="s">
        <v>199</v>
      </c>
      <c r="B950" s="366">
        <v>908</v>
      </c>
      <c r="C950" s="368" t="s">
        <v>249</v>
      </c>
      <c r="D950" s="368" t="s">
        <v>228</v>
      </c>
      <c r="E950" s="368" t="s">
        <v>1113</v>
      </c>
      <c r="F950" s="368" t="s">
        <v>175</v>
      </c>
      <c r="G950" s="236">
        <v>0</v>
      </c>
      <c r="H950" s="236">
        <v>15000</v>
      </c>
      <c r="I950" s="236">
        <v>15000</v>
      </c>
    </row>
    <row r="951" spans="1:9" s="222" customFormat="1" ht="15.75" x14ac:dyDescent="0.25">
      <c r="A951" s="372" t="s">
        <v>161</v>
      </c>
      <c r="B951" s="366">
        <v>908</v>
      </c>
      <c r="C951" s="368" t="s">
        <v>249</v>
      </c>
      <c r="D951" s="368" t="s">
        <v>228</v>
      </c>
      <c r="E951" s="368" t="s">
        <v>1113</v>
      </c>
      <c r="F951" s="368" t="s">
        <v>162</v>
      </c>
      <c r="G951" s="236">
        <v>7.8</v>
      </c>
      <c r="H951" s="236"/>
      <c r="I951" s="236"/>
    </row>
    <row r="952" spans="1:9" s="222" customFormat="1" ht="31.5" x14ac:dyDescent="0.25">
      <c r="A952" s="375" t="s">
        <v>1003</v>
      </c>
      <c r="B952" s="366">
        <v>908</v>
      </c>
      <c r="C952" s="368" t="s">
        <v>249</v>
      </c>
      <c r="D952" s="368" t="s">
        <v>228</v>
      </c>
      <c r="E952" s="368" t="s">
        <v>1096</v>
      </c>
      <c r="F952" s="368"/>
      <c r="G952" s="373">
        <f>G955+G953</f>
        <v>5700</v>
      </c>
      <c r="H952" s="26">
        <f t="shared" ref="H952:I952" si="432">H955+H953</f>
        <v>7858</v>
      </c>
      <c r="I952" s="26">
        <f t="shared" si="432"/>
        <v>7858</v>
      </c>
    </row>
    <row r="953" spans="1:9" s="222" customFormat="1" ht="31.5" x14ac:dyDescent="0.25">
      <c r="A953" s="372" t="s">
        <v>146</v>
      </c>
      <c r="B953" s="366">
        <v>908</v>
      </c>
      <c r="C953" s="368" t="s">
        <v>249</v>
      </c>
      <c r="D953" s="368" t="s">
        <v>228</v>
      </c>
      <c r="E953" s="368" t="s">
        <v>1096</v>
      </c>
      <c r="F953" s="368" t="s">
        <v>147</v>
      </c>
      <c r="G953" s="373">
        <f>G954</f>
        <v>5700</v>
      </c>
      <c r="H953" s="26">
        <f t="shared" ref="H953:I953" si="433">H954</f>
        <v>6970.2</v>
      </c>
      <c r="I953" s="26">
        <f t="shared" si="433"/>
        <v>6970.2</v>
      </c>
    </row>
    <row r="954" spans="1:9" s="222" customFormat="1" ht="31.5" x14ac:dyDescent="0.25">
      <c r="A954" s="372" t="s">
        <v>148</v>
      </c>
      <c r="B954" s="366">
        <v>908</v>
      </c>
      <c r="C954" s="368" t="s">
        <v>249</v>
      </c>
      <c r="D954" s="368" t="s">
        <v>228</v>
      </c>
      <c r="E954" s="368" t="s">
        <v>1096</v>
      </c>
      <c r="F954" s="368" t="s">
        <v>149</v>
      </c>
      <c r="G954" s="373">
        <f>5000+700</f>
        <v>5700</v>
      </c>
      <c r="H954" s="26">
        <v>6970.2</v>
      </c>
      <c r="I954" s="26">
        <v>6970.2</v>
      </c>
    </row>
    <row r="955" spans="1:9" s="222" customFormat="1" ht="15.75" hidden="1" x14ac:dyDescent="0.25">
      <c r="A955" s="372" t="s">
        <v>150</v>
      </c>
      <c r="B955" s="366">
        <v>908</v>
      </c>
      <c r="C955" s="368" t="s">
        <v>249</v>
      </c>
      <c r="D955" s="368" t="s">
        <v>228</v>
      </c>
      <c r="E955" s="368" t="s">
        <v>1096</v>
      </c>
      <c r="F955" s="368" t="s">
        <v>160</v>
      </c>
      <c r="G955" s="373">
        <f>G956</f>
        <v>0</v>
      </c>
      <c r="H955" s="26">
        <f t="shared" ref="H955:I955" si="434">H956</f>
        <v>887.8</v>
      </c>
      <c r="I955" s="26">
        <f t="shared" si="434"/>
        <v>887.8</v>
      </c>
    </row>
    <row r="956" spans="1:9" ht="15.75" hidden="1" x14ac:dyDescent="0.25">
      <c r="A956" s="372" t="s">
        <v>161</v>
      </c>
      <c r="B956" s="366">
        <v>908</v>
      </c>
      <c r="C956" s="368" t="s">
        <v>249</v>
      </c>
      <c r="D956" s="368" t="s">
        <v>228</v>
      </c>
      <c r="E956" s="368" t="s">
        <v>1096</v>
      </c>
      <c r="F956" s="368" t="s">
        <v>162</v>
      </c>
      <c r="G956" s="373">
        <v>0</v>
      </c>
      <c r="H956" s="26">
        <v>887.8</v>
      </c>
      <c r="I956" s="26">
        <v>887.8</v>
      </c>
    </row>
    <row r="957" spans="1:9" s="222" customFormat="1" ht="48.75" customHeight="1" x14ac:dyDescent="0.25">
      <c r="A957" s="370" t="s">
        <v>1169</v>
      </c>
      <c r="B957" s="367">
        <v>908</v>
      </c>
      <c r="C957" s="371" t="s">
        <v>249</v>
      </c>
      <c r="D957" s="371" t="s">
        <v>228</v>
      </c>
      <c r="E957" s="371" t="s">
        <v>1114</v>
      </c>
      <c r="F957" s="371"/>
      <c r="G957" s="369">
        <f>G958+G966+G963+G971</f>
        <v>22200</v>
      </c>
      <c r="H957" s="21">
        <f t="shared" ref="H957:I957" si="435">H958+H966+H963+H971</f>
        <v>73763.73000000001</v>
      </c>
      <c r="I957" s="21">
        <f t="shared" si="435"/>
        <v>73763.73000000001</v>
      </c>
    </row>
    <row r="958" spans="1:9" s="222" customFormat="1" ht="35.450000000000003" customHeight="1" x14ac:dyDescent="0.25">
      <c r="A958" s="372" t="s">
        <v>871</v>
      </c>
      <c r="B958" s="366">
        <v>908</v>
      </c>
      <c r="C958" s="368" t="s">
        <v>249</v>
      </c>
      <c r="D958" s="368" t="s">
        <v>228</v>
      </c>
      <c r="E958" s="368" t="s">
        <v>1115</v>
      </c>
      <c r="F958" s="368"/>
      <c r="G958" s="373">
        <f>G959+G961</f>
        <v>22200</v>
      </c>
      <c r="H958" s="26">
        <f t="shared" ref="H958:I958" si="436">H959+H961</f>
        <v>20500</v>
      </c>
      <c r="I958" s="26">
        <f t="shared" si="436"/>
        <v>20500</v>
      </c>
    </row>
    <row r="959" spans="1:9" s="222" customFormat="1" ht="34.5" customHeight="1" x14ac:dyDescent="0.25">
      <c r="A959" s="372" t="s">
        <v>146</v>
      </c>
      <c r="B959" s="366">
        <v>908</v>
      </c>
      <c r="C959" s="368" t="s">
        <v>249</v>
      </c>
      <c r="D959" s="368" t="s">
        <v>228</v>
      </c>
      <c r="E959" s="368" t="s">
        <v>1115</v>
      </c>
      <c r="F959" s="368" t="s">
        <v>147</v>
      </c>
      <c r="G959" s="373">
        <f>G960</f>
        <v>22200</v>
      </c>
      <c r="H959" s="26">
        <f t="shared" ref="H959:I959" si="437">H960</f>
        <v>2125.4</v>
      </c>
      <c r="I959" s="26">
        <f t="shared" si="437"/>
        <v>2125.4</v>
      </c>
    </row>
    <row r="960" spans="1:9" s="222" customFormat="1" ht="33" customHeight="1" x14ac:dyDescent="0.25">
      <c r="A960" s="372" t="s">
        <v>148</v>
      </c>
      <c r="B960" s="366">
        <v>908</v>
      </c>
      <c r="C960" s="368" t="s">
        <v>249</v>
      </c>
      <c r="D960" s="368" t="s">
        <v>228</v>
      </c>
      <c r="E960" s="368" t="s">
        <v>1115</v>
      </c>
      <c r="F960" s="368" t="s">
        <v>149</v>
      </c>
      <c r="G960" s="373">
        <v>22200</v>
      </c>
      <c r="H960" s="26">
        <v>2125.4</v>
      </c>
      <c r="I960" s="26">
        <v>2125.4</v>
      </c>
    </row>
    <row r="961" spans="1:9" s="222" customFormat="1" ht="20.25" hidden="1" customHeight="1" x14ac:dyDescent="0.25">
      <c r="A961" s="372" t="s">
        <v>150</v>
      </c>
      <c r="B961" s="366">
        <v>908</v>
      </c>
      <c r="C961" s="368" t="s">
        <v>249</v>
      </c>
      <c r="D961" s="368" t="s">
        <v>228</v>
      </c>
      <c r="E961" s="368" t="s">
        <v>1115</v>
      </c>
      <c r="F961" s="368" t="s">
        <v>881</v>
      </c>
      <c r="G961" s="373">
        <f>G962</f>
        <v>0</v>
      </c>
      <c r="H961" s="26">
        <f t="shared" ref="H961:I961" si="438">H962</f>
        <v>18374.599999999999</v>
      </c>
      <c r="I961" s="26">
        <f t="shared" si="438"/>
        <v>18374.599999999999</v>
      </c>
    </row>
    <row r="962" spans="1:9" s="222" customFormat="1" ht="20.25" hidden="1" customHeight="1" x14ac:dyDescent="0.25">
      <c r="A962" s="372" t="s">
        <v>583</v>
      </c>
      <c r="B962" s="366">
        <v>908</v>
      </c>
      <c r="C962" s="368" t="s">
        <v>249</v>
      </c>
      <c r="D962" s="368" t="s">
        <v>228</v>
      </c>
      <c r="E962" s="368" t="s">
        <v>1115</v>
      </c>
      <c r="F962" s="368" t="s">
        <v>1246</v>
      </c>
      <c r="G962" s="373">
        <v>0</v>
      </c>
      <c r="H962" s="26">
        <v>18374.599999999999</v>
      </c>
      <c r="I962" s="26">
        <v>18374.599999999999</v>
      </c>
    </row>
    <row r="963" spans="1:9" s="222" customFormat="1" ht="47.25" hidden="1" customHeight="1" x14ac:dyDescent="0.25">
      <c r="A963" s="372" t="s">
        <v>822</v>
      </c>
      <c r="B963" s="366">
        <v>908</v>
      </c>
      <c r="C963" s="368" t="s">
        <v>249</v>
      </c>
      <c r="D963" s="368" t="s">
        <v>228</v>
      </c>
      <c r="E963" s="368" t="s">
        <v>1116</v>
      </c>
      <c r="F963" s="368"/>
      <c r="G963" s="373">
        <f>G964</f>
        <v>0</v>
      </c>
      <c r="H963" s="26">
        <f t="shared" ref="H963:I964" si="439">H964</f>
        <v>0</v>
      </c>
      <c r="I963" s="26">
        <f t="shared" si="439"/>
        <v>0</v>
      </c>
    </row>
    <row r="964" spans="1:9" s="222" customFormat="1" ht="33.75" hidden="1" customHeight="1" x14ac:dyDescent="0.25">
      <c r="A964" s="372" t="s">
        <v>146</v>
      </c>
      <c r="B964" s="366">
        <v>908</v>
      </c>
      <c r="C964" s="368" t="s">
        <v>249</v>
      </c>
      <c r="D964" s="368" t="s">
        <v>228</v>
      </c>
      <c r="E964" s="368" t="s">
        <v>1116</v>
      </c>
      <c r="F964" s="368" t="s">
        <v>147</v>
      </c>
      <c r="G964" s="373">
        <f>G965</f>
        <v>0</v>
      </c>
      <c r="H964" s="26">
        <f t="shared" si="439"/>
        <v>0</v>
      </c>
      <c r="I964" s="26">
        <f t="shared" si="439"/>
        <v>0</v>
      </c>
    </row>
    <row r="965" spans="1:9" s="222" customFormat="1" ht="32.25" hidden="1" customHeight="1" x14ac:dyDescent="0.25">
      <c r="A965" s="372" t="s">
        <v>148</v>
      </c>
      <c r="B965" s="366">
        <v>908</v>
      </c>
      <c r="C965" s="368" t="s">
        <v>249</v>
      </c>
      <c r="D965" s="368" t="s">
        <v>228</v>
      </c>
      <c r="E965" s="368" t="s">
        <v>1116</v>
      </c>
      <c r="F965" s="368" t="s">
        <v>149</v>
      </c>
      <c r="G965" s="373">
        <v>0</v>
      </c>
      <c r="H965" s="26">
        <v>0</v>
      </c>
      <c r="I965" s="26">
        <v>0</v>
      </c>
    </row>
    <row r="966" spans="1:9" s="222" customFormat="1" ht="47.25" hidden="1" customHeight="1" x14ac:dyDescent="0.25">
      <c r="A966" s="98" t="s">
        <v>877</v>
      </c>
      <c r="B966" s="366">
        <v>908</v>
      </c>
      <c r="C966" s="368" t="s">
        <v>249</v>
      </c>
      <c r="D966" s="368" t="s">
        <v>228</v>
      </c>
      <c r="E966" s="368" t="s">
        <v>1117</v>
      </c>
      <c r="F966" s="368"/>
      <c r="G966" s="373">
        <f>G967+G969</f>
        <v>0</v>
      </c>
      <c r="H966" s="26">
        <f t="shared" ref="H966:I966" si="440">H967+H969</f>
        <v>49220.1</v>
      </c>
      <c r="I966" s="26">
        <f t="shared" si="440"/>
        <v>49220.1</v>
      </c>
    </row>
    <row r="967" spans="1:9" s="222" customFormat="1" ht="34.5" hidden="1" customHeight="1" x14ac:dyDescent="0.25">
      <c r="A967" s="372" t="s">
        <v>882</v>
      </c>
      <c r="B967" s="366">
        <v>908</v>
      </c>
      <c r="C967" s="368" t="s">
        <v>249</v>
      </c>
      <c r="D967" s="368" t="s">
        <v>228</v>
      </c>
      <c r="E967" s="368" t="s">
        <v>1117</v>
      </c>
      <c r="F967" s="368" t="s">
        <v>881</v>
      </c>
      <c r="G967" s="373">
        <f>G968</f>
        <v>0</v>
      </c>
      <c r="H967" s="26">
        <f t="shared" ref="H967:I967" si="441">H968</f>
        <v>49220.1</v>
      </c>
      <c r="I967" s="26">
        <f t="shared" si="441"/>
        <v>49220.1</v>
      </c>
    </row>
    <row r="968" spans="1:9" s="222" customFormat="1" ht="47.25" hidden="1" customHeight="1" x14ac:dyDescent="0.25">
      <c r="A968" s="372" t="s">
        <v>1224</v>
      </c>
      <c r="B968" s="366">
        <v>908</v>
      </c>
      <c r="C968" s="368" t="s">
        <v>249</v>
      </c>
      <c r="D968" s="368" t="s">
        <v>228</v>
      </c>
      <c r="E968" s="368" t="s">
        <v>1117</v>
      </c>
      <c r="F968" s="368" t="s">
        <v>1246</v>
      </c>
      <c r="G968" s="373">
        <v>0</v>
      </c>
      <c r="H968" s="26">
        <v>49220.1</v>
      </c>
      <c r="I968" s="26">
        <v>49220.1</v>
      </c>
    </row>
    <row r="969" spans="1:9" s="222" customFormat="1" ht="17.45" hidden="1" customHeight="1" x14ac:dyDescent="0.25">
      <c r="A969" s="372" t="s">
        <v>150</v>
      </c>
      <c r="B969" s="366">
        <v>908</v>
      </c>
      <c r="C969" s="368" t="s">
        <v>249</v>
      </c>
      <c r="D969" s="368" t="s">
        <v>228</v>
      </c>
      <c r="E969" s="368" t="s">
        <v>1117</v>
      </c>
      <c r="F969" s="368" t="s">
        <v>160</v>
      </c>
      <c r="G969" s="373">
        <f>G970</f>
        <v>0</v>
      </c>
      <c r="H969" s="26">
        <f t="shared" ref="H969:I969" si="442">H970</f>
        <v>0</v>
      </c>
      <c r="I969" s="26">
        <f t="shared" si="442"/>
        <v>0</v>
      </c>
    </row>
    <row r="970" spans="1:9" s="222" customFormat="1" ht="18.75" hidden="1" customHeight="1" x14ac:dyDescent="0.25">
      <c r="A970" s="372" t="s">
        <v>725</v>
      </c>
      <c r="B970" s="366">
        <v>908</v>
      </c>
      <c r="C970" s="368" t="s">
        <v>249</v>
      </c>
      <c r="D970" s="368" t="s">
        <v>228</v>
      </c>
      <c r="E970" s="368" t="s">
        <v>1117</v>
      </c>
      <c r="F970" s="368" t="s">
        <v>153</v>
      </c>
      <c r="G970" s="373">
        <v>0</v>
      </c>
      <c r="H970" s="26">
        <v>0</v>
      </c>
      <c r="I970" s="26">
        <v>0</v>
      </c>
    </row>
    <row r="971" spans="1:9" s="222" customFormat="1" ht="38.25" hidden="1" customHeight="1" x14ac:dyDescent="0.25">
      <c r="A971" s="372" t="s">
        <v>1247</v>
      </c>
      <c r="B971" s="366">
        <v>908</v>
      </c>
      <c r="C971" s="368" t="s">
        <v>249</v>
      </c>
      <c r="D971" s="368" t="s">
        <v>228</v>
      </c>
      <c r="E971" s="368" t="s">
        <v>1248</v>
      </c>
      <c r="F971" s="368"/>
      <c r="G971" s="373">
        <f>G972</f>
        <v>0</v>
      </c>
      <c r="H971" s="26">
        <f t="shared" ref="H971:I972" si="443">H972</f>
        <v>4043.63</v>
      </c>
      <c r="I971" s="26">
        <f t="shared" si="443"/>
        <v>4043.63</v>
      </c>
    </row>
    <row r="972" spans="1:9" s="222" customFormat="1" ht="32.25" hidden="1" customHeight="1" x14ac:dyDescent="0.25">
      <c r="A972" s="372" t="s">
        <v>146</v>
      </c>
      <c r="B972" s="366">
        <v>908</v>
      </c>
      <c r="C972" s="368" t="s">
        <v>249</v>
      </c>
      <c r="D972" s="368" t="s">
        <v>228</v>
      </c>
      <c r="E972" s="368" t="s">
        <v>1248</v>
      </c>
      <c r="F972" s="368" t="s">
        <v>147</v>
      </c>
      <c r="G972" s="373">
        <f>G973</f>
        <v>0</v>
      </c>
      <c r="H972" s="26">
        <f t="shared" si="443"/>
        <v>4043.63</v>
      </c>
      <c r="I972" s="26">
        <f t="shared" si="443"/>
        <v>4043.63</v>
      </c>
    </row>
    <row r="973" spans="1:9" s="222" customFormat="1" ht="35.450000000000003" hidden="1" customHeight="1" x14ac:dyDescent="0.25">
      <c r="A973" s="372" t="s">
        <v>148</v>
      </c>
      <c r="B973" s="366">
        <v>908</v>
      </c>
      <c r="C973" s="368" t="s">
        <v>249</v>
      </c>
      <c r="D973" s="368" t="s">
        <v>228</v>
      </c>
      <c r="E973" s="368" t="s">
        <v>1248</v>
      </c>
      <c r="F973" s="368" t="s">
        <v>149</v>
      </c>
      <c r="G973" s="373">
        <v>0</v>
      </c>
      <c r="H973" s="26">
        <v>4043.63</v>
      </c>
      <c r="I973" s="26">
        <v>4043.63</v>
      </c>
    </row>
    <row r="974" spans="1:9" s="222" customFormat="1" ht="47.25" customHeight="1" x14ac:dyDescent="0.25">
      <c r="A974" s="370" t="s">
        <v>1360</v>
      </c>
      <c r="B974" s="367">
        <v>908</v>
      </c>
      <c r="C974" s="371" t="s">
        <v>249</v>
      </c>
      <c r="D974" s="371" t="s">
        <v>228</v>
      </c>
      <c r="E974" s="371" t="s">
        <v>533</v>
      </c>
      <c r="F974" s="371"/>
      <c r="G974" s="369">
        <f>G975+G979+G983+G987+G999+G995</f>
        <v>129</v>
      </c>
      <c r="H974" s="21">
        <f t="shared" ref="H974:I974" si="444">H975+H979+H983+H987+H999+H995</f>
        <v>8940</v>
      </c>
      <c r="I974" s="21">
        <f t="shared" si="444"/>
        <v>8940</v>
      </c>
    </row>
    <row r="975" spans="1:9" s="222" customFormat="1" ht="30.75" hidden="1" customHeight="1" x14ac:dyDescent="0.25">
      <c r="A975" s="370" t="s">
        <v>1097</v>
      </c>
      <c r="B975" s="367">
        <v>908</v>
      </c>
      <c r="C975" s="371" t="s">
        <v>249</v>
      </c>
      <c r="D975" s="371" t="s">
        <v>228</v>
      </c>
      <c r="E975" s="371" t="s">
        <v>1099</v>
      </c>
      <c r="F975" s="371"/>
      <c r="G975" s="369">
        <f>G976</f>
        <v>0</v>
      </c>
      <c r="H975" s="21">
        <f t="shared" ref="H975:I977" si="445">H976</f>
        <v>4377</v>
      </c>
      <c r="I975" s="21">
        <f t="shared" si="445"/>
        <v>4377</v>
      </c>
    </row>
    <row r="976" spans="1:9" ht="15.75" hidden="1" x14ac:dyDescent="0.25">
      <c r="A976" s="45" t="s">
        <v>1098</v>
      </c>
      <c r="B976" s="366">
        <v>908</v>
      </c>
      <c r="C976" s="376" t="s">
        <v>249</v>
      </c>
      <c r="D976" s="376" t="s">
        <v>228</v>
      </c>
      <c r="E976" s="368" t="s">
        <v>1100</v>
      </c>
      <c r="F976" s="376"/>
      <c r="G976" s="373">
        <f>G977</f>
        <v>0</v>
      </c>
      <c r="H976" s="26">
        <f t="shared" si="445"/>
        <v>4377</v>
      </c>
      <c r="I976" s="26">
        <f t="shared" si="445"/>
        <v>4377</v>
      </c>
    </row>
    <row r="977" spans="1:9" ht="31.5" hidden="1" x14ac:dyDescent="0.25">
      <c r="A977" s="31" t="s">
        <v>146</v>
      </c>
      <c r="B977" s="366">
        <v>908</v>
      </c>
      <c r="C977" s="376" t="s">
        <v>249</v>
      </c>
      <c r="D977" s="376" t="s">
        <v>228</v>
      </c>
      <c r="E977" s="368" t="s">
        <v>1100</v>
      </c>
      <c r="F977" s="376" t="s">
        <v>147</v>
      </c>
      <c r="G977" s="373">
        <f>G978</f>
        <v>0</v>
      </c>
      <c r="H977" s="26">
        <f t="shared" si="445"/>
        <v>4377</v>
      </c>
      <c r="I977" s="26">
        <f t="shared" si="445"/>
        <v>4377</v>
      </c>
    </row>
    <row r="978" spans="1:9" ht="31.5" hidden="1" x14ac:dyDescent="0.25">
      <c r="A978" s="31" t="s">
        <v>148</v>
      </c>
      <c r="B978" s="366">
        <v>908</v>
      </c>
      <c r="C978" s="376" t="s">
        <v>249</v>
      </c>
      <c r="D978" s="376" t="s">
        <v>228</v>
      </c>
      <c r="E978" s="368" t="s">
        <v>1100</v>
      </c>
      <c r="F978" s="376" t="s">
        <v>149</v>
      </c>
      <c r="G978" s="373">
        <v>0</v>
      </c>
      <c r="H978" s="26">
        <f t="shared" ref="H978:I978" si="446">2903+250+60+1164</f>
        <v>4377</v>
      </c>
      <c r="I978" s="26">
        <f t="shared" si="446"/>
        <v>4377</v>
      </c>
    </row>
    <row r="979" spans="1:9" s="222" customFormat="1" ht="15.75" x14ac:dyDescent="0.25">
      <c r="A979" s="34" t="s">
        <v>1101</v>
      </c>
      <c r="B979" s="367">
        <v>908</v>
      </c>
      <c r="C979" s="364" t="s">
        <v>249</v>
      </c>
      <c r="D979" s="364" t="s">
        <v>228</v>
      </c>
      <c r="E979" s="371" t="s">
        <v>1102</v>
      </c>
      <c r="F979" s="364"/>
      <c r="G979" s="369">
        <f>G980</f>
        <v>85</v>
      </c>
      <c r="H979" s="21">
        <f t="shared" ref="H979:I981" si="447">H980</f>
        <v>400</v>
      </c>
      <c r="I979" s="21">
        <f t="shared" si="447"/>
        <v>400</v>
      </c>
    </row>
    <row r="980" spans="1:9" ht="15.75" x14ac:dyDescent="0.25">
      <c r="A980" s="45" t="s">
        <v>538</v>
      </c>
      <c r="B980" s="366">
        <v>908</v>
      </c>
      <c r="C980" s="376" t="s">
        <v>249</v>
      </c>
      <c r="D980" s="376" t="s">
        <v>228</v>
      </c>
      <c r="E980" s="368" t="s">
        <v>1105</v>
      </c>
      <c r="F980" s="376"/>
      <c r="G980" s="373">
        <f>G981</f>
        <v>85</v>
      </c>
      <c r="H980" s="26">
        <f t="shared" si="447"/>
        <v>400</v>
      </c>
      <c r="I980" s="26">
        <f t="shared" si="447"/>
        <v>400</v>
      </c>
    </row>
    <row r="981" spans="1:9" ht="31.5" x14ac:dyDescent="0.25">
      <c r="A981" s="31" t="s">
        <v>146</v>
      </c>
      <c r="B981" s="366">
        <v>908</v>
      </c>
      <c r="C981" s="376" t="s">
        <v>249</v>
      </c>
      <c r="D981" s="376" t="s">
        <v>228</v>
      </c>
      <c r="E981" s="368" t="s">
        <v>1105</v>
      </c>
      <c r="F981" s="376" t="s">
        <v>147</v>
      </c>
      <c r="G981" s="373">
        <f>G982</f>
        <v>85</v>
      </c>
      <c r="H981" s="26">
        <f t="shared" si="447"/>
        <v>400</v>
      </c>
      <c r="I981" s="26">
        <f t="shared" si="447"/>
        <v>400</v>
      </c>
    </row>
    <row r="982" spans="1:9" ht="31.5" x14ac:dyDescent="0.25">
      <c r="A982" s="31" t="s">
        <v>148</v>
      </c>
      <c r="B982" s="366">
        <v>908</v>
      </c>
      <c r="C982" s="376" t="s">
        <v>249</v>
      </c>
      <c r="D982" s="376" t="s">
        <v>228</v>
      </c>
      <c r="E982" s="368" t="s">
        <v>1105</v>
      </c>
      <c r="F982" s="376" t="s">
        <v>149</v>
      </c>
      <c r="G982" s="6">
        <v>85</v>
      </c>
      <c r="H982" s="6">
        <f>400</f>
        <v>400</v>
      </c>
      <c r="I982" s="6">
        <f>400</f>
        <v>400</v>
      </c>
    </row>
    <row r="983" spans="1:9" s="222" customFormat="1" ht="16.5" hidden="1" customHeight="1" x14ac:dyDescent="0.25">
      <c r="A983" s="58" t="s">
        <v>1103</v>
      </c>
      <c r="B983" s="367">
        <v>908</v>
      </c>
      <c r="C983" s="364" t="s">
        <v>249</v>
      </c>
      <c r="D983" s="364" t="s">
        <v>228</v>
      </c>
      <c r="E983" s="371" t="s">
        <v>1104</v>
      </c>
      <c r="F983" s="364"/>
      <c r="G983" s="4">
        <f>G984</f>
        <v>0</v>
      </c>
      <c r="H983" s="4">
        <f t="shared" ref="H983:I985" si="448">H984</f>
        <v>1733</v>
      </c>
      <c r="I983" s="4">
        <f t="shared" si="448"/>
        <v>1733</v>
      </c>
    </row>
    <row r="984" spans="1:9" ht="15.75" hidden="1" x14ac:dyDescent="0.25">
      <c r="A984" s="45" t="s">
        <v>540</v>
      </c>
      <c r="B984" s="366">
        <v>908</v>
      </c>
      <c r="C984" s="376" t="s">
        <v>249</v>
      </c>
      <c r="D984" s="376" t="s">
        <v>228</v>
      </c>
      <c r="E984" s="368" t="s">
        <v>1106</v>
      </c>
      <c r="F984" s="376"/>
      <c r="G984" s="373">
        <f>G985</f>
        <v>0</v>
      </c>
      <c r="H984" s="26">
        <f t="shared" si="448"/>
        <v>1733</v>
      </c>
      <c r="I984" s="26">
        <f t="shared" si="448"/>
        <v>1733</v>
      </c>
    </row>
    <row r="985" spans="1:9" ht="31.5" hidden="1" x14ac:dyDescent="0.25">
      <c r="A985" s="31" t="s">
        <v>146</v>
      </c>
      <c r="B985" s="366">
        <v>908</v>
      </c>
      <c r="C985" s="376" t="s">
        <v>249</v>
      </c>
      <c r="D985" s="376" t="s">
        <v>228</v>
      </c>
      <c r="E985" s="368" t="s">
        <v>1106</v>
      </c>
      <c r="F985" s="376" t="s">
        <v>147</v>
      </c>
      <c r="G985" s="373">
        <f>G986</f>
        <v>0</v>
      </c>
      <c r="H985" s="26">
        <f t="shared" si="448"/>
        <v>1733</v>
      </c>
      <c r="I985" s="26">
        <f t="shared" si="448"/>
        <v>1733</v>
      </c>
    </row>
    <row r="986" spans="1:9" ht="31.5" hidden="1" x14ac:dyDescent="0.25">
      <c r="A986" s="31" t="s">
        <v>148</v>
      </c>
      <c r="B986" s="366">
        <v>908</v>
      </c>
      <c r="C986" s="376" t="s">
        <v>249</v>
      </c>
      <c r="D986" s="376" t="s">
        <v>228</v>
      </c>
      <c r="E986" s="368" t="s">
        <v>1106</v>
      </c>
      <c r="F986" s="376" t="s">
        <v>149</v>
      </c>
      <c r="G986" s="6">
        <v>0</v>
      </c>
      <c r="H986" s="6">
        <f t="shared" ref="H986:I986" si="449">200+20-60+1573</f>
        <v>1733</v>
      </c>
      <c r="I986" s="6">
        <f t="shared" si="449"/>
        <v>1733</v>
      </c>
    </row>
    <row r="987" spans="1:9" s="222" customFormat="1" ht="31.5" x14ac:dyDescent="0.25">
      <c r="A987" s="58" t="s">
        <v>1107</v>
      </c>
      <c r="B987" s="367">
        <v>908</v>
      </c>
      <c r="C987" s="364" t="s">
        <v>249</v>
      </c>
      <c r="D987" s="364" t="s">
        <v>228</v>
      </c>
      <c r="E987" s="371" t="s">
        <v>1108</v>
      </c>
      <c r="F987" s="364"/>
      <c r="G987" s="4">
        <f>G988</f>
        <v>44</v>
      </c>
      <c r="H987" s="4">
        <f t="shared" ref="H987:I989" si="450">H988</f>
        <v>2330</v>
      </c>
      <c r="I987" s="4">
        <f t="shared" si="450"/>
        <v>2330</v>
      </c>
    </row>
    <row r="988" spans="1:9" ht="15.75" x14ac:dyDescent="0.25">
      <c r="A988" s="45" t="s">
        <v>542</v>
      </c>
      <c r="B988" s="366">
        <v>908</v>
      </c>
      <c r="C988" s="376" t="s">
        <v>249</v>
      </c>
      <c r="D988" s="376" t="s">
        <v>228</v>
      </c>
      <c r="E988" s="368" t="s">
        <v>1109</v>
      </c>
      <c r="F988" s="376"/>
      <c r="G988" s="373">
        <f>G989</f>
        <v>44</v>
      </c>
      <c r="H988" s="26">
        <f t="shared" si="450"/>
        <v>2330</v>
      </c>
      <c r="I988" s="26">
        <f t="shared" si="450"/>
        <v>2330</v>
      </c>
    </row>
    <row r="989" spans="1:9" ht="31.5" x14ac:dyDescent="0.25">
      <c r="A989" s="31" t="s">
        <v>146</v>
      </c>
      <c r="B989" s="366">
        <v>908</v>
      </c>
      <c r="C989" s="376" t="s">
        <v>249</v>
      </c>
      <c r="D989" s="376" t="s">
        <v>228</v>
      </c>
      <c r="E989" s="368" t="s">
        <v>1109</v>
      </c>
      <c r="F989" s="376" t="s">
        <v>147</v>
      </c>
      <c r="G989" s="373">
        <f>G990</f>
        <v>44</v>
      </c>
      <c r="H989" s="26">
        <f t="shared" si="450"/>
        <v>2330</v>
      </c>
      <c r="I989" s="26">
        <f t="shared" si="450"/>
        <v>2330</v>
      </c>
    </row>
    <row r="990" spans="1:9" ht="31.5" x14ac:dyDescent="0.25">
      <c r="A990" s="31" t="s">
        <v>148</v>
      </c>
      <c r="B990" s="366">
        <v>908</v>
      </c>
      <c r="C990" s="376" t="s">
        <v>249</v>
      </c>
      <c r="D990" s="376" t="s">
        <v>228</v>
      </c>
      <c r="E990" s="368" t="s">
        <v>1109</v>
      </c>
      <c r="F990" s="376" t="s">
        <v>149</v>
      </c>
      <c r="G990" s="6">
        <v>44</v>
      </c>
      <c r="H990" s="6">
        <f t="shared" ref="H990:I990" si="451">278.2+171.8+1880</f>
        <v>2330</v>
      </c>
      <c r="I990" s="6">
        <f t="shared" si="451"/>
        <v>2330</v>
      </c>
    </row>
    <row r="991" spans="1:9" s="222" customFormat="1" ht="31.7" hidden="1" customHeight="1" x14ac:dyDescent="0.25">
      <c r="A991" s="34" t="s">
        <v>1170</v>
      </c>
      <c r="B991" s="367">
        <v>908</v>
      </c>
      <c r="C991" s="364" t="s">
        <v>249</v>
      </c>
      <c r="D991" s="364" t="s">
        <v>228</v>
      </c>
      <c r="E991" s="371" t="s">
        <v>1171</v>
      </c>
      <c r="F991" s="364"/>
      <c r="G991" s="4">
        <f>G992</f>
        <v>0</v>
      </c>
      <c r="H991" s="4">
        <f t="shared" ref="H991:I993" si="452">H992</f>
        <v>0</v>
      </c>
      <c r="I991" s="4">
        <f t="shared" si="452"/>
        <v>0</v>
      </c>
    </row>
    <row r="992" spans="1:9" ht="15.75" hidden="1" x14ac:dyDescent="0.25">
      <c r="A992" s="45" t="s">
        <v>544</v>
      </c>
      <c r="B992" s="366">
        <v>908</v>
      </c>
      <c r="C992" s="376" t="s">
        <v>249</v>
      </c>
      <c r="D992" s="376" t="s">
        <v>228</v>
      </c>
      <c r="E992" s="368" t="s">
        <v>1174</v>
      </c>
      <c r="F992" s="376"/>
      <c r="G992" s="373">
        <f>G993</f>
        <v>0</v>
      </c>
      <c r="H992" s="26">
        <f t="shared" si="452"/>
        <v>0</v>
      </c>
      <c r="I992" s="26">
        <f t="shared" si="452"/>
        <v>0</v>
      </c>
    </row>
    <row r="993" spans="1:9" ht="31.5" hidden="1" x14ac:dyDescent="0.25">
      <c r="A993" s="31" t="s">
        <v>146</v>
      </c>
      <c r="B993" s="366">
        <v>908</v>
      </c>
      <c r="C993" s="376" t="s">
        <v>249</v>
      </c>
      <c r="D993" s="376" t="s">
        <v>228</v>
      </c>
      <c r="E993" s="368" t="s">
        <v>1174</v>
      </c>
      <c r="F993" s="376" t="s">
        <v>147</v>
      </c>
      <c r="G993" s="373">
        <f>G994</f>
        <v>0</v>
      </c>
      <c r="H993" s="26">
        <f t="shared" si="452"/>
        <v>0</v>
      </c>
      <c r="I993" s="26">
        <f t="shared" si="452"/>
        <v>0</v>
      </c>
    </row>
    <row r="994" spans="1:9" ht="31.5" hidden="1" x14ac:dyDescent="0.25">
      <c r="A994" s="31" t="s">
        <v>148</v>
      </c>
      <c r="B994" s="366">
        <v>908</v>
      </c>
      <c r="C994" s="376" t="s">
        <v>249</v>
      </c>
      <c r="D994" s="376" t="s">
        <v>228</v>
      </c>
      <c r="E994" s="368" t="s">
        <v>1174</v>
      </c>
      <c r="F994" s="376" t="s">
        <v>149</v>
      </c>
      <c r="G994" s="373">
        <v>0</v>
      </c>
      <c r="H994" s="26">
        <v>0</v>
      </c>
      <c r="I994" s="26">
        <v>0</v>
      </c>
    </row>
    <row r="995" spans="1:9" s="222" customFormat="1" ht="31.5" hidden="1" x14ac:dyDescent="0.25">
      <c r="A995" s="247" t="s">
        <v>1172</v>
      </c>
      <c r="B995" s="367">
        <v>908</v>
      </c>
      <c r="C995" s="364" t="s">
        <v>249</v>
      </c>
      <c r="D995" s="364" t="s">
        <v>228</v>
      </c>
      <c r="E995" s="371" t="s">
        <v>1173</v>
      </c>
      <c r="F995" s="364"/>
      <c r="G995" s="369">
        <f>G996</f>
        <v>0</v>
      </c>
      <c r="H995" s="21">
        <f t="shared" ref="H995:I997" si="453">H996</f>
        <v>0</v>
      </c>
      <c r="I995" s="21">
        <f t="shared" si="453"/>
        <v>0</v>
      </c>
    </row>
    <row r="996" spans="1:9" ht="21.75" hidden="1" customHeight="1" x14ac:dyDescent="0.25">
      <c r="A996" s="178" t="s">
        <v>546</v>
      </c>
      <c r="B996" s="366">
        <v>908</v>
      </c>
      <c r="C996" s="376" t="s">
        <v>249</v>
      </c>
      <c r="D996" s="376" t="s">
        <v>228</v>
      </c>
      <c r="E996" s="368" t="s">
        <v>1175</v>
      </c>
      <c r="F996" s="376"/>
      <c r="G996" s="373">
        <f>G997</f>
        <v>0</v>
      </c>
      <c r="H996" s="26">
        <f t="shared" si="453"/>
        <v>0</v>
      </c>
      <c r="I996" s="26">
        <f t="shared" si="453"/>
        <v>0</v>
      </c>
    </row>
    <row r="997" spans="1:9" ht="31.7" hidden="1" customHeight="1" x14ac:dyDescent="0.25">
      <c r="A997" s="31" t="s">
        <v>146</v>
      </c>
      <c r="B997" s="366">
        <v>908</v>
      </c>
      <c r="C997" s="376" t="s">
        <v>249</v>
      </c>
      <c r="D997" s="376" t="s">
        <v>228</v>
      </c>
      <c r="E997" s="368" t="s">
        <v>1175</v>
      </c>
      <c r="F997" s="376" t="s">
        <v>147</v>
      </c>
      <c r="G997" s="373">
        <f>G998</f>
        <v>0</v>
      </c>
      <c r="H997" s="26">
        <f t="shared" si="453"/>
        <v>0</v>
      </c>
      <c r="I997" s="26">
        <f t="shared" si="453"/>
        <v>0</v>
      </c>
    </row>
    <row r="998" spans="1:9" ht="36" hidden="1" customHeight="1" x14ac:dyDescent="0.25">
      <c r="A998" s="31" t="s">
        <v>148</v>
      </c>
      <c r="B998" s="366">
        <v>908</v>
      </c>
      <c r="C998" s="376" t="s">
        <v>249</v>
      </c>
      <c r="D998" s="376" t="s">
        <v>228</v>
      </c>
      <c r="E998" s="368" t="s">
        <v>1175</v>
      </c>
      <c r="F998" s="376" t="s">
        <v>149</v>
      </c>
      <c r="G998" s="373">
        <v>0</v>
      </c>
      <c r="H998" s="26">
        <v>0</v>
      </c>
      <c r="I998" s="26">
        <v>0</v>
      </c>
    </row>
    <row r="999" spans="1:9" s="222" customFormat="1" ht="31.7" hidden="1" customHeight="1" x14ac:dyDescent="0.25">
      <c r="A999" s="247" t="s">
        <v>1111</v>
      </c>
      <c r="B999" s="367">
        <v>908</v>
      </c>
      <c r="C999" s="364" t="s">
        <v>249</v>
      </c>
      <c r="D999" s="364" t="s">
        <v>228</v>
      </c>
      <c r="E999" s="371" t="s">
        <v>1112</v>
      </c>
      <c r="F999" s="364"/>
      <c r="G999" s="369">
        <f>G1000</f>
        <v>0</v>
      </c>
      <c r="H999" s="21">
        <f t="shared" ref="H999:I1001" si="454">H1000</f>
        <v>100</v>
      </c>
      <c r="I999" s="21">
        <f t="shared" si="454"/>
        <v>100</v>
      </c>
    </row>
    <row r="1000" spans="1:9" ht="15.75" hidden="1" x14ac:dyDescent="0.25">
      <c r="A1000" s="178" t="s">
        <v>548</v>
      </c>
      <c r="B1000" s="366">
        <v>908</v>
      </c>
      <c r="C1000" s="376" t="s">
        <v>249</v>
      </c>
      <c r="D1000" s="376" t="s">
        <v>228</v>
      </c>
      <c r="E1000" s="368" t="s">
        <v>1110</v>
      </c>
      <c r="F1000" s="376"/>
      <c r="G1000" s="373">
        <f>G1001</f>
        <v>0</v>
      </c>
      <c r="H1000" s="26">
        <f t="shared" si="454"/>
        <v>100</v>
      </c>
      <c r="I1000" s="26">
        <f t="shared" si="454"/>
        <v>100</v>
      </c>
    </row>
    <row r="1001" spans="1:9" ht="31.5" hidden="1" x14ac:dyDescent="0.25">
      <c r="A1001" s="372" t="s">
        <v>146</v>
      </c>
      <c r="B1001" s="366">
        <v>908</v>
      </c>
      <c r="C1001" s="376" t="s">
        <v>249</v>
      </c>
      <c r="D1001" s="376" t="s">
        <v>228</v>
      </c>
      <c r="E1001" s="368" t="s">
        <v>1110</v>
      </c>
      <c r="F1001" s="376" t="s">
        <v>147</v>
      </c>
      <c r="G1001" s="373">
        <f>G1002</f>
        <v>0</v>
      </c>
      <c r="H1001" s="26">
        <f t="shared" si="454"/>
        <v>100</v>
      </c>
      <c r="I1001" s="26">
        <f t="shared" si="454"/>
        <v>100</v>
      </c>
    </row>
    <row r="1002" spans="1:9" ht="31.5" hidden="1" x14ac:dyDescent="0.25">
      <c r="A1002" s="372" t="s">
        <v>148</v>
      </c>
      <c r="B1002" s="366">
        <v>908</v>
      </c>
      <c r="C1002" s="376" t="s">
        <v>249</v>
      </c>
      <c r="D1002" s="376" t="s">
        <v>228</v>
      </c>
      <c r="E1002" s="368" t="s">
        <v>1110</v>
      </c>
      <c r="F1002" s="376" t="s">
        <v>149</v>
      </c>
      <c r="G1002" s="373">
        <v>0</v>
      </c>
      <c r="H1002" s="26">
        <v>100</v>
      </c>
      <c r="I1002" s="26">
        <v>100</v>
      </c>
    </row>
    <row r="1003" spans="1:9" s="222" customFormat="1" ht="31.5" hidden="1" x14ac:dyDescent="0.25">
      <c r="A1003" s="370" t="s">
        <v>1367</v>
      </c>
      <c r="B1003" s="367">
        <v>908</v>
      </c>
      <c r="C1003" s="364" t="s">
        <v>249</v>
      </c>
      <c r="D1003" s="364" t="s">
        <v>228</v>
      </c>
      <c r="E1003" s="371" t="s">
        <v>1366</v>
      </c>
      <c r="F1003" s="364"/>
      <c r="G1003" s="369">
        <f>G1004</f>
        <v>0</v>
      </c>
      <c r="H1003" s="26"/>
      <c r="I1003" s="26"/>
    </row>
    <row r="1004" spans="1:9" s="222" customFormat="1" ht="31.5" hidden="1" x14ac:dyDescent="0.25">
      <c r="A1004" s="370" t="s">
        <v>1368</v>
      </c>
      <c r="B1004" s="367">
        <v>908</v>
      </c>
      <c r="C1004" s="364" t="s">
        <v>249</v>
      </c>
      <c r="D1004" s="364" t="s">
        <v>228</v>
      </c>
      <c r="E1004" s="371" t="s">
        <v>1369</v>
      </c>
      <c r="F1004" s="364"/>
      <c r="G1004" s="369">
        <f>G1005</f>
        <v>0</v>
      </c>
      <c r="H1004" s="26"/>
      <c r="I1004" s="26"/>
    </row>
    <row r="1005" spans="1:9" s="222" customFormat="1" ht="15.75" hidden="1" x14ac:dyDescent="0.25">
      <c r="A1005" s="372" t="s">
        <v>552</v>
      </c>
      <c r="B1005" s="366">
        <v>908</v>
      </c>
      <c r="C1005" s="376" t="s">
        <v>249</v>
      </c>
      <c r="D1005" s="376" t="s">
        <v>228</v>
      </c>
      <c r="E1005" s="368" t="s">
        <v>1370</v>
      </c>
      <c r="F1005" s="376"/>
      <c r="G1005" s="373">
        <f>G1006</f>
        <v>0</v>
      </c>
      <c r="H1005" s="26"/>
      <c r="I1005" s="26"/>
    </row>
    <row r="1006" spans="1:9" s="222" customFormat="1" ht="31.5" hidden="1" x14ac:dyDescent="0.25">
      <c r="A1006" s="372" t="s">
        <v>146</v>
      </c>
      <c r="B1006" s="366">
        <v>908</v>
      </c>
      <c r="C1006" s="376" t="s">
        <v>249</v>
      </c>
      <c r="D1006" s="376" t="s">
        <v>228</v>
      </c>
      <c r="E1006" s="368" t="s">
        <v>1370</v>
      </c>
      <c r="F1006" s="376" t="s">
        <v>147</v>
      </c>
      <c r="G1006" s="373">
        <f>G1007</f>
        <v>0</v>
      </c>
      <c r="H1006" s="26"/>
      <c r="I1006" s="26"/>
    </row>
    <row r="1007" spans="1:9" s="222" customFormat="1" ht="31.5" hidden="1" x14ac:dyDescent="0.25">
      <c r="A1007" s="372" t="s">
        <v>148</v>
      </c>
      <c r="B1007" s="366">
        <v>908</v>
      </c>
      <c r="C1007" s="376" t="s">
        <v>249</v>
      </c>
      <c r="D1007" s="376" t="s">
        <v>228</v>
      </c>
      <c r="E1007" s="368" t="s">
        <v>1370</v>
      </c>
      <c r="F1007" s="376" t="s">
        <v>149</v>
      </c>
      <c r="G1007" s="373">
        <f>120-120</f>
        <v>0</v>
      </c>
      <c r="H1007" s="26"/>
      <c r="I1007" s="26"/>
    </row>
    <row r="1008" spans="1:9" ht="15.75" x14ac:dyDescent="0.25">
      <c r="A1008" s="370" t="s">
        <v>556</v>
      </c>
      <c r="B1008" s="367">
        <v>908</v>
      </c>
      <c r="C1008" s="371" t="s">
        <v>249</v>
      </c>
      <c r="D1008" s="371" t="s">
        <v>230</v>
      </c>
      <c r="E1008" s="371"/>
      <c r="F1008" s="371"/>
      <c r="G1008" s="369">
        <f>G1009+G1014+G1052</f>
        <v>3859.3</v>
      </c>
      <c r="H1008" s="21">
        <f>H1009+H1014+H1052</f>
        <v>7926.1200000000008</v>
      </c>
      <c r="I1008" s="21">
        <f>I1009+I1014+I1052</f>
        <v>7926.1200000000008</v>
      </c>
    </row>
    <row r="1009" spans="1:9" s="222" customFormat="1" ht="15.75" x14ac:dyDescent="0.25">
      <c r="A1009" s="370" t="s">
        <v>156</v>
      </c>
      <c r="B1009" s="367">
        <v>908</v>
      </c>
      <c r="C1009" s="371" t="s">
        <v>249</v>
      </c>
      <c r="D1009" s="371" t="s">
        <v>230</v>
      </c>
      <c r="E1009" s="371" t="s">
        <v>910</v>
      </c>
      <c r="F1009" s="371"/>
      <c r="G1009" s="369">
        <f>G1010</f>
        <v>390</v>
      </c>
      <c r="H1009" s="21">
        <f t="shared" ref="H1009:I1012" si="455">H1010</f>
        <v>390</v>
      </c>
      <c r="I1009" s="21">
        <f t="shared" si="455"/>
        <v>390</v>
      </c>
    </row>
    <row r="1010" spans="1:9" s="222" customFormat="1" ht="31.5" x14ac:dyDescent="0.25">
      <c r="A1010" s="370" t="s">
        <v>914</v>
      </c>
      <c r="B1010" s="367">
        <v>908</v>
      </c>
      <c r="C1010" s="371" t="s">
        <v>249</v>
      </c>
      <c r="D1010" s="371" t="s">
        <v>230</v>
      </c>
      <c r="E1010" s="371" t="s">
        <v>909</v>
      </c>
      <c r="F1010" s="371"/>
      <c r="G1010" s="369">
        <f>G1011</f>
        <v>390</v>
      </c>
      <c r="H1010" s="21">
        <f t="shared" si="455"/>
        <v>390</v>
      </c>
      <c r="I1010" s="21">
        <f t="shared" si="455"/>
        <v>390</v>
      </c>
    </row>
    <row r="1011" spans="1:9" s="222" customFormat="1" ht="15.75" x14ac:dyDescent="0.25">
      <c r="A1011" s="372" t="s">
        <v>579</v>
      </c>
      <c r="B1011" s="366">
        <v>908</v>
      </c>
      <c r="C1011" s="368" t="s">
        <v>249</v>
      </c>
      <c r="D1011" s="368" t="s">
        <v>230</v>
      </c>
      <c r="E1011" s="368" t="s">
        <v>1261</v>
      </c>
      <c r="F1011" s="368"/>
      <c r="G1011" s="373">
        <f>G1012</f>
        <v>390</v>
      </c>
      <c r="H1011" s="26">
        <f t="shared" si="455"/>
        <v>390</v>
      </c>
      <c r="I1011" s="26">
        <f t="shared" si="455"/>
        <v>390</v>
      </c>
    </row>
    <row r="1012" spans="1:9" s="222" customFormat="1" ht="31.5" x14ac:dyDescent="0.25">
      <c r="A1012" s="372" t="s">
        <v>146</v>
      </c>
      <c r="B1012" s="366">
        <v>908</v>
      </c>
      <c r="C1012" s="368" t="s">
        <v>249</v>
      </c>
      <c r="D1012" s="368" t="s">
        <v>230</v>
      </c>
      <c r="E1012" s="368" t="s">
        <v>1261</v>
      </c>
      <c r="F1012" s="368" t="s">
        <v>147</v>
      </c>
      <c r="G1012" s="373">
        <f>G1013</f>
        <v>390</v>
      </c>
      <c r="H1012" s="26">
        <f t="shared" si="455"/>
        <v>390</v>
      </c>
      <c r="I1012" s="26">
        <f t="shared" si="455"/>
        <v>390</v>
      </c>
    </row>
    <row r="1013" spans="1:9" s="222" customFormat="1" ht="31.5" x14ac:dyDescent="0.25">
      <c r="A1013" s="372" t="s">
        <v>148</v>
      </c>
      <c r="B1013" s="366">
        <v>908</v>
      </c>
      <c r="C1013" s="368" t="s">
        <v>249</v>
      </c>
      <c r="D1013" s="368" t="s">
        <v>230</v>
      </c>
      <c r="E1013" s="368" t="s">
        <v>1261</v>
      </c>
      <c r="F1013" s="368" t="s">
        <v>149</v>
      </c>
      <c r="G1013" s="374">
        <v>390</v>
      </c>
      <c r="H1013" s="27">
        <v>390</v>
      </c>
      <c r="I1013" s="27">
        <v>390</v>
      </c>
    </row>
    <row r="1014" spans="1:9" ht="34.5" customHeight="1" x14ac:dyDescent="0.25">
      <c r="A1014" s="370" t="s">
        <v>557</v>
      </c>
      <c r="B1014" s="367">
        <v>908</v>
      </c>
      <c r="C1014" s="371" t="s">
        <v>249</v>
      </c>
      <c r="D1014" s="371" t="s">
        <v>230</v>
      </c>
      <c r="E1014" s="371" t="s">
        <v>558</v>
      </c>
      <c r="F1014" s="371"/>
      <c r="G1014" s="369">
        <f>G1015+G1029</f>
        <v>3068.3</v>
      </c>
      <c r="H1014" s="21">
        <f t="shared" ref="H1014:I1014" si="456">H1015+H1029</f>
        <v>4921.6000000000004</v>
      </c>
      <c r="I1014" s="21">
        <f t="shared" si="456"/>
        <v>4921.6000000000004</v>
      </c>
    </row>
    <row r="1015" spans="1:9" ht="35.450000000000003" customHeight="1" x14ac:dyDescent="0.25">
      <c r="A1015" s="370" t="s">
        <v>559</v>
      </c>
      <c r="B1015" s="367">
        <v>908</v>
      </c>
      <c r="C1015" s="371" t="s">
        <v>249</v>
      </c>
      <c r="D1015" s="371" t="s">
        <v>230</v>
      </c>
      <c r="E1015" s="371" t="s">
        <v>560</v>
      </c>
      <c r="F1015" s="371"/>
      <c r="G1015" s="369">
        <f>G1016</f>
        <v>763.8</v>
      </c>
      <c r="H1015" s="21">
        <f t="shared" ref="H1015:I1015" si="457">H1016</f>
        <v>2535.1999999999998</v>
      </c>
      <c r="I1015" s="21">
        <f t="shared" si="457"/>
        <v>2535.1999999999998</v>
      </c>
    </row>
    <row r="1016" spans="1:9" s="222" customFormat="1" ht="35.450000000000003" customHeight="1" x14ac:dyDescent="0.25">
      <c r="A1016" s="370" t="s">
        <v>1120</v>
      </c>
      <c r="B1016" s="367">
        <v>908</v>
      </c>
      <c r="C1016" s="371" t="s">
        <v>249</v>
      </c>
      <c r="D1016" s="371" t="s">
        <v>230</v>
      </c>
      <c r="E1016" s="371" t="s">
        <v>1118</v>
      </c>
      <c r="F1016" s="371"/>
      <c r="G1016" s="369">
        <f>G1017+G1020+G1026</f>
        <v>763.8</v>
      </c>
      <c r="H1016" s="21">
        <f t="shared" ref="H1016:I1016" si="458">H1017+H1020+H1026</f>
        <v>2535.1999999999998</v>
      </c>
      <c r="I1016" s="21">
        <f t="shared" si="458"/>
        <v>2535.1999999999998</v>
      </c>
    </row>
    <row r="1017" spans="1:9" ht="19.5" customHeight="1" x14ac:dyDescent="0.25">
      <c r="A1017" s="372" t="s">
        <v>561</v>
      </c>
      <c r="B1017" s="366">
        <v>908</v>
      </c>
      <c r="C1017" s="368" t="s">
        <v>249</v>
      </c>
      <c r="D1017" s="368" t="s">
        <v>230</v>
      </c>
      <c r="E1017" s="368" t="s">
        <v>1119</v>
      </c>
      <c r="F1017" s="368"/>
      <c r="G1017" s="373">
        <f>G1018</f>
        <v>90</v>
      </c>
      <c r="H1017" s="26">
        <f t="shared" ref="H1017:I1018" si="459">H1018</f>
        <v>90</v>
      </c>
      <c r="I1017" s="26">
        <f t="shared" si="459"/>
        <v>90</v>
      </c>
    </row>
    <row r="1018" spans="1:9" ht="31.5" x14ac:dyDescent="0.25">
      <c r="A1018" s="372" t="s">
        <v>146</v>
      </c>
      <c r="B1018" s="366">
        <v>908</v>
      </c>
      <c r="C1018" s="368" t="s">
        <v>249</v>
      </c>
      <c r="D1018" s="368" t="s">
        <v>230</v>
      </c>
      <c r="E1018" s="368" t="s">
        <v>1119</v>
      </c>
      <c r="F1018" s="368" t="s">
        <v>147</v>
      </c>
      <c r="G1018" s="373">
        <f>G1019</f>
        <v>90</v>
      </c>
      <c r="H1018" s="26">
        <f t="shared" si="459"/>
        <v>90</v>
      </c>
      <c r="I1018" s="26">
        <f t="shared" si="459"/>
        <v>90</v>
      </c>
    </row>
    <row r="1019" spans="1:9" ht="31.5" x14ac:dyDescent="0.25">
      <c r="A1019" s="372" t="s">
        <v>148</v>
      </c>
      <c r="B1019" s="366">
        <v>908</v>
      </c>
      <c r="C1019" s="368" t="s">
        <v>249</v>
      </c>
      <c r="D1019" s="368" t="s">
        <v>230</v>
      </c>
      <c r="E1019" s="368" t="s">
        <v>1119</v>
      </c>
      <c r="F1019" s="368" t="s">
        <v>149</v>
      </c>
      <c r="G1019" s="373">
        <v>90</v>
      </c>
      <c r="H1019" s="26">
        <v>90</v>
      </c>
      <c r="I1019" s="26">
        <v>90</v>
      </c>
    </row>
    <row r="1020" spans="1:9" ht="15.75" x14ac:dyDescent="0.25">
      <c r="A1020" s="372" t="s">
        <v>1288</v>
      </c>
      <c r="B1020" s="366">
        <v>908</v>
      </c>
      <c r="C1020" s="368" t="s">
        <v>249</v>
      </c>
      <c r="D1020" s="368" t="s">
        <v>230</v>
      </c>
      <c r="E1020" s="368" t="s">
        <v>1121</v>
      </c>
      <c r="F1020" s="368"/>
      <c r="G1020" s="373">
        <f>G1021+G1023</f>
        <v>657.8</v>
      </c>
      <c r="H1020" s="26">
        <f t="shared" ref="H1020:I1020" si="460">H1021+H1023</f>
        <v>643.29999999999995</v>
      </c>
      <c r="I1020" s="26">
        <f t="shared" si="460"/>
        <v>643.29999999999995</v>
      </c>
    </row>
    <row r="1021" spans="1:9" ht="31.5" x14ac:dyDescent="0.25">
      <c r="A1021" s="372" t="s">
        <v>146</v>
      </c>
      <c r="B1021" s="366">
        <v>908</v>
      </c>
      <c r="C1021" s="368" t="s">
        <v>249</v>
      </c>
      <c r="D1021" s="368" t="s">
        <v>230</v>
      </c>
      <c r="E1021" s="368" t="s">
        <v>1121</v>
      </c>
      <c r="F1021" s="368" t="s">
        <v>147</v>
      </c>
      <c r="G1021" s="373">
        <f>G1022</f>
        <v>657.8</v>
      </c>
      <c r="H1021" s="26">
        <f t="shared" ref="H1021:I1021" si="461">H1022</f>
        <v>602</v>
      </c>
      <c r="I1021" s="26">
        <f t="shared" si="461"/>
        <v>602</v>
      </c>
    </row>
    <row r="1022" spans="1:9" ht="31.5" x14ac:dyDescent="0.25">
      <c r="A1022" s="372" t="s">
        <v>148</v>
      </c>
      <c r="B1022" s="366">
        <v>908</v>
      </c>
      <c r="C1022" s="368" t="s">
        <v>249</v>
      </c>
      <c r="D1022" s="368" t="s">
        <v>230</v>
      </c>
      <c r="E1022" s="368" t="s">
        <v>1121</v>
      </c>
      <c r="F1022" s="368" t="s">
        <v>149</v>
      </c>
      <c r="G1022" s="373">
        <f>650+7.8</f>
        <v>657.8</v>
      </c>
      <c r="H1022" s="26">
        <f t="shared" ref="H1022:I1022" si="462">800-240+5706.6-5664.6</f>
        <v>602</v>
      </c>
      <c r="I1022" s="26">
        <f t="shared" si="462"/>
        <v>602</v>
      </c>
    </row>
    <row r="1023" spans="1:9" ht="15.75" hidden="1" x14ac:dyDescent="0.25">
      <c r="A1023" s="372" t="s">
        <v>150</v>
      </c>
      <c r="B1023" s="366">
        <v>908</v>
      </c>
      <c r="C1023" s="368" t="s">
        <v>249</v>
      </c>
      <c r="D1023" s="368" t="s">
        <v>230</v>
      </c>
      <c r="E1023" s="368" t="s">
        <v>1121</v>
      </c>
      <c r="F1023" s="368" t="s">
        <v>160</v>
      </c>
      <c r="G1023" s="373">
        <f>G1025+G1024</f>
        <v>0</v>
      </c>
      <c r="H1023" s="26">
        <f t="shared" ref="H1023:I1023" si="463">H1025+H1024</f>
        <v>41.3</v>
      </c>
      <c r="I1023" s="26">
        <f t="shared" si="463"/>
        <v>41.3</v>
      </c>
    </row>
    <row r="1024" spans="1:9" s="222" customFormat="1" ht="32.25" hidden="1" customHeight="1" x14ac:dyDescent="0.25">
      <c r="A1024" s="372" t="s">
        <v>880</v>
      </c>
      <c r="B1024" s="366">
        <v>908</v>
      </c>
      <c r="C1024" s="368" t="s">
        <v>249</v>
      </c>
      <c r="D1024" s="368" t="s">
        <v>230</v>
      </c>
      <c r="E1024" s="368" t="s">
        <v>1121</v>
      </c>
      <c r="F1024" s="368" t="s">
        <v>162</v>
      </c>
      <c r="G1024" s="373">
        <v>0</v>
      </c>
      <c r="H1024" s="26">
        <v>41.3</v>
      </c>
      <c r="I1024" s="26">
        <v>41.3</v>
      </c>
    </row>
    <row r="1025" spans="1:9" ht="15.75" hidden="1" x14ac:dyDescent="0.25">
      <c r="A1025" s="372" t="s">
        <v>725</v>
      </c>
      <c r="B1025" s="366">
        <v>908</v>
      </c>
      <c r="C1025" s="368" t="s">
        <v>249</v>
      </c>
      <c r="D1025" s="368" t="s">
        <v>230</v>
      </c>
      <c r="E1025" s="368" t="s">
        <v>1121</v>
      </c>
      <c r="F1025" s="368" t="s">
        <v>153</v>
      </c>
      <c r="G1025" s="373">
        <f>3.4+37.5-40.9</f>
        <v>0</v>
      </c>
      <c r="H1025" s="26">
        <f t="shared" ref="H1025:I1025" si="464">3.4+37.5-40.9</f>
        <v>0</v>
      </c>
      <c r="I1025" s="26">
        <f t="shared" si="464"/>
        <v>0</v>
      </c>
    </row>
    <row r="1026" spans="1:9" ht="15.75" x14ac:dyDescent="0.25">
      <c r="A1026" s="372" t="s">
        <v>565</v>
      </c>
      <c r="B1026" s="366">
        <v>908</v>
      </c>
      <c r="C1026" s="368" t="s">
        <v>249</v>
      </c>
      <c r="D1026" s="368" t="s">
        <v>230</v>
      </c>
      <c r="E1026" s="368" t="s">
        <v>1122</v>
      </c>
      <c r="F1026" s="368"/>
      <c r="G1026" s="373">
        <f>G1027</f>
        <v>16</v>
      </c>
      <c r="H1026" s="26">
        <f t="shared" ref="H1026:I1027" si="465">H1027</f>
        <v>1801.9</v>
      </c>
      <c r="I1026" s="26">
        <f t="shared" si="465"/>
        <v>1801.9</v>
      </c>
    </row>
    <row r="1027" spans="1:9" ht="31.5" x14ac:dyDescent="0.25">
      <c r="A1027" s="372" t="s">
        <v>146</v>
      </c>
      <c r="B1027" s="366">
        <v>908</v>
      </c>
      <c r="C1027" s="368" t="s">
        <v>249</v>
      </c>
      <c r="D1027" s="368" t="s">
        <v>230</v>
      </c>
      <c r="E1027" s="368" t="s">
        <v>1122</v>
      </c>
      <c r="F1027" s="368" t="s">
        <v>147</v>
      </c>
      <c r="G1027" s="373">
        <f>G1028</f>
        <v>16</v>
      </c>
      <c r="H1027" s="26">
        <f t="shared" si="465"/>
        <v>1801.9</v>
      </c>
      <c r="I1027" s="26">
        <f t="shared" si="465"/>
        <v>1801.9</v>
      </c>
    </row>
    <row r="1028" spans="1:9" ht="31.5" x14ac:dyDescent="0.25">
      <c r="A1028" s="372" t="s">
        <v>148</v>
      </c>
      <c r="B1028" s="366">
        <v>908</v>
      </c>
      <c r="C1028" s="368" t="s">
        <v>249</v>
      </c>
      <c r="D1028" s="368" t="s">
        <v>230</v>
      </c>
      <c r="E1028" s="368" t="s">
        <v>1122</v>
      </c>
      <c r="F1028" s="368" t="s">
        <v>149</v>
      </c>
      <c r="G1028" s="373">
        <f>200-184</f>
        <v>16</v>
      </c>
      <c r="H1028" s="26">
        <v>1801.9</v>
      </c>
      <c r="I1028" s="26">
        <v>1801.9</v>
      </c>
    </row>
    <row r="1029" spans="1:9" ht="45.75" customHeight="1" x14ac:dyDescent="0.25">
      <c r="A1029" s="370" t="s">
        <v>567</v>
      </c>
      <c r="B1029" s="367">
        <v>908</v>
      </c>
      <c r="C1029" s="371" t="s">
        <v>249</v>
      </c>
      <c r="D1029" s="371" t="s">
        <v>230</v>
      </c>
      <c r="E1029" s="371" t="s">
        <v>568</v>
      </c>
      <c r="F1029" s="371"/>
      <c r="G1029" s="369">
        <f>G1030+G1045</f>
        <v>2304.5</v>
      </c>
      <c r="H1029" s="21">
        <f>H1030+H1045</f>
        <v>2386.4</v>
      </c>
      <c r="I1029" s="21">
        <f>I1030+I1045</f>
        <v>2386.4</v>
      </c>
    </row>
    <row r="1030" spans="1:9" s="222" customFormat="1" ht="32.25" customHeight="1" x14ac:dyDescent="0.25">
      <c r="A1030" s="370" t="s">
        <v>1138</v>
      </c>
      <c r="B1030" s="367">
        <v>908</v>
      </c>
      <c r="C1030" s="371" t="s">
        <v>249</v>
      </c>
      <c r="D1030" s="371" t="s">
        <v>230</v>
      </c>
      <c r="E1030" s="371" t="s">
        <v>1123</v>
      </c>
      <c r="F1030" s="371"/>
      <c r="G1030" s="369">
        <f>G1042+G1031+G1034+G1039</f>
        <v>390</v>
      </c>
      <c r="H1030" s="21">
        <f>H1042+H1031+H1034+H1039</f>
        <v>722.5</v>
      </c>
      <c r="I1030" s="21">
        <f>I1042+I1031+I1034+I1039</f>
        <v>722.5</v>
      </c>
    </row>
    <row r="1031" spans="1:9" ht="15.75" x14ac:dyDescent="0.25">
      <c r="A1031" s="372" t="s">
        <v>570</v>
      </c>
      <c r="B1031" s="366">
        <v>908</v>
      </c>
      <c r="C1031" s="368" t="s">
        <v>249</v>
      </c>
      <c r="D1031" s="368" t="s">
        <v>230</v>
      </c>
      <c r="E1031" s="368" t="s">
        <v>1125</v>
      </c>
      <c r="F1031" s="368"/>
      <c r="G1031" s="373">
        <f>G1032</f>
        <v>4</v>
      </c>
      <c r="H1031" s="26">
        <f t="shared" ref="H1031:I1032" si="466">H1032</f>
        <v>4</v>
      </c>
      <c r="I1031" s="26">
        <f t="shared" si="466"/>
        <v>4</v>
      </c>
    </row>
    <row r="1032" spans="1:9" ht="31.5" x14ac:dyDescent="0.25">
      <c r="A1032" s="372" t="s">
        <v>146</v>
      </c>
      <c r="B1032" s="366">
        <v>908</v>
      </c>
      <c r="C1032" s="368" t="s">
        <v>249</v>
      </c>
      <c r="D1032" s="368" t="s">
        <v>230</v>
      </c>
      <c r="E1032" s="368" t="s">
        <v>1125</v>
      </c>
      <c r="F1032" s="368" t="s">
        <v>147</v>
      </c>
      <c r="G1032" s="373">
        <f>G1033</f>
        <v>4</v>
      </c>
      <c r="H1032" s="26">
        <f t="shared" si="466"/>
        <v>4</v>
      </c>
      <c r="I1032" s="26">
        <f t="shared" si="466"/>
        <v>4</v>
      </c>
    </row>
    <row r="1033" spans="1:9" ht="36" customHeight="1" x14ac:dyDescent="0.25">
      <c r="A1033" s="372" t="s">
        <v>148</v>
      </c>
      <c r="B1033" s="366">
        <v>908</v>
      </c>
      <c r="C1033" s="368" t="s">
        <v>249</v>
      </c>
      <c r="D1033" s="368" t="s">
        <v>230</v>
      </c>
      <c r="E1033" s="368" t="s">
        <v>1125</v>
      </c>
      <c r="F1033" s="368" t="s">
        <v>149</v>
      </c>
      <c r="G1033" s="373">
        <v>4</v>
      </c>
      <c r="H1033" s="26">
        <v>4</v>
      </c>
      <c r="I1033" s="26">
        <v>4</v>
      </c>
    </row>
    <row r="1034" spans="1:9" ht="30.75" customHeight="1" x14ac:dyDescent="0.25">
      <c r="A1034" s="45" t="s">
        <v>572</v>
      </c>
      <c r="B1034" s="366">
        <v>908</v>
      </c>
      <c r="C1034" s="368" t="s">
        <v>249</v>
      </c>
      <c r="D1034" s="368" t="s">
        <v>230</v>
      </c>
      <c r="E1034" s="368" t="s">
        <v>1126</v>
      </c>
      <c r="F1034" s="368"/>
      <c r="G1034" s="373">
        <f>G1035+G1037</f>
        <v>375</v>
      </c>
      <c r="H1034" s="26">
        <f t="shared" ref="H1034:I1034" si="467">H1035+H1037</f>
        <v>707.5</v>
      </c>
      <c r="I1034" s="26">
        <f t="shared" si="467"/>
        <v>707.5</v>
      </c>
    </row>
    <row r="1035" spans="1:9" ht="31.5" x14ac:dyDescent="0.25">
      <c r="A1035" s="372" t="s">
        <v>146</v>
      </c>
      <c r="B1035" s="366">
        <v>908</v>
      </c>
      <c r="C1035" s="368" t="s">
        <v>249</v>
      </c>
      <c r="D1035" s="368" t="s">
        <v>230</v>
      </c>
      <c r="E1035" s="368" t="s">
        <v>1126</v>
      </c>
      <c r="F1035" s="368" t="s">
        <v>147</v>
      </c>
      <c r="G1035" s="373">
        <f>G1036</f>
        <v>300</v>
      </c>
      <c r="H1035" s="26">
        <f t="shared" ref="H1035:I1035" si="468">H1036</f>
        <v>632.5</v>
      </c>
      <c r="I1035" s="26">
        <f t="shared" si="468"/>
        <v>632.5</v>
      </c>
    </row>
    <row r="1036" spans="1:9" ht="31.5" x14ac:dyDescent="0.25">
      <c r="A1036" s="372" t="s">
        <v>148</v>
      </c>
      <c r="B1036" s="366">
        <v>908</v>
      </c>
      <c r="C1036" s="368" t="s">
        <v>249</v>
      </c>
      <c r="D1036" s="368" t="s">
        <v>230</v>
      </c>
      <c r="E1036" s="368" t="s">
        <v>1126</v>
      </c>
      <c r="F1036" s="368" t="s">
        <v>149</v>
      </c>
      <c r="G1036" s="373">
        <v>300</v>
      </c>
      <c r="H1036" s="26">
        <f t="shared" ref="H1036:I1036" si="469">1000-1000+243.4+195.5-60.4-46+300</f>
        <v>632.5</v>
      </c>
      <c r="I1036" s="26">
        <f t="shared" si="469"/>
        <v>632.5</v>
      </c>
    </row>
    <row r="1037" spans="1:9" s="222" customFormat="1" ht="15.75" x14ac:dyDescent="0.25">
      <c r="A1037" s="372" t="s">
        <v>150</v>
      </c>
      <c r="B1037" s="366">
        <v>908</v>
      </c>
      <c r="C1037" s="368" t="s">
        <v>249</v>
      </c>
      <c r="D1037" s="368" t="s">
        <v>230</v>
      </c>
      <c r="E1037" s="368" t="s">
        <v>1126</v>
      </c>
      <c r="F1037" s="368" t="s">
        <v>160</v>
      </c>
      <c r="G1037" s="373">
        <f>G1038</f>
        <v>75</v>
      </c>
      <c r="H1037" s="26">
        <f t="shared" ref="H1037:I1037" si="470">H1038</f>
        <v>75</v>
      </c>
      <c r="I1037" s="26">
        <f t="shared" si="470"/>
        <v>75</v>
      </c>
    </row>
    <row r="1038" spans="1:9" s="222" customFormat="1" ht="15.75" x14ac:dyDescent="0.25">
      <c r="A1038" s="372" t="s">
        <v>725</v>
      </c>
      <c r="B1038" s="366">
        <v>908</v>
      </c>
      <c r="C1038" s="368" t="s">
        <v>249</v>
      </c>
      <c r="D1038" s="368" t="s">
        <v>230</v>
      </c>
      <c r="E1038" s="368" t="s">
        <v>1126</v>
      </c>
      <c r="F1038" s="368" t="s">
        <v>153</v>
      </c>
      <c r="G1038" s="373">
        <v>75</v>
      </c>
      <c r="H1038" s="26">
        <v>75</v>
      </c>
      <c r="I1038" s="26">
        <v>75</v>
      </c>
    </row>
    <row r="1039" spans="1:9" ht="15.75" hidden="1" x14ac:dyDescent="0.25">
      <c r="A1039" s="45" t="s">
        <v>574</v>
      </c>
      <c r="B1039" s="366">
        <v>908</v>
      </c>
      <c r="C1039" s="368" t="s">
        <v>249</v>
      </c>
      <c r="D1039" s="368" t="s">
        <v>230</v>
      </c>
      <c r="E1039" s="368" t="s">
        <v>1127</v>
      </c>
      <c r="F1039" s="368"/>
      <c r="G1039" s="373">
        <f>G1040</f>
        <v>0</v>
      </c>
      <c r="H1039" s="26">
        <f t="shared" ref="H1039:I1040" si="471">H1040</f>
        <v>0</v>
      </c>
      <c r="I1039" s="26">
        <f t="shared" si="471"/>
        <v>0</v>
      </c>
    </row>
    <row r="1040" spans="1:9" ht="31.5" hidden="1" x14ac:dyDescent="0.25">
      <c r="A1040" s="372" t="s">
        <v>146</v>
      </c>
      <c r="B1040" s="366">
        <v>908</v>
      </c>
      <c r="C1040" s="368" t="s">
        <v>249</v>
      </c>
      <c r="D1040" s="368" t="s">
        <v>230</v>
      </c>
      <c r="E1040" s="368" t="s">
        <v>1127</v>
      </c>
      <c r="F1040" s="368" t="s">
        <v>147</v>
      </c>
      <c r="G1040" s="373">
        <f>G1041</f>
        <v>0</v>
      </c>
      <c r="H1040" s="26">
        <f t="shared" si="471"/>
        <v>0</v>
      </c>
      <c r="I1040" s="26">
        <f t="shared" si="471"/>
        <v>0</v>
      </c>
    </row>
    <row r="1041" spans="1:9" ht="31.5" hidden="1" x14ac:dyDescent="0.25">
      <c r="A1041" s="372" t="s">
        <v>148</v>
      </c>
      <c r="B1041" s="366">
        <v>908</v>
      </c>
      <c r="C1041" s="368" t="s">
        <v>249</v>
      </c>
      <c r="D1041" s="368" t="s">
        <v>230</v>
      </c>
      <c r="E1041" s="368" t="s">
        <v>1127</v>
      </c>
      <c r="F1041" s="368" t="s">
        <v>149</v>
      </c>
      <c r="G1041" s="373">
        <v>0</v>
      </c>
      <c r="H1041" s="26">
        <v>0</v>
      </c>
      <c r="I1041" s="26">
        <v>0</v>
      </c>
    </row>
    <row r="1042" spans="1:9" s="222" customFormat="1" ht="31.5" x14ac:dyDescent="0.25">
      <c r="A1042" s="259" t="s">
        <v>1290</v>
      </c>
      <c r="B1042" s="366">
        <v>908</v>
      </c>
      <c r="C1042" s="368" t="s">
        <v>249</v>
      </c>
      <c r="D1042" s="368" t="s">
        <v>230</v>
      </c>
      <c r="E1042" s="368" t="s">
        <v>1291</v>
      </c>
      <c r="F1042" s="368"/>
      <c r="G1042" s="373">
        <f>G1043</f>
        <v>11</v>
      </c>
      <c r="H1042" s="26">
        <f t="shared" ref="H1042:I1043" si="472">H1043</f>
        <v>11</v>
      </c>
      <c r="I1042" s="26">
        <f t="shared" si="472"/>
        <v>11</v>
      </c>
    </row>
    <row r="1043" spans="1:9" s="222" customFormat="1" ht="31.5" x14ac:dyDescent="0.25">
      <c r="A1043" s="372" t="s">
        <v>146</v>
      </c>
      <c r="B1043" s="366">
        <v>908</v>
      </c>
      <c r="C1043" s="368" t="s">
        <v>249</v>
      </c>
      <c r="D1043" s="368" t="s">
        <v>230</v>
      </c>
      <c r="E1043" s="368" t="s">
        <v>1291</v>
      </c>
      <c r="F1043" s="368" t="s">
        <v>147</v>
      </c>
      <c r="G1043" s="373">
        <f>G1044</f>
        <v>11</v>
      </c>
      <c r="H1043" s="26">
        <f t="shared" si="472"/>
        <v>11</v>
      </c>
      <c r="I1043" s="26">
        <f t="shared" si="472"/>
        <v>11</v>
      </c>
    </row>
    <row r="1044" spans="1:9" s="222" customFormat="1" ht="31.5" x14ac:dyDescent="0.25">
      <c r="A1044" s="372" t="s">
        <v>148</v>
      </c>
      <c r="B1044" s="366">
        <v>908</v>
      </c>
      <c r="C1044" s="368" t="s">
        <v>249</v>
      </c>
      <c r="D1044" s="368" t="s">
        <v>230</v>
      </c>
      <c r="E1044" s="368" t="s">
        <v>1291</v>
      </c>
      <c r="F1044" s="368" t="s">
        <v>149</v>
      </c>
      <c r="G1044" s="373">
        <v>11</v>
      </c>
      <c r="H1044" s="26">
        <v>11</v>
      </c>
      <c r="I1044" s="26">
        <v>11</v>
      </c>
    </row>
    <row r="1045" spans="1:9" s="222" customFormat="1" ht="31.5" x14ac:dyDescent="0.25">
      <c r="A1045" s="370" t="s">
        <v>948</v>
      </c>
      <c r="B1045" s="367">
        <v>908</v>
      </c>
      <c r="C1045" s="371" t="s">
        <v>249</v>
      </c>
      <c r="D1045" s="371" t="s">
        <v>230</v>
      </c>
      <c r="E1045" s="371" t="s">
        <v>1128</v>
      </c>
      <c r="F1045" s="371"/>
      <c r="G1045" s="369">
        <f>G1046+G1049</f>
        <v>1914.5</v>
      </c>
      <c r="H1045" s="21">
        <f t="shared" ref="H1045:I1045" si="473">H1046+H1049</f>
        <v>1663.9</v>
      </c>
      <c r="I1045" s="21">
        <f t="shared" si="473"/>
        <v>1663.9</v>
      </c>
    </row>
    <row r="1046" spans="1:9" s="222" customFormat="1" ht="31.5" hidden="1" x14ac:dyDescent="0.25">
      <c r="A1046" s="372" t="s">
        <v>705</v>
      </c>
      <c r="B1046" s="366">
        <v>908</v>
      </c>
      <c r="C1046" s="368" t="s">
        <v>249</v>
      </c>
      <c r="D1046" s="368" t="s">
        <v>230</v>
      </c>
      <c r="E1046" s="368" t="s">
        <v>1129</v>
      </c>
      <c r="F1046" s="368"/>
      <c r="G1046" s="373">
        <f>G1047</f>
        <v>0</v>
      </c>
      <c r="H1046" s="26">
        <f t="shared" ref="H1046:I1047" si="474">H1047</f>
        <v>244</v>
      </c>
      <c r="I1046" s="26">
        <f t="shared" si="474"/>
        <v>244</v>
      </c>
    </row>
    <row r="1047" spans="1:9" s="222" customFormat="1" ht="31.5" hidden="1" x14ac:dyDescent="0.25">
      <c r="A1047" s="372" t="s">
        <v>146</v>
      </c>
      <c r="B1047" s="366">
        <v>908</v>
      </c>
      <c r="C1047" s="368" t="s">
        <v>249</v>
      </c>
      <c r="D1047" s="368" t="s">
        <v>230</v>
      </c>
      <c r="E1047" s="368" t="s">
        <v>1129</v>
      </c>
      <c r="F1047" s="368" t="s">
        <v>147</v>
      </c>
      <c r="G1047" s="373">
        <f>G1048</f>
        <v>0</v>
      </c>
      <c r="H1047" s="26">
        <f t="shared" si="474"/>
        <v>244</v>
      </c>
      <c r="I1047" s="26">
        <f t="shared" si="474"/>
        <v>244</v>
      </c>
    </row>
    <row r="1048" spans="1:9" s="222" customFormat="1" ht="31.5" hidden="1" x14ac:dyDescent="0.25">
      <c r="A1048" s="372" t="s">
        <v>148</v>
      </c>
      <c r="B1048" s="366">
        <v>908</v>
      </c>
      <c r="C1048" s="368" t="s">
        <v>249</v>
      </c>
      <c r="D1048" s="368" t="s">
        <v>230</v>
      </c>
      <c r="E1048" s="368" t="s">
        <v>1129</v>
      </c>
      <c r="F1048" s="368" t="s">
        <v>149</v>
      </c>
      <c r="G1048" s="373">
        <v>0</v>
      </c>
      <c r="H1048" s="26">
        <v>244</v>
      </c>
      <c r="I1048" s="26">
        <v>244</v>
      </c>
    </row>
    <row r="1049" spans="1:9" s="222" customFormat="1" ht="47.25" x14ac:dyDescent="0.25">
      <c r="A1049" s="372" t="s">
        <v>1249</v>
      </c>
      <c r="B1049" s="366">
        <v>908</v>
      </c>
      <c r="C1049" s="368" t="s">
        <v>249</v>
      </c>
      <c r="D1049" s="368" t="s">
        <v>230</v>
      </c>
      <c r="E1049" s="368" t="s">
        <v>1250</v>
      </c>
      <c r="F1049" s="368"/>
      <c r="G1049" s="373">
        <f>G1050</f>
        <v>1914.5</v>
      </c>
      <c r="H1049" s="26">
        <f t="shared" ref="H1049:I1050" si="475">H1050</f>
        <v>1419.9</v>
      </c>
      <c r="I1049" s="26">
        <f t="shared" si="475"/>
        <v>1419.9</v>
      </c>
    </row>
    <row r="1050" spans="1:9" s="222" customFormat="1" ht="31.5" x14ac:dyDescent="0.25">
      <c r="A1050" s="372" t="s">
        <v>146</v>
      </c>
      <c r="B1050" s="366">
        <v>908</v>
      </c>
      <c r="C1050" s="368" t="s">
        <v>249</v>
      </c>
      <c r="D1050" s="368" t="s">
        <v>230</v>
      </c>
      <c r="E1050" s="368" t="s">
        <v>1250</v>
      </c>
      <c r="F1050" s="368" t="s">
        <v>147</v>
      </c>
      <c r="G1050" s="373">
        <f>G1051</f>
        <v>1914.5</v>
      </c>
      <c r="H1050" s="26">
        <f t="shared" si="475"/>
        <v>1419.9</v>
      </c>
      <c r="I1050" s="26">
        <f t="shared" si="475"/>
        <v>1419.9</v>
      </c>
    </row>
    <row r="1051" spans="1:9" s="222" customFormat="1" ht="31.5" x14ac:dyDescent="0.25">
      <c r="A1051" s="372" t="s">
        <v>148</v>
      </c>
      <c r="B1051" s="366">
        <v>908</v>
      </c>
      <c r="C1051" s="368" t="s">
        <v>249</v>
      </c>
      <c r="D1051" s="368" t="s">
        <v>230</v>
      </c>
      <c r="E1051" s="368" t="s">
        <v>1250</v>
      </c>
      <c r="F1051" s="368" t="s">
        <v>149</v>
      </c>
      <c r="G1051" s="373">
        <v>1914.5</v>
      </c>
      <c r="H1051" s="26">
        <v>1419.9</v>
      </c>
      <c r="I1051" s="26">
        <v>1419.9</v>
      </c>
    </row>
    <row r="1052" spans="1:9" ht="52.5" customHeight="1" x14ac:dyDescent="0.25">
      <c r="A1052" s="370" t="s">
        <v>821</v>
      </c>
      <c r="B1052" s="367">
        <v>908</v>
      </c>
      <c r="C1052" s="371" t="s">
        <v>249</v>
      </c>
      <c r="D1052" s="371" t="s">
        <v>230</v>
      </c>
      <c r="E1052" s="371" t="s">
        <v>732</v>
      </c>
      <c r="F1052" s="371"/>
      <c r="G1052" s="369">
        <f>G1053</f>
        <v>401</v>
      </c>
      <c r="H1052" s="21">
        <f t="shared" ref="H1052:I1055" si="476">H1053</f>
        <v>2614.5200000000004</v>
      </c>
      <c r="I1052" s="21">
        <f t="shared" si="476"/>
        <v>2614.5200000000004</v>
      </c>
    </row>
    <row r="1053" spans="1:9" s="222" customFormat="1" ht="34.5" customHeight="1" x14ac:dyDescent="0.25">
      <c r="A1053" s="370" t="s">
        <v>1245</v>
      </c>
      <c r="B1053" s="367">
        <v>908</v>
      </c>
      <c r="C1053" s="371" t="s">
        <v>249</v>
      </c>
      <c r="D1053" s="371" t="s">
        <v>230</v>
      </c>
      <c r="E1053" s="371" t="s">
        <v>1289</v>
      </c>
      <c r="F1053" s="371"/>
      <c r="G1053" s="369">
        <f>G1054</f>
        <v>401</v>
      </c>
      <c r="H1053" s="21">
        <f t="shared" si="476"/>
        <v>2614.5200000000004</v>
      </c>
      <c r="I1053" s="21">
        <f t="shared" si="476"/>
        <v>2614.5200000000004</v>
      </c>
    </row>
    <row r="1054" spans="1:9" ht="48.75" customHeight="1" x14ac:dyDescent="0.25">
      <c r="A1054" s="80" t="s">
        <v>708</v>
      </c>
      <c r="B1054" s="366">
        <v>908</v>
      </c>
      <c r="C1054" s="368" t="s">
        <v>249</v>
      </c>
      <c r="D1054" s="368" t="s">
        <v>230</v>
      </c>
      <c r="E1054" s="368" t="s">
        <v>879</v>
      </c>
      <c r="F1054" s="368"/>
      <c r="G1054" s="373">
        <f>G1055</f>
        <v>401</v>
      </c>
      <c r="H1054" s="26">
        <f t="shared" si="476"/>
        <v>2614.5200000000004</v>
      </c>
      <c r="I1054" s="26">
        <f t="shared" si="476"/>
        <v>2614.5200000000004</v>
      </c>
    </row>
    <row r="1055" spans="1:9" ht="31.5" x14ac:dyDescent="0.25">
      <c r="A1055" s="372" t="s">
        <v>146</v>
      </c>
      <c r="B1055" s="366">
        <v>908</v>
      </c>
      <c r="C1055" s="368" t="s">
        <v>249</v>
      </c>
      <c r="D1055" s="368" t="s">
        <v>230</v>
      </c>
      <c r="E1055" s="368" t="s">
        <v>879</v>
      </c>
      <c r="F1055" s="368" t="s">
        <v>147</v>
      </c>
      <c r="G1055" s="373">
        <f>G1056</f>
        <v>401</v>
      </c>
      <c r="H1055" s="26">
        <f t="shared" si="476"/>
        <v>2614.5200000000004</v>
      </c>
      <c r="I1055" s="26">
        <f t="shared" si="476"/>
        <v>2614.5200000000004</v>
      </c>
    </row>
    <row r="1056" spans="1:9" ht="31.5" x14ac:dyDescent="0.25">
      <c r="A1056" s="372" t="s">
        <v>148</v>
      </c>
      <c r="B1056" s="366">
        <v>908</v>
      </c>
      <c r="C1056" s="368" t="s">
        <v>249</v>
      </c>
      <c r="D1056" s="368" t="s">
        <v>230</v>
      </c>
      <c r="E1056" s="368" t="s">
        <v>879</v>
      </c>
      <c r="F1056" s="368" t="s">
        <v>149</v>
      </c>
      <c r="G1056" s="373">
        <f>500-99</f>
        <v>401</v>
      </c>
      <c r="H1056" s="26">
        <f t="shared" ref="H1056:I1056" si="477">500+2114.52+5000-5000</f>
        <v>2614.5200000000004</v>
      </c>
      <c r="I1056" s="26">
        <f t="shared" si="477"/>
        <v>2614.5200000000004</v>
      </c>
    </row>
    <row r="1057" spans="1:9" ht="31.5" x14ac:dyDescent="0.25">
      <c r="A1057" s="370" t="s">
        <v>584</v>
      </c>
      <c r="B1057" s="367">
        <v>908</v>
      </c>
      <c r="C1057" s="371" t="s">
        <v>249</v>
      </c>
      <c r="D1057" s="371" t="s">
        <v>249</v>
      </c>
      <c r="E1057" s="371"/>
      <c r="F1057" s="371"/>
      <c r="G1057" s="369">
        <f>G1058+G1070+G1089</f>
        <v>23795.7</v>
      </c>
      <c r="H1057" s="21">
        <f t="shared" ref="H1057:I1057" si="478">H1058+H1070</f>
        <v>28887.3</v>
      </c>
      <c r="I1057" s="21">
        <f t="shared" si="478"/>
        <v>28887.3</v>
      </c>
    </row>
    <row r="1058" spans="1:9" ht="31.5" x14ac:dyDescent="0.25">
      <c r="A1058" s="370" t="s">
        <v>988</v>
      </c>
      <c r="B1058" s="367">
        <v>908</v>
      </c>
      <c r="C1058" s="371" t="s">
        <v>249</v>
      </c>
      <c r="D1058" s="371" t="s">
        <v>249</v>
      </c>
      <c r="E1058" s="371" t="s">
        <v>902</v>
      </c>
      <c r="F1058" s="371"/>
      <c r="G1058" s="369">
        <f>G1059</f>
        <v>12402.5</v>
      </c>
      <c r="H1058" s="21">
        <f t="shared" ref="H1058:I1058" si="479">H1059</f>
        <v>12857.2</v>
      </c>
      <c r="I1058" s="21">
        <f t="shared" si="479"/>
        <v>12857.2</v>
      </c>
    </row>
    <row r="1059" spans="1:9" ht="15.75" x14ac:dyDescent="0.25">
      <c r="A1059" s="370" t="s">
        <v>989</v>
      </c>
      <c r="B1059" s="367">
        <v>908</v>
      </c>
      <c r="C1059" s="371" t="s">
        <v>249</v>
      </c>
      <c r="D1059" s="371" t="s">
        <v>249</v>
      </c>
      <c r="E1059" s="371" t="s">
        <v>903</v>
      </c>
      <c r="F1059" s="371"/>
      <c r="G1059" s="369">
        <f>G1060+G1067</f>
        <v>12402.5</v>
      </c>
      <c r="H1059" s="21">
        <f t="shared" ref="H1059:I1059" si="480">H1060+H1067</f>
        <v>12857.2</v>
      </c>
      <c r="I1059" s="21">
        <f t="shared" si="480"/>
        <v>12857.2</v>
      </c>
    </row>
    <row r="1060" spans="1:9" ht="31.5" x14ac:dyDescent="0.25">
      <c r="A1060" s="372" t="s">
        <v>965</v>
      </c>
      <c r="B1060" s="366">
        <v>908</v>
      </c>
      <c r="C1060" s="368" t="s">
        <v>249</v>
      </c>
      <c r="D1060" s="368" t="s">
        <v>249</v>
      </c>
      <c r="E1060" s="368" t="s">
        <v>904</v>
      </c>
      <c r="F1060" s="368"/>
      <c r="G1060" s="373">
        <f>G1061+G1065+G1063</f>
        <v>11761.5</v>
      </c>
      <c r="H1060" s="26">
        <f t="shared" ref="H1060:I1060" si="481">H1061+H1065+H1063</f>
        <v>12857.2</v>
      </c>
      <c r="I1060" s="26">
        <f t="shared" si="481"/>
        <v>12857.2</v>
      </c>
    </row>
    <row r="1061" spans="1:9" ht="60.75" customHeight="1" x14ac:dyDescent="0.25">
      <c r="A1061" s="372" t="s">
        <v>142</v>
      </c>
      <c r="B1061" s="366">
        <v>908</v>
      </c>
      <c r="C1061" s="368" t="s">
        <v>249</v>
      </c>
      <c r="D1061" s="368" t="s">
        <v>249</v>
      </c>
      <c r="E1061" s="368" t="s">
        <v>904</v>
      </c>
      <c r="F1061" s="368" t="s">
        <v>143</v>
      </c>
      <c r="G1061" s="373">
        <f>G1062</f>
        <v>11689.5</v>
      </c>
      <c r="H1061" s="26">
        <f t="shared" ref="H1061:I1061" si="482">H1062</f>
        <v>12785.7</v>
      </c>
      <c r="I1061" s="26">
        <f t="shared" si="482"/>
        <v>12785.7</v>
      </c>
    </row>
    <row r="1062" spans="1:9" ht="31.5" x14ac:dyDescent="0.25">
      <c r="A1062" s="372" t="s">
        <v>144</v>
      </c>
      <c r="B1062" s="366">
        <v>908</v>
      </c>
      <c r="C1062" s="368" t="s">
        <v>249</v>
      </c>
      <c r="D1062" s="368" t="s">
        <v>249</v>
      </c>
      <c r="E1062" s="368" t="s">
        <v>904</v>
      </c>
      <c r="F1062" s="368" t="s">
        <v>145</v>
      </c>
      <c r="G1062" s="374">
        <f>11138+566-27+12.5</f>
        <v>11689.5</v>
      </c>
      <c r="H1062" s="27">
        <v>12785.7</v>
      </c>
      <c r="I1062" s="27">
        <v>12785.7</v>
      </c>
    </row>
    <row r="1063" spans="1:9" ht="31.5" x14ac:dyDescent="0.25">
      <c r="A1063" s="372" t="s">
        <v>146</v>
      </c>
      <c r="B1063" s="366">
        <v>908</v>
      </c>
      <c r="C1063" s="368" t="s">
        <v>249</v>
      </c>
      <c r="D1063" s="368" t="s">
        <v>249</v>
      </c>
      <c r="E1063" s="368" t="s">
        <v>904</v>
      </c>
      <c r="F1063" s="368" t="s">
        <v>147</v>
      </c>
      <c r="G1063" s="373">
        <f>G1064</f>
        <v>25</v>
      </c>
      <c r="H1063" s="26">
        <f t="shared" ref="H1063:I1063" si="483">H1064</f>
        <v>25</v>
      </c>
      <c r="I1063" s="26">
        <f t="shared" si="483"/>
        <v>25</v>
      </c>
    </row>
    <row r="1064" spans="1:9" ht="36.75" customHeight="1" x14ac:dyDescent="0.25">
      <c r="A1064" s="372" t="s">
        <v>148</v>
      </c>
      <c r="B1064" s="366">
        <v>908</v>
      </c>
      <c r="C1064" s="368" t="s">
        <v>249</v>
      </c>
      <c r="D1064" s="368" t="s">
        <v>249</v>
      </c>
      <c r="E1064" s="368" t="s">
        <v>904</v>
      </c>
      <c r="F1064" s="368" t="s">
        <v>149</v>
      </c>
      <c r="G1064" s="374">
        <v>25</v>
      </c>
      <c r="H1064" s="27">
        <v>25</v>
      </c>
      <c r="I1064" s="27">
        <v>25</v>
      </c>
    </row>
    <row r="1065" spans="1:9" ht="15.75" x14ac:dyDescent="0.25">
      <c r="A1065" s="372" t="s">
        <v>150</v>
      </c>
      <c r="B1065" s="366">
        <v>908</v>
      </c>
      <c r="C1065" s="368" t="s">
        <v>249</v>
      </c>
      <c r="D1065" s="368" t="s">
        <v>249</v>
      </c>
      <c r="E1065" s="368" t="s">
        <v>904</v>
      </c>
      <c r="F1065" s="368" t="s">
        <v>160</v>
      </c>
      <c r="G1065" s="373">
        <f>G1066</f>
        <v>47</v>
      </c>
      <c r="H1065" s="26">
        <f t="shared" ref="H1065:I1065" si="484">H1066</f>
        <v>46.5</v>
      </c>
      <c r="I1065" s="26">
        <f t="shared" si="484"/>
        <v>46.5</v>
      </c>
    </row>
    <row r="1066" spans="1:9" ht="15.75" x14ac:dyDescent="0.25">
      <c r="A1066" s="372" t="s">
        <v>583</v>
      </c>
      <c r="B1066" s="366">
        <v>908</v>
      </c>
      <c r="C1066" s="368" t="s">
        <v>249</v>
      </c>
      <c r="D1066" s="368" t="s">
        <v>249</v>
      </c>
      <c r="E1066" s="368" t="s">
        <v>904</v>
      </c>
      <c r="F1066" s="368" t="s">
        <v>153</v>
      </c>
      <c r="G1066" s="373">
        <v>47</v>
      </c>
      <c r="H1066" s="26">
        <f t="shared" ref="H1066:I1066" si="485">65.3-18.8</f>
        <v>46.5</v>
      </c>
      <c r="I1066" s="26">
        <f t="shared" si="485"/>
        <v>46.5</v>
      </c>
    </row>
    <row r="1067" spans="1:9" s="222" customFormat="1" ht="31.5" x14ac:dyDescent="0.25">
      <c r="A1067" s="372" t="s">
        <v>883</v>
      </c>
      <c r="B1067" s="366">
        <v>908</v>
      </c>
      <c r="C1067" s="368" t="s">
        <v>249</v>
      </c>
      <c r="D1067" s="368" t="s">
        <v>249</v>
      </c>
      <c r="E1067" s="368" t="s">
        <v>906</v>
      </c>
      <c r="F1067" s="368"/>
      <c r="G1067" s="373">
        <f>G1068</f>
        <v>641</v>
      </c>
      <c r="H1067" s="26">
        <f t="shared" ref="H1067:I1068" si="486">H1068</f>
        <v>0</v>
      </c>
      <c r="I1067" s="26">
        <f t="shared" si="486"/>
        <v>0</v>
      </c>
    </row>
    <row r="1068" spans="1:9" s="222" customFormat="1" ht="63" x14ac:dyDescent="0.25">
      <c r="A1068" s="372" t="s">
        <v>142</v>
      </c>
      <c r="B1068" s="366">
        <v>908</v>
      </c>
      <c r="C1068" s="368" t="s">
        <v>249</v>
      </c>
      <c r="D1068" s="368" t="s">
        <v>249</v>
      </c>
      <c r="E1068" s="368" t="s">
        <v>906</v>
      </c>
      <c r="F1068" s="368" t="s">
        <v>143</v>
      </c>
      <c r="G1068" s="373">
        <f>G1069</f>
        <v>641</v>
      </c>
      <c r="H1068" s="26">
        <f t="shared" si="486"/>
        <v>0</v>
      </c>
      <c r="I1068" s="26">
        <f t="shared" si="486"/>
        <v>0</v>
      </c>
    </row>
    <row r="1069" spans="1:9" s="222" customFormat="1" ht="31.5" x14ac:dyDescent="0.25">
      <c r="A1069" s="372" t="s">
        <v>144</v>
      </c>
      <c r="B1069" s="366">
        <v>908</v>
      </c>
      <c r="C1069" s="368" t="s">
        <v>249</v>
      </c>
      <c r="D1069" s="368" t="s">
        <v>249</v>
      </c>
      <c r="E1069" s="368" t="s">
        <v>906</v>
      </c>
      <c r="F1069" s="368" t="s">
        <v>145</v>
      </c>
      <c r="G1069" s="373">
        <f>336+27+278</f>
        <v>641</v>
      </c>
      <c r="H1069" s="26"/>
      <c r="I1069" s="26"/>
    </row>
    <row r="1070" spans="1:9" ht="15.75" x14ac:dyDescent="0.25">
      <c r="A1070" s="370" t="s">
        <v>156</v>
      </c>
      <c r="B1070" s="367">
        <v>908</v>
      </c>
      <c r="C1070" s="371" t="s">
        <v>249</v>
      </c>
      <c r="D1070" s="371" t="s">
        <v>249</v>
      </c>
      <c r="E1070" s="371" t="s">
        <v>910</v>
      </c>
      <c r="F1070" s="371"/>
      <c r="G1070" s="369">
        <f>G1071+G1080</f>
        <v>11336.2</v>
      </c>
      <c r="H1070" s="21">
        <f t="shared" ref="H1070:I1070" si="487">H1071+H1080</f>
        <v>16030.099999999999</v>
      </c>
      <c r="I1070" s="21">
        <f t="shared" si="487"/>
        <v>16030.099999999999</v>
      </c>
    </row>
    <row r="1071" spans="1:9" s="222" customFormat="1" ht="31.5" x14ac:dyDescent="0.25">
      <c r="A1071" s="370" t="s">
        <v>914</v>
      </c>
      <c r="B1071" s="367">
        <v>908</v>
      </c>
      <c r="C1071" s="371" t="s">
        <v>249</v>
      </c>
      <c r="D1071" s="371" t="s">
        <v>249</v>
      </c>
      <c r="E1071" s="371" t="s">
        <v>909</v>
      </c>
      <c r="F1071" s="371"/>
      <c r="G1071" s="369">
        <f>G1072+G1077</f>
        <v>1462</v>
      </c>
      <c r="H1071" s="21">
        <f t="shared" ref="H1071:I1071" si="488">H1072+H1077</f>
        <v>6982.2</v>
      </c>
      <c r="I1071" s="21">
        <f t="shared" si="488"/>
        <v>6982.2</v>
      </c>
    </row>
    <row r="1072" spans="1:9" ht="31.5" x14ac:dyDescent="0.25">
      <c r="A1072" s="372" t="s">
        <v>585</v>
      </c>
      <c r="B1072" s="366">
        <v>908</v>
      </c>
      <c r="C1072" s="368" t="s">
        <v>249</v>
      </c>
      <c r="D1072" s="368" t="s">
        <v>249</v>
      </c>
      <c r="E1072" s="368" t="s">
        <v>1130</v>
      </c>
      <c r="F1072" s="368"/>
      <c r="G1072" s="374">
        <f>G1075+G1073</f>
        <v>1462</v>
      </c>
      <c r="H1072" s="27">
        <f>H1075</f>
        <v>982.2</v>
      </c>
      <c r="I1072" s="27">
        <f>I1075</f>
        <v>982.2</v>
      </c>
    </row>
    <row r="1073" spans="1:11" s="222" customFormat="1" ht="31.5" x14ac:dyDescent="0.25">
      <c r="A1073" s="372" t="s">
        <v>146</v>
      </c>
      <c r="B1073" s="366">
        <v>908</v>
      </c>
      <c r="C1073" s="368" t="s">
        <v>249</v>
      </c>
      <c r="D1073" s="368" t="s">
        <v>249</v>
      </c>
      <c r="E1073" s="368" t="s">
        <v>1130</v>
      </c>
      <c r="F1073" s="368" t="s">
        <v>147</v>
      </c>
      <c r="G1073" s="374">
        <f>G1074</f>
        <v>480</v>
      </c>
      <c r="H1073" s="27"/>
      <c r="I1073" s="27"/>
    </row>
    <row r="1074" spans="1:11" s="222" customFormat="1" ht="31.5" x14ac:dyDescent="0.25">
      <c r="A1074" s="372" t="s">
        <v>148</v>
      </c>
      <c r="B1074" s="366">
        <v>908</v>
      </c>
      <c r="C1074" s="368" t="s">
        <v>249</v>
      </c>
      <c r="D1074" s="368" t="s">
        <v>249</v>
      </c>
      <c r="E1074" s="368" t="s">
        <v>1130</v>
      </c>
      <c r="F1074" s="368" t="s">
        <v>149</v>
      </c>
      <c r="G1074" s="374">
        <v>480</v>
      </c>
      <c r="H1074" s="27"/>
      <c r="I1074" s="27"/>
    </row>
    <row r="1075" spans="1:11" ht="15.75" x14ac:dyDescent="0.25">
      <c r="A1075" s="372" t="s">
        <v>150</v>
      </c>
      <c r="B1075" s="366">
        <v>908</v>
      </c>
      <c r="C1075" s="368" t="s">
        <v>249</v>
      </c>
      <c r="D1075" s="368" t="s">
        <v>249</v>
      </c>
      <c r="E1075" s="368" t="s">
        <v>1130</v>
      </c>
      <c r="F1075" s="368" t="s">
        <v>160</v>
      </c>
      <c r="G1075" s="374">
        <f>G1076</f>
        <v>982</v>
      </c>
      <c r="H1075" s="27">
        <f t="shared" ref="H1075:I1075" si="489">H1076</f>
        <v>982.2</v>
      </c>
      <c r="I1075" s="27">
        <f t="shared" si="489"/>
        <v>982.2</v>
      </c>
    </row>
    <row r="1076" spans="1:11" ht="47.25" customHeight="1" x14ac:dyDescent="0.25">
      <c r="A1076" s="372" t="s">
        <v>199</v>
      </c>
      <c r="B1076" s="366">
        <v>908</v>
      </c>
      <c r="C1076" s="368" t="s">
        <v>249</v>
      </c>
      <c r="D1076" s="368" t="s">
        <v>249</v>
      </c>
      <c r="E1076" s="368" t="s">
        <v>1130</v>
      </c>
      <c r="F1076" s="368" t="s">
        <v>175</v>
      </c>
      <c r="G1076" s="374">
        <v>982</v>
      </c>
      <c r="H1076" s="27">
        <f t="shared" ref="H1076:I1076" si="490">982.2</f>
        <v>982.2</v>
      </c>
      <c r="I1076" s="27">
        <f t="shared" si="490"/>
        <v>982.2</v>
      </c>
    </row>
    <row r="1077" spans="1:11" s="222" customFormat="1" ht="37.5" hidden="1" customHeight="1" x14ac:dyDescent="0.25">
      <c r="A1077" s="372" t="s">
        <v>866</v>
      </c>
      <c r="B1077" s="366">
        <v>908</v>
      </c>
      <c r="C1077" s="368" t="s">
        <v>249</v>
      </c>
      <c r="D1077" s="368" t="s">
        <v>249</v>
      </c>
      <c r="E1077" s="368" t="s">
        <v>1251</v>
      </c>
      <c r="F1077" s="368"/>
      <c r="G1077" s="374">
        <f>G1078</f>
        <v>0</v>
      </c>
      <c r="H1077" s="27">
        <f t="shared" ref="H1077:I1078" si="491">H1078</f>
        <v>6000</v>
      </c>
      <c r="I1077" s="27">
        <f t="shared" si="491"/>
        <v>6000</v>
      </c>
    </row>
    <row r="1078" spans="1:11" s="222" customFormat="1" ht="21.75" hidden="1" customHeight="1" x14ac:dyDescent="0.25">
      <c r="A1078" s="372" t="s">
        <v>150</v>
      </c>
      <c r="B1078" s="366">
        <v>908</v>
      </c>
      <c r="C1078" s="368" t="s">
        <v>249</v>
      </c>
      <c r="D1078" s="368" t="s">
        <v>249</v>
      </c>
      <c r="E1078" s="368" t="s">
        <v>1251</v>
      </c>
      <c r="F1078" s="368" t="s">
        <v>160</v>
      </c>
      <c r="G1078" s="374">
        <f>G1079</f>
        <v>0</v>
      </c>
      <c r="H1078" s="27">
        <f t="shared" si="491"/>
        <v>6000</v>
      </c>
      <c r="I1078" s="27">
        <f t="shared" si="491"/>
        <v>6000</v>
      </c>
    </row>
    <row r="1079" spans="1:11" s="222" customFormat="1" ht="47.25" hidden="1" customHeight="1" x14ac:dyDescent="0.25">
      <c r="A1079" s="372" t="s">
        <v>199</v>
      </c>
      <c r="B1079" s="366">
        <v>908</v>
      </c>
      <c r="C1079" s="368" t="s">
        <v>249</v>
      </c>
      <c r="D1079" s="368" t="s">
        <v>249</v>
      </c>
      <c r="E1079" s="368" t="s">
        <v>1251</v>
      </c>
      <c r="F1079" s="368" t="s">
        <v>175</v>
      </c>
      <c r="G1079" s="374">
        <v>0</v>
      </c>
      <c r="H1079" s="27">
        <v>6000</v>
      </c>
      <c r="I1079" s="27">
        <v>6000</v>
      </c>
    </row>
    <row r="1080" spans="1:11" s="222" customFormat="1" ht="36.75" customHeight="1" x14ac:dyDescent="0.25">
      <c r="A1080" s="370" t="s">
        <v>1000</v>
      </c>
      <c r="B1080" s="367">
        <v>908</v>
      </c>
      <c r="C1080" s="371" t="s">
        <v>249</v>
      </c>
      <c r="D1080" s="371" t="s">
        <v>249</v>
      </c>
      <c r="E1080" s="371" t="s">
        <v>985</v>
      </c>
      <c r="F1080" s="371"/>
      <c r="G1080" s="44">
        <f>G1081+G1086</f>
        <v>9874.2000000000007</v>
      </c>
      <c r="H1080" s="44">
        <f t="shared" ref="H1080:I1080" si="492">H1081+H1086</f>
        <v>9047.9</v>
      </c>
      <c r="I1080" s="44">
        <f t="shared" si="492"/>
        <v>9047.9</v>
      </c>
    </row>
    <row r="1081" spans="1:11" ht="31.5" x14ac:dyDescent="0.25">
      <c r="A1081" s="372" t="s">
        <v>972</v>
      </c>
      <c r="B1081" s="366">
        <v>908</v>
      </c>
      <c r="C1081" s="368" t="s">
        <v>249</v>
      </c>
      <c r="D1081" s="368" t="s">
        <v>249</v>
      </c>
      <c r="E1081" s="368" t="s">
        <v>986</v>
      </c>
      <c r="F1081" s="368"/>
      <c r="G1081" s="373">
        <f>G1082+G1084</f>
        <v>9748.2000000000007</v>
      </c>
      <c r="H1081" s="26">
        <f t="shared" ref="H1081:I1081" si="493">H1082+H1084</f>
        <v>9047.9</v>
      </c>
      <c r="I1081" s="26">
        <f t="shared" si="493"/>
        <v>9047.9</v>
      </c>
    </row>
    <row r="1082" spans="1:11" ht="69.75" customHeight="1" x14ac:dyDescent="0.25">
      <c r="A1082" s="372" t="s">
        <v>142</v>
      </c>
      <c r="B1082" s="366">
        <v>908</v>
      </c>
      <c r="C1082" s="368" t="s">
        <v>249</v>
      </c>
      <c r="D1082" s="368" t="s">
        <v>249</v>
      </c>
      <c r="E1082" s="368" t="s">
        <v>986</v>
      </c>
      <c r="F1082" s="368" t="s">
        <v>143</v>
      </c>
      <c r="G1082" s="373">
        <f>G1083</f>
        <v>8005.3</v>
      </c>
      <c r="H1082" s="26">
        <f t="shared" ref="H1082:I1082" si="494">H1083</f>
        <v>7255.7</v>
      </c>
      <c r="I1082" s="26">
        <f t="shared" si="494"/>
        <v>7255.7</v>
      </c>
    </row>
    <row r="1083" spans="1:11" ht="29.25" customHeight="1" x14ac:dyDescent="0.25">
      <c r="A1083" s="372" t="s">
        <v>357</v>
      </c>
      <c r="B1083" s="366">
        <v>908</v>
      </c>
      <c r="C1083" s="368" t="s">
        <v>249</v>
      </c>
      <c r="D1083" s="368" t="s">
        <v>249</v>
      </c>
      <c r="E1083" s="368" t="s">
        <v>986</v>
      </c>
      <c r="F1083" s="368" t="s">
        <v>224</v>
      </c>
      <c r="G1083" s="374">
        <f>8047+115.5+13.1-162.5-7.8</f>
        <v>8005.3</v>
      </c>
      <c r="H1083" s="27">
        <v>7255.7</v>
      </c>
      <c r="I1083" s="27">
        <v>7255.7</v>
      </c>
      <c r="K1083" s="381"/>
    </row>
    <row r="1084" spans="1:11" ht="31.5" x14ac:dyDescent="0.25">
      <c r="A1084" s="372" t="s">
        <v>146</v>
      </c>
      <c r="B1084" s="366">
        <v>908</v>
      </c>
      <c r="C1084" s="368" t="s">
        <v>249</v>
      </c>
      <c r="D1084" s="368" t="s">
        <v>249</v>
      </c>
      <c r="E1084" s="368" t="s">
        <v>986</v>
      </c>
      <c r="F1084" s="368" t="s">
        <v>147</v>
      </c>
      <c r="G1084" s="373">
        <f>G1085</f>
        <v>1742.9</v>
      </c>
      <c r="H1084" s="26">
        <f t="shared" ref="H1084:I1084" si="495">H1085</f>
        <v>1792.2</v>
      </c>
      <c r="I1084" s="26">
        <f t="shared" si="495"/>
        <v>1792.2</v>
      </c>
    </row>
    <row r="1085" spans="1:11" ht="31.5" x14ac:dyDescent="0.25">
      <c r="A1085" s="372" t="s">
        <v>148</v>
      </c>
      <c r="B1085" s="366">
        <v>908</v>
      </c>
      <c r="C1085" s="368" t="s">
        <v>249</v>
      </c>
      <c r="D1085" s="368" t="s">
        <v>249</v>
      </c>
      <c r="E1085" s="368" t="s">
        <v>986</v>
      </c>
      <c r="F1085" s="368" t="s">
        <v>149</v>
      </c>
      <c r="G1085" s="374">
        <f>1312+280.9+150</f>
        <v>1742.9</v>
      </c>
      <c r="H1085" s="27">
        <f t="shared" ref="H1085:I1085" si="496">3670-1877.8</f>
        <v>1792.2</v>
      </c>
      <c r="I1085" s="27">
        <f t="shared" si="496"/>
        <v>1792.2</v>
      </c>
    </row>
    <row r="1086" spans="1:11" s="222" customFormat="1" ht="31.5" x14ac:dyDescent="0.25">
      <c r="A1086" s="372" t="s">
        <v>883</v>
      </c>
      <c r="B1086" s="366">
        <v>908</v>
      </c>
      <c r="C1086" s="368" t="s">
        <v>249</v>
      </c>
      <c r="D1086" s="368" t="s">
        <v>249</v>
      </c>
      <c r="E1086" s="368" t="s">
        <v>987</v>
      </c>
      <c r="F1086" s="368"/>
      <c r="G1086" s="373">
        <f>G1087</f>
        <v>126</v>
      </c>
      <c r="H1086" s="26">
        <f t="shared" ref="H1086:I1087" si="497">H1087</f>
        <v>0</v>
      </c>
      <c r="I1086" s="26">
        <f t="shared" si="497"/>
        <v>0</v>
      </c>
    </row>
    <row r="1087" spans="1:11" s="222" customFormat="1" ht="63" x14ac:dyDescent="0.25">
      <c r="A1087" s="372" t="s">
        <v>142</v>
      </c>
      <c r="B1087" s="366">
        <v>908</v>
      </c>
      <c r="C1087" s="368" t="s">
        <v>249</v>
      </c>
      <c r="D1087" s="368" t="s">
        <v>249</v>
      </c>
      <c r="E1087" s="368" t="s">
        <v>987</v>
      </c>
      <c r="F1087" s="368" t="s">
        <v>143</v>
      </c>
      <c r="G1087" s="373">
        <f>G1088</f>
        <v>126</v>
      </c>
      <c r="H1087" s="26">
        <f t="shared" si="497"/>
        <v>0</v>
      </c>
      <c r="I1087" s="26">
        <f t="shared" si="497"/>
        <v>0</v>
      </c>
    </row>
    <row r="1088" spans="1:11" s="222" customFormat="1" ht="15.75" x14ac:dyDescent="0.25">
      <c r="A1088" s="372" t="s">
        <v>357</v>
      </c>
      <c r="B1088" s="366">
        <v>908</v>
      </c>
      <c r="C1088" s="368" t="s">
        <v>249</v>
      </c>
      <c r="D1088" s="368" t="s">
        <v>249</v>
      </c>
      <c r="E1088" s="368" t="s">
        <v>987</v>
      </c>
      <c r="F1088" s="368" t="s">
        <v>224</v>
      </c>
      <c r="G1088" s="373">
        <f>420-13.1-280.9</f>
        <v>126</v>
      </c>
      <c r="H1088" s="26"/>
      <c r="I1088" s="26"/>
    </row>
    <row r="1089" spans="1:9" s="222" customFormat="1" ht="47.25" x14ac:dyDescent="0.25">
      <c r="A1089" s="34" t="s">
        <v>803</v>
      </c>
      <c r="B1089" s="367">
        <v>908</v>
      </c>
      <c r="C1089" s="371" t="s">
        <v>249</v>
      </c>
      <c r="D1089" s="371" t="s">
        <v>249</v>
      </c>
      <c r="E1089" s="371" t="s">
        <v>339</v>
      </c>
      <c r="F1089" s="371"/>
      <c r="G1089" s="369">
        <f>G1090</f>
        <v>57</v>
      </c>
      <c r="H1089" s="26"/>
      <c r="I1089" s="26"/>
    </row>
    <row r="1090" spans="1:9" s="222" customFormat="1" ht="47.25" x14ac:dyDescent="0.25">
      <c r="A1090" s="34" t="s">
        <v>1160</v>
      </c>
      <c r="B1090" s="367">
        <v>908</v>
      </c>
      <c r="C1090" s="371" t="s">
        <v>249</v>
      </c>
      <c r="D1090" s="371" t="s">
        <v>249</v>
      </c>
      <c r="E1090" s="371" t="s">
        <v>1023</v>
      </c>
      <c r="F1090" s="371"/>
      <c r="G1090" s="369">
        <f>G1091</f>
        <v>57</v>
      </c>
      <c r="H1090" s="26"/>
      <c r="I1090" s="26"/>
    </row>
    <row r="1091" spans="1:9" s="222" customFormat="1" ht="47.25" x14ac:dyDescent="0.25">
      <c r="A1091" s="31" t="s">
        <v>1273</v>
      </c>
      <c r="B1091" s="366">
        <v>908</v>
      </c>
      <c r="C1091" s="368" t="s">
        <v>249</v>
      </c>
      <c r="D1091" s="368" t="s">
        <v>249</v>
      </c>
      <c r="E1091" s="368" t="s">
        <v>1190</v>
      </c>
      <c r="F1091" s="368"/>
      <c r="G1091" s="373">
        <f>G1092</f>
        <v>57</v>
      </c>
      <c r="H1091" s="26"/>
      <c r="I1091" s="26"/>
    </row>
    <row r="1092" spans="1:9" s="222" customFormat="1" ht="31.5" x14ac:dyDescent="0.25">
      <c r="A1092" s="372" t="s">
        <v>146</v>
      </c>
      <c r="B1092" s="366">
        <v>908</v>
      </c>
      <c r="C1092" s="368" t="s">
        <v>249</v>
      </c>
      <c r="D1092" s="368" t="s">
        <v>249</v>
      </c>
      <c r="E1092" s="368" t="s">
        <v>1190</v>
      </c>
      <c r="F1092" s="368" t="s">
        <v>147</v>
      </c>
      <c r="G1092" s="373">
        <f>G1093</f>
        <v>57</v>
      </c>
      <c r="H1092" s="26"/>
      <c r="I1092" s="26"/>
    </row>
    <row r="1093" spans="1:9" s="222" customFormat="1" ht="31.5" x14ac:dyDescent="0.25">
      <c r="A1093" s="372" t="s">
        <v>148</v>
      </c>
      <c r="B1093" s="366">
        <v>908</v>
      </c>
      <c r="C1093" s="368" t="s">
        <v>249</v>
      </c>
      <c r="D1093" s="368" t="s">
        <v>249</v>
      </c>
      <c r="E1093" s="368" t="s">
        <v>1190</v>
      </c>
      <c r="F1093" s="368" t="s">
        <v>149</v>
      </c>
      <c r="G1093" s="373">
        <v>57</v>
      </c>
      <c r="H1093" s="26"/>
      <c r="I1093" s="26"/>
    </row>
    <row r="1094" spans="1:9" ht="15.75" x14ac:dyDescent="0.25">
      <c r="A1094" s="370" t="s">
        <v>258</v>
      </c>
      <c r="B1094" s="367">
        <v>908</v>
      </c>
      <c r="C1094" s="371" t="s">
        <v>259</v>
      </c>
      <c r="D1094" s="371"/>
      <c r="E1094" s="371"/>
      <c r="F1094" s="371"/>
      <c r="G1094" s="369">
        <f t="shared" ref="G1094:I1096" si="498">G1095</f>
        <v>114.6</v>
      </c>
      <c r="H1094" s="21">
        <f t="shared" si="498"/>
        <v>87.1</v>
      </c>
      <c r="I1094" s="21">
        <f t="shared" si="498"/>
        <v>87.1</v>
      </c>
    </row>
    <row r="1095" spans="1:9" ht="15.75" x14ac:dyDescent="0.25">
      <c r="A1095" s="370" t="s">
        <v>273</v>
      </c>
      <c r="B1095" s="367">
        <v>908</v>
      </c>
      <c r="C1095" s="371" t="s">
        <v>259</v>
      </c>
      <c r="D1095" s="371" t="s">
        <v>135</v>
      </c>
      <c r="E1095" s="371"/>
      <c r="F1095" s="371"/>
      <c r="G1095" s="369">
        <f t="shared" si="498"/>
        <v>114.6</v>
      </c>
      <c r="H1095" s="21">
        <f t="shared" si="498"/>
        <v>87.1</v>
      </c>
      <c r="I1095" s="21">
        <f t="shared" si="498"/>
        <v>87.1</v>
      </c>
    </row>
    <row r="1096" spans="1:9" ht="15.75" x14ac:dyDescent="0.25">
      <c r="A1096" s="370" t="s">
        <v>156</v>
      </c>
      <c r="B1096" s="367">
        <v>908</v>
      </c>
      <c r="C1096" s="371" t="s">
        <v>259</v>
      </c>
      <c r="D1096" s="371" t="s">
        <v>135</v>
      </c>
      <c r="E1096" s="371" t="s">
        <v>910</v>
      </c>
      <c r="F1096" s="371"/>
      <c r="G1096" s="369">
        <f>G1097</f>
        <v>114.6</v>
      </c>
      <c r="H1096" s="21">
        <f t="shared" si="498"/>
        <v>87.1</v>
      </c>
      <c r="I1096" s="21">
        <f t="shared" si="498"/>
        <v>87.1</v>
      </c>
    </row>
    <row r="1097" spans="1:9" ht="15.75" hidden="1" x14ac:dyDescent="0.25">
      <c r="A1097" s="370" t="s">
        <v>156</v>
      </c>
      <c r="B1097" s="367">
        <v>908</v>
      </c>
      <c r="C1097" s="371" t="s">
        <v>259</v>
      </c>
      <c r="D1097" s="371" t="s">
        <v>135</v>
      </c>
      <c r="E1097" s="371" t="s">
        <v>909</v>
      </c>
      <c r="F1097" s="371"/>
      <c r="G1097" s="369">
        <f>G1098</f>
        <v>114.6</v>
      </c>
      <c r="H1097" s="21">
        <f t="shared" ref="H1097:I1097" si="499">H1098</f>
        <v>87.1</v>
      </c>
      <c r="I1097" s="21">
        <f t="shared" si="499"/>
        <v>87.1</v>
      </c>
    </row>
    <row r="1098" spans="1:9" ht="31.5" x14ac:dyDescent="0.25">
      <c r="A1098" s="370" t="s">
        <v>914</v>
      </c>
      <c r="B1098" s="367">
        <v>908</v>
      </c>
      <c r="C1098" s="371" t="s">
        <v>259</v>
      </c>
      <c r="D1098" s="371" t="s">
        <v>135</v>
      </c>
      <c r="E1098" s="371" t="s">
        <v>909</v>
      </c>
      <c r="F1098" s="371"/>
      <c r="G1098" s="369">
        <f>G1099</f>
        <v>114.6</v>
      </c>
      <c r="H1098" s="21">
        <f t="shared" ref="H1098:I1100" si="500">H1099</f>
        <v>87.1</v>
      </c>
      <c r="I1098" s="21">
        <f t="shared" si="500"/>
        <v>87.1</v>
      </c>
    </row>
    <row r="1099" spans="1:9" ht="15.75" x14ac:dyDescent="0.25">
      <c r="A1099" s="372" t="s">
        <v>587</v>
      </c>
      <c r="B1099" s="366">
        <v>908</v>
      </c>
      <c r="C1099" s="368" t="s">
        <v>259</v>
      </c>
      <c r="D1099" s="368" t="s">
        <v>135</v>
      </c>
      <c r="E1099" s="368" t="s">
        <v>1131</v>
      </c>
      <c r="F1099" s="368"/>
      <c r="G1099" s="373">
        <f>G1100</f>
        <v>114.6</v>
      </c>
      <c r="H1099" s="26">
        <f t="shared" si="500"/>
        <v>87.1</v>
      </c>
      <c r="I1099" s="26">
        <f t="shared" si="500"/>
        <v>87.1</v>
      </c>
    </row>
    <row r="1100" spans="1:9" ht="31.5" x14ac:dyDescent="0.25">
      <c r="A1100" s="372" t="s">
        <v>146</v>
      </c>
      <c r="B1100" s="366">
        <v>908</v>
      </c>
      <c r="C1100" s="368" t="s">
        <v>259</v>
      </c>
      <c r="D1100" s="368" t="s">
        <v>135</v>
      </c>
      <c r="E1100" s="368" t="s">
        <v>1131</v>
      </c>
      <c r="F1100" s="368" t="s">
        <v>147</v>
      </c>
      <c r="G1100" s="373">
        <f>G1101</f>
        <v>114.6</v>
      </c>
      <c r="H1100" s="26">
        <f t="shared" si="500"/>
        <v>87.1</v>
      </c>
      <c r="I1100" s="26">
        <f t="shared" si="500"/>
        <v>87.1</v>
      </c>
    </row>
    <row r="1101" spans="1:9" ht="31.5" x14ac:dyDescent="0.25">
      <c r="A1101" s="372" t="s">
        <v>148</v>
      </c>
      <c r="B1101" s="366">
        <v>908</v>
      </c>
      <c r="C1101" s="368" t="s">
        <v>259</v>
      </c>
      <c r="D1101" s="368" t="s">
        <v>135</v>
      </c>
      <c r="E1101" s="368" t="s">
        <v>1131</v>
      </c>
      <c r="F1101" s="368" t="s">
        <v>149</v>
      </c>
      <c r="G1101" s="373">
        <f>87+27.6</f>
        <v>114.6</v>
      </c>
      <c r="H1101" s="26">
        <v>87.1</v>
      </c>
      <c r="I1101" s="26">
        <v>87.1</v>
      </c>
    </row>
    <row r="1102" spans="1:9" ht="33" customHeight="1" x14ac:dyDescent="0.25">
      <c r="A1102" s="367" t="s">
        <v>589</v>
      </c>
      <c r="B1102" s="367">
        <v>910</v>
      </c>
      <c r="C1102" s="47"/>
      <c r="D1102" s="47"/>
      <c r="E1102" s="47"/>
      <c r="F1102" s="47"/>
      <c r="G1102" s="369">
        <f>G1103</f>
        <v>7230.7999999999993</v>
      </c>
      <c r="H1102" s="21">
        <f t="shared" ref="H1102:I1102" si="501">H1103</f>
        <v>8523.7000000000007</v>
      </c>
      <c r="I1102" s="21">
        <f t="shared" si="501"/>
        <v>8523.7000000000007</v>
      </c>
    </row>
    <row r="1103" spans="1:9" ht="15.75" x14ac:dyDescent="0.25">
      <c r="A1103" s="370" t="s">
        <v>132</v>
      </c>
      <c r="B1103" s="367">
        <v>910</v>
      </c>
      <c r="C1103" s="371" t="s">
        <v>133</v>
      </c>
      <c r="D1103" s="371"/>
      <c r="E1103" s="371"/>
      <c r="F1103" s="371"/>
      <c r="G1103" s="369">
        <f>G1104+G1123+G1134</f>
        <v>7230.7999999999993</v>
      </c>
      <c r="H1103" s="21">
        <f>H1104+H1123+H1134</f>
        <v>8523.7000000000007</v>
      </c>
      <c r="I1103" s="21">
        <f>I1104+I1123+I1134</f>
        <v>8523.7000000000007</v>
      </c>
    </row>
    <row r="1104" spans="1:9" ht="36" customHeight="1" x14ac:dyDescent="0.25">
      <c r="A1104" s="370" t="s">
        <v>590</v>
      </c>
      <c r="B1104" s="367">
        <v>910</v>
      </c>
      <c r="C1104" s="371" t="s">
        <v>133</v>
      </c>
      <c r="D1104" s="371" t="s">
        <v>228</v>
      </c>
      <c r="E1104" s="371"/>
      <c r="F1104" s="371"/>
      <c r="G1104" s="369">
        <f>G1105+G1115</f>
        <v>4354.7</v>
      </c>
      <c r="H1104" s="21">
        <f t="shared" ref="H1104:I1104" si="502">H1105+H1115</f>
        <v>4356.3</v>
      </c>
      <c r="I1104" s="21">
        <f t="shared" si="502"/>
        <v>4356.3</v>
      </c>
    </row>
    <row r="1105" spans="1:9" ht="31.5" x14ac:dyDescent="0.25">
      <c r="A1105" s="370" t="s">
        <v>988</v>
      </c>
      <c r="B1105" s="367">
        <v>910</v>
      </c>
      <c r="C1105" s="371" t="s">
        <v>133</v>
      </c>
      <c r="D1105" s="371" t="s">
        <v>228</v>
      </c>
      <c r="E1105" s="371" t="s">
        <v>902</v>
      </c>
      <c r="F1105" s="371"/>
      <c r="G1105" s="369">
        <f>G1106</f>
        <v>4328.7</v>
      </c>
      <c r="H1105" s="21">
        <f t="shared" ref="H1105:I1105" si="503">H1106</f>
        <v>4330.8</v>
      </c>
      <c r="I1105" s="21">
        <f t="shared" si="503"/>
        <v>4330.8</v>
      </c>
    </row>
    <row r="1106" spans="1:9" ht="15.75" x14ac:dyDescent="0.25">
      <c r="A1106" s="370" t="s">
        <v>1132</v>
      </c>
      <c r="B1106" s="367">
        <v>910</v>
      </c>
      <c r="C1106" s="371" t="s">
        <v>133</v>
      </c>
      <c r="D1106" s="371" t="s">
        <v>228</v>
      </c>
      <c r="E1106" s="371" t="s">
        <v>1133</v>
      </c>
      <c r="F1106" s="371"/>
      <c r="G1106" s="369">
        <f>G1107+G1112</f>
        <v>4328.7</v>
      </c>
      <c r="H1106" s="21">
        <f t="shared" ref="H1106:I1106" si="504">H1107+H1112</f>
        <v>4330.8</v>
      </c>
      <c r="I1106" s="21">
        <f t="shared" si="504"/>
        <v>4330.8</v>
      </c>
    </row>
    <row r="1107" spans="1:9" ht="31.5" x14ac:dyDescent="0.25">
      <c r="A1107" s="372" t="s">
        <v>591</v>
      </c>
      <c r="B1107" s="366">
        <v>910</v>
      </c>
      <c r="C1107" s="368" t="s">
        <v>133</v>
      </c>
      <c r="D1107" s="368" t="s">
        <v>228</v>
      </c>
      <c r="E1107" s="368" t="s">
        <v>1134</v>
      </c>
      <c r="F1107" s="368"/>
      <c r="G1107" s="373">
        <f>G1108+G1110</f>
        <v>4328.7</v>
      </c>
      <c r="H1107" s="26">
        <f t="shared" ref="H1107:I1107" si="505">H1108+H1110</f>
        <v>4330.8</v>
      </c>
      <c r="I1107" s="26">
        <f t="shared" si="505"/>
        <v>4330.8</v>
      </c>
    </row>
    <row r="1108" spans="1:9" ht="63" x14ac:dyDescent="0.25">
      <c r="A1108" s="372" t="s">
        <v>142</v>
      </c>
      <c r="B1108" s="366">
        <v>910</v>
      </c>
      <c r="C1108" s="368" t="s">
        <v>133</v>
      </c>
      <c r="D1108" s="368" t="s">
        <v>228</v>
      </c>
      <c r="E1108" s="368" t="s">
        <v>1134</v>
      </c>
      <c r="F1108" s="368" t="s">
        <v>143</v>
      </c>
      <c r="G1108" s="373">
        <f>G1109</f>
        <v>4238.7</v>
      </c>
      <c r="H1108" s="26">
        <f t="shared" ref="H1108:I1108" si="506">H1109</f>
        <v>4309.8</v>
      </c>
      <c r="I1108" s="26">
        <f t="shared" si="506"/>
        <v>4309.8</v>
      </c>
    </row>
    <row r="1109" spans="1:9" ht="31.5" x14ac:dyDescent="0.25">
      <c r="A1109" s="372" t="s">
        <v>144</v>
      </c>
      <c r="B1109" s="366">
        <v>910</v>
      </c>
      <c r="C1109" s="368" t="s">
        <v>133</v>
      </c>
      <c r="D1109" s="368" t="s">
        <v>228</v>
      </c>
      <c r="E1109" s="368" t="s">
        <v>1134</v>
      </c>
      <c r="F1109" s="368" t="s">
        <v>145</v>
      </c>
      <c r="G1109" s="374">
        <f>4111+42+85.7</f>
        <v>4238.7</v>
      </c>
      <c r="H1109" s="27">
        <f t="shared" ref="H1109:I1109" si="507">4581.8-522.1+250.1</f>
        <v>4309.8</v>
      </c>
      <c r="I1109" s="27">
        <f t="shared" si="507"/>
        <v>4309.8</v>
      </c>
    </row>
    <row r="1110" spans="1:9" ht="34.5" customHeight="1" x14ac:dyDescent="0.25">
      <c r="A1110" s="372" t="s">
        <v>213</v>
      </c>
      <c r="B1110" s="366">
        <v>910</v>
      </c>
      <c r="C1110" s="368" t="s">
        <v>133</v>
      </c>
      <c r="D1110" s="368" t="s">
        <v>228</v>
      </c>
      <c r="E1110" s="368" t="s">
        <v>1134</v>
      </c>
      <c r="F1110" s="368" t="s">
        <v>147</v>
      </c>
      <c r="G1110" s="373">
        <f>G1111</f>
        <v>90</v>
      </c>
      <c r="H1110" s="26">
        <f t="shared" ref="H1110:I1110" si="508">H1111</f>
        <v>21</v>
      </c>
      <c r="I1110" s="26">
        <f t="shared" si="508"/>
        <v>21</v>
      </c>
    </row>
    <row r="1111" spans="1:9" ht="30.2" customHeight="1" x14ac:dyDescent="0.25">
      <c r="A1111" s="372" t="s">
        <v>148</v>
      </c>
      <c r="B1111" s="366">
        <v>910</v>
      </c>
      <c r="C1111" s="368" t="s">
        <v>133</v>
      </c>
      <c r="D1111" s="368" t="s">
        <v>228</v>
      </c>
      <c r="E1111" s="368" t="s">
        <v>1134</v>
      </c>
      <c r="F1111" s="368" t="s">
        <v>149</v>
      </c>
      <c r="G1111" s="373">
        <f>21+69</f>
        <v>90</v>
      </c>
      <c r="H1111" s="26">
        <v>21</v>
      </c>
      <c r="I1111" s="26">
        <v>21</v>
      </c>
    </row>
    <row r="1112" spans="1:9" s="222" customFormat="1" ht="30.2" hidden="1" customHeight="1" x14ac:dyDescent="0.25">
      <c r="A1112" s="372" t="s">
        <v>883</v>
      </c>
      <c r="B1112" s="366">
        <v>910</v>
      </c>
      <c r="C1112" s="368" t="s">
        <v>133</v>
      </c>
      <c r="D1112" s="368" t="s">
        <v>228</v>
      </c>
      <c r="E1112" s="368" t="s">
        <v>1135</v>
      </c>
      <c r="F1112" s="368"/>
      <c r="G1112" s="373">
        <f>G1113</f>
        <v>0</v>
      </c>
      <c r="H1112" s="26">
        <f t="shared" ref="H1112:I1113" si="509">H1113</f>
        <v>0</v>
      </c>
      <c r="I1112" s="26">
        <f t="shared" si="509"/>
        <v>0</v>
      </c>
    </row>
    <row r="1113" spans="1:9" s="222" customFormat="1" ht="30.2" hidden="1" customHeight="1" x14ac:dyDescent="0.25">
      <c r="A1113" s="372" t="s">
        <v>142</v>
      </c>
      <c r="B1113" s="366">
        <v>910</v>
      </c>
      <c r="C1113" s="368" t="s">
        <v>133</v>
      </c>
      <c r="D1113" s="368" t="s">
        <v>228</v>
      </c>
      <c r="E1113" s="368" t="s">
        <v>1135</v>
      </c>
      <c r="F1113" s="368" t="s">
        <v>143</v>
      </c>
      <c r="G1113" s="373">
        <f>G1114</f>
        <v>0</v>
      </c>
      <c r="H1113" s="26">
        <f t="shared" si="509"/>
        <v>0</v>
      </c>
      <c r="I1113" s="26">
        <f t="shared" si="509"/>
        <v>0</v>
      </c>
    </row>
    <row r="1114" spans="1:9" s="222" customFormat="1" ht="30.2" hidden="1" customHeight="1" x14ac:dyDescent="0.25">
      <c r="A1114" s="372" t="s">
        <v>144</v>
      </c>
      <c r="B1114" s="366">
        <v>910</v>
      </c>
      <c r="C1114" s="368" t="s">
        <v>133</v>
      </c>
      <c r="D1114" s="368" t="s">
        <v>228</v>
      </c>
      <c r="E1114" s="368" t="s">
        <v>1135</v>
      </c>
      <c r="F1114" s="368" t="s">
        <v>145</v>
      </c>
      <c r="G1114" s="373">
        <f>42-42</f>
        <v>0</v>
      </c>
      <c r="H1114" s="26"/>
      <c r="I1114" s="26"/>
    </row>
    <row r="1115" spans="1:9" s="222" customFormat="1" ht="30.2" customHeight="1" x14ac:dyDescent="0.25">
      <c r="A1115" s="370" t="s">
        <v>1141</v>
      </c>
      <c r="B1115" s="367">
        <v>910</v>
      </c>
      <c r="C1115" s="371" t="s">
        <v>133</v>
      </c>
      <c r="D1115" s="371" t="s">
        <v>228</v>
      </c>
      <c r="E1115" s="371" t="s">
        <v>177</v>
      </c>
      <c r="F1115" s="371"/>
      <c r="G1115" s="369">
        <f>G1116</f>
        <v>26</v>
      </c>
      <c r="H1115" s="21">
        <f t="shared" ref="H1115:I1115" si="510">H1116</f>
        <v>25.5</v>
      </c>
      <c r="I1115" s="21">
        <f t="shared" si="510"/>
        <v>25.5</v>
      </c>
    </row>
    <row r="1116" spans="1:9" s="222" customFormat="1" ht="62.45" customHeight="1" x14ac:dyDescent="0.25">
      <c r="A1116" s="247" t="s">
        <v>887</v>
      </c>
      <c r="B1116" s="367">
        <v>910</v>
      </c>
      <c r="C1116" s="371" t="s">
        <v>133</v>
      </c>
      <c r="D1116" s="371" t="s">
        <v>228</v>
      </c>
      <c r="E1116" s="371" t="s">
        <v>894</v>
      </c>
      <c r="F1116" s="371"/>
      <c r="G1116" s="369">
        <f>G1117+G1120</f>
        <v>26</v>
      </c>
      <c r="H1116" s="21">
        <f t="shared" ref="H1116:I1116" si="511">H1117+H1120</f>
        <v>25.5</v>
      </c>
      <c r="I1116" s="21">
        <f t="shared" si="511"/>
        <v>25.5</v>
      </c>
    </row>
    <row r="1117" spans="1:9" s="222" customFormat="1" ht="37.5" customHeight="1" x14ac:dyDescent="0.25">
      <c r="A1117" s="31" t="s">
        <v>1299</v>
      </c>
      <c r="B1117" s="366">
        <v>910</v>
      </c>
      <c r="C1117" s="368" t="s">
        <v>133</v>
      </c>
      <c r="D1117" s="368" t="s">
        <v>228</v>
      </c>
      <c r="E1117" s="376" t="s">
        <v>1140</v>
      </c>
      <c r="F1117" s="368"/>
      <c r="G1117" s="373">
        <f>G1118</f>
        <v>1</v>
      </c>
      <c r="H1117" s="26">
        <f t="shared" ref="H1117:I1118" si="512">H1118</f>
        <v>0.5</v>
      </c>
      <c r="I1117" s="26">
        <f t="shared" si="512"/>
        <v>0.5</v>
      </c>
    </row>
    <row r="1118" spans="1:9" s="222" customFormat="1" ht="30.2" customHeight="1" x14ac:dyDescent="0.25">
      <c r="A1118" s="372" t="s">
        <v>146</v>
      </c>
      <c r="B1118" s="366">
        <v>910</v>
      </c>
      <c r="C1118" s="368" t="s">
        <v>133</v>
      </c>
      <c r="D1118" s="368" t="s">
        <v>228</v>
      </c>
      <c r="E1118" s="376" t="s">
        <v>1140</v>
      </c>
      <c r="F1118" s="368" t="s">
        <v>147</v>
      </c>
      <c r="G1118" s="373">
        <f>G1119</f>
        <v>1</v>
      </c>
      <c r="H1118" s="26">
        <f t="shared" si="512"/>
        <v>0.5</v>
      </c>
      <c r="I1118" s="26">
        <f t="shared" si="512"/>
        <v>0.5</v>
      </c>
    </row>
    <row r="1119" spans="1:9" s="222" customFormat="1" ht="30.2" customHeight="1" x14ac:dyDescent="0.25">
      <c r="A1119" s="372" t="s">
        <v>148</v>
      </c>
      <c r="B1119" s="366">
        <v>910</v>
      </c>
      <c r="C1119" s="368" t="s">
        <v>133</v>
      </c>
      <c r="D1119" s="368" t="s">
        <v>228</v>
      </c>
      <c r="E1119" s="376" t="s">
        <v>711</v>
      </c>
      <c r="F1119" s="368" t="s">
        <v>149</v>
      </c>
      <c r="G1119" s="373">
        <f>0.5+0.5</f>
        <v>1</v>
      </c>
      <c r="H1119" s="26">
        <v>0.5</v>
      </c>
      <c r="I1119" s="26">
        <v>0.5</v>
      </c>
    </row>
    <row r="1120" spans="1:9" s="222" customFormat="1" ht="50.25" customHeight="1" x14ac:dyDescent="0.25">
      <c r="A1120" s="31" t="s">
        <v>710</v>
      </c>
      <c r="B1120" s="366">
        <v>910</v>
      </c>
      <c r="C1120" s="368" t="s">
        <v>133</v>
      </c>
      <c r="D1120" s="368" t="s">
        <v>228</v>
      </c>
      <c r="E1120" s="368" t="s">
        <v>1139</v>
      </c>
      <c r="F1120" s="368"/>
      <c r="G1120" s="373">
        <f>G1121</f>
        <v>25</v>
      </c>
      <c r="H1120" s="26">
        <f t="shared" ref="H1120:I1121" si="513">H1121</f>
        <v>25</v>
      </c>
      <c r="I1120" s="26">
        <f t="shared" si="513"/>
        <v>25</v>
      </c>
    </row>
    <row r="1121" spans="1:9" s="222" customFormat="1" ht="30.2" customHeight="1" x14ac:dyDescent="0.25">
      <c r="A1121" s="372" t="s">
        <v>146</v>
      </c>
      <c r="B1121" s="366">
        <v>910</v>
      </c>
      <c r="C1121" s="368" t="s">
        <v>133</v>
      </c>
      <c r="D1121" s="368" t="s">
        <v>228</v>
      </c>
      <c r="E1121" s="368" t="s">
        <v>1139</v>
      </c>
      <c r="F1121" s="368" t="s">
        <v>147</v>
      </c>
      <c r="G1121" s="373">
        <f>G1122</f>
        <v>25</v>
      </c>
      <c r="H1121" s="26">
        <f t="shared" si="513"/>
        <v>25</v>
      </c>
      <c r="I1121" s="26">
        <f t="shared" si="513"/>
        <v>25</v>
      </c>
    </row>
    <row r="1122" spans="1:9" s="222" customFormat="1" ht="30.2" customHeight="1" x14ac:dyDescent="0.25">
      <c r="A1122" s="372" t="s">
        <v>148</v>
      </c>
      <c r="B1122" s="366">
        <v>910</v>
      </c>
      <c r="C1122" s="368" t="s">
        <v>133</v>
      </c>
      <c r="D1122" s="368" t="s">
        <v>228</v>
      </c>
      <c r="E1122" s="368" t="s">
        <v>1139</v>
      </c>
      <c r="F1122" s="368" t="s">
        <v>149</v>
      </c>
      <c r="G1122" s="373">
        <f>40-40+25</f>
        <v>25</v>
      </c>
      <c r="H1122" s="26">
        <f t="shared" ref="H1122:I1122" si="514">40-40+25</f>
        <v>25</v>
      </c>
      <c r="I1122" s="26">
        <f t="shared" si="514"/>
        <v>25</v>
      </c>
    </row>
    <row r="1123" spans="1:9" ht="47.25" customHeight="1" x14ac:dyDescent="0.25">
      <c r="A1123" s="370" t="s">
        <v>593</v>
      </c>
      <c r="B1123" s="367">
        <v>910</v>
      </c>
      <c r="C1123" s="371" t="s">
        <v>133</v>
      </c>
      <c r="D1123" s="371" t="s">
        <v>230</v>
      </c>
      <c r="E1123" s="371"/>
      <c r="F1123" s="371"/>
      <c r="G1123" s="369">
        <f>G1124</f>
        <v>1143</v>
      </c>
      <c r="H1123" s="21">
        <f t="shared" ref="H1123:I1124" si="515">H1124</f>
        <v>1116</v>
      </c>
      <c r="I1123" s="21">
        <f t="shared" si="515"/>
        <v>1116</v>
      </c>
    </row>
    <row r="1124" spans="1:9" ht="31.5" x14ac:dyDescent="0.25">
      <c r="A1124" s="370" t="s">
        <v>988</v>
      </c>
      <c r="B1124" s="367">
        <v>910</v>
      </c>
      <c r="C1124" s="371" t="s">
        <v>133</v>
      </c>
      <c r="D1124" s="371" t="s">
        <v>230</v>
      </c>
      <c r="E1124" s="371" t="s">
        <v>902</v>
      </c>
      <c r="F1124" s="371"/>
      <c r="G1124" s="369">
        <f>G1125</f>
        <v>1143</v>
      </c>
      <c r="H1124" s="21">
        <f t="shared" si="515"/>
        <v>1116</v>
      </c>
      <c r="I1124" s="21">
        <f t="shared" si="515"/>
        <v>1116</v>
      </c>
    </row>
    <row r="1125" spans="1:9" ht="15.75" x14ac:dyDescent="0.25">
      <c r="A1125" s="370" t="s">
        <v>1132</v>
      </c>
      <c r="B1125" s="367">
        <v>910</v>
      </c>
      <c r="C1125" s="371" t="s">
        <v>133</v>
      </c>
      <c r="D1125" s="371" t="s">
        <v>230</v>
      </c>
      <c r="E1125" s="371" t="s">
        <v>1133</v>
      </c>
      <c r="F1125" s="371"/>
      <c r="G1125" s="369">
        <f>G1126+G1131</f>
        <v>1143</v>
      </c>
      <c r="H1125" s="21">
        <f>H1126+H1131</f>
        <v>1116</v>
      </c>
      <c r="I1125" s="21">
        <f>I1126+I1131</f>
        <v>1116</v>
      </c>
    </row>
    <row r="1126" spans="1:9" ht="31.5" x14ac:dyDescent="0.25">
      <c r="A1126" s="372" t="s">
        <v>1136</v>
      </c>
      <c r="B1126" s="366">
        <v>910</v>
      </c>
      <c r="C1126" s="368" t="s">
        <v>133</v>
      </c>
      <c r="D1126" s="368" t="s">
        <v>230</v>
      </c>
      <c r="E1126" s="368" t="s">
        <v>1137</v>
      </c>
      <c r="F1126" s="368"/>
      <c r="G1126" s="373">
        <f>G1127+G1129</f>
        <v>1143</v>
      </c>
      <c r="H1126" s="26">
        <f t="shared" ref="H1126:I1126" si="516">H1127+H1129</f>
        <v>1116</v>
      </c>
      <c r="I1126" s="26">
        <f t="shared" si="516"/>
        <v>1116</v>
      </c>
    </row>
    <row r="1127" spans="1:9" ht="63" x14ac:dyDescent="0.25">
      <c r="A1127" s="372" t="s">
        <v>142</v>
      </c>
      <c r="B1127" s="366">
        <v>910</v>
      </c>
      <c r="C1127" s="368" t="s">
        <v>133</v>
      </c>
      <c r="D1127" s="368" t="s">
        <v>230</v>
      </c>
      <c r="E1127" s="368" t="s">
        <v>1137</v>
      </c>
      <c r="F1127" s="368" t="s">
        <v>143</v>
      </c>
      <c r="G1127" s="373">
        <f>G1128</f>
        <v>1050</v>
      </c>
      <c r="H1127" s="26">
        <f t="shared" ref="H1127:I1127" si="517">H1128</f>
        <v>1023</v>
      </c>
      <c r="I1127" s="26">
        <f t="shared" si="517"/>
        <v>1023</v>
      </c>
    </row>
    <row r="1128" spans="1:9" ht="31.5" x14ac:dyDescent="0.25">
      <c r="A1128" s="372" t="s">
        <v>144</v>
      </c>
      <c r="B1128" s="366">
        <v>910</v>
      </c>
      <c r="C1128" s="368" t="s">
        <v>133</v>
      </c>
      <c r="D1128" s="368" t="s">
        <v>230</v>
      </c>
      <c r="E1128" s="368" t="s">
        <v>1137</v>
      </c>
      <c r="F1128" s="368" t="s">
        <v>145</v>
      </c>
      <c r="G1128" s="373">
        <f>998+52</f>
        <v>1050</v>
      </c>
      <c r="H1128" s="26">
        <f t="shared" ref="H1128:I1128" si="518">1152.5-141.2+11.7</f>
        <v>1023</v>
      </c>
      <c r="I1128" s="26">
        <f t="shared" si="518"/>
        <v>1023</v>
      </c>
    </row>
    <row r="1129" spans="1:9" ht="31.5" x14ac:dyDescent="0.25">
      <c r="A1129" s="372" t="s">
        <v>213</v>
      </c>
      <c r="B1129" s="366">
        <v>910</v>
      </c>
      <c r="C1129" s="368" t="s">
        <v>133</v>
      </c>
      <c r="D1129" s="368" t="s">
        <v>230</v>
      </c>
      <c r="E1129" s="368" t="s">
        <v>1137</v>
      </c>
      <c r="F1129" s="368" t="s">
        <v>147</v>
      </c>
      <c r="G1129" s="373">
        <f>G1130</f>
        <v>93</v>
      </c>
      <c r="H1129" s="26">
        <f t="shared" ref="H1129:I1129" si="519">H1130</f>
        <v>93</v>
      </c>
      <c r="I1129" s="26">
        <f t="shared" si="519"/>
        <v>93</v>
      </c>
    </row>
    <row r="1130" spans="1:9" ht="31.5" x14ac:dyDescent="0.25">
      <c r="A1130" s="372" t="s">
        <v>148</v>
      </c>
      <c r="B1130" s="366">
        <v>910</v>
      </c>
      <c r="C1130" s="368" t="s">
        <v>133</v>
      </c>
      <c r="D1130" s="368" t="s">
        <v>230</v>
      </c>
      <c r="E1130" s="368" t="s">
        <v>1137</v>
      </c>
      <c r="F1130" s="368" t="s">
        <v>149</v>
      </c>
      <c r="G1130" s="373">
        <v>93</v>
      </c>
      <c r="H1130" s="26">
        <v>93</v>
      </c>
      <c r="I1130" s="26">
        <v>93</v>
      </c>
    </row>
    <row r="1131" spans="1:9" s="222" customFormat="1" ht="39.75" hidden="1" customHeight="1" x14ac:dyDescent="0.25">
      <c r="A1131" s="372" t="s">
        <v>883</v>
      </c>
      <c r="B1131" s="366">
        <v>910</v>
      </c>
      <c r="C1131" s="368" t="s">
        <v>133</v>
      </c>
      <c r="D1131" s="368" t="s">
        <v>230</v>
      </c>
      <c r="E1131" s="368" t="s">
        <v>1135</v>
      </c>
      <c r="F1131" s="368"/>
      <c r="G1131" s="373">
        <f>G1132</f>
        <v>0</v>
      </c>
      <c r="H1131" s="26">
        <f t="shared" ref="H1131:I1132" si="520">H1132</f>
        <v>0</v>
      </c>
      <c r="I1131" s="26">
        <f t="shared" si="520"/>
        <v>0</v>
      </c>
    </row>
    <row r="1132" spans="1:9" s="222" customFormat="1" ht="69.75" hidden="1" customHeight="1" x14ac:dyDescent="0.25">
      <c r="A1132" s="372" t="s">
        <v>142</v>
      </c>
      <c r="B1132" s="366">
        <v>910</v>
      </c>
      <c r="C1132" s="368" t="s">
        <v>133</v>
      </c>
      <c r="D1132" s="368" t="s">
        <v>230</v>
      </c>
      <c r="E1132" s="368" t="s">
        <v>1135</v>
      </c>
      <c r="F1132" s="368" t="s">
        <v>143</v>
      </c>
      <c r="G1132" s="373">
        <f>G1133</f>
        <v>0</v>
      </c>
      <c r="H1132" s="26">
        <f t="shared" si="520"/>
        <v>0</v>
      </c>
      <c r="I1132" s="26">
        <f t="shared" si="520"/>
        <v>0</v>
      </c>
    </row>
    <row r="1133" spans="1:9" s="222" customFormat="1" ht="35.450000000000003" hidden="1" customHeight="1" x14ac:dyDescent="0.25">
      <c r="A1133" s="372" t="s">
        <v>144</v>
      </c>
      <c r="B1133" s="366">
        <v>910</v>
      </c>
      <c r="C1133" s="368" t="s">
        <v>133</v>
      </c>
      <c r="D1133" s="368" t="s">
        <v>230</v>
      </c>
      <c r="E1133" s="368" t="s">
        <v>1135</v>
      </c>
      <c r="F1133" s="368" t="s">
        <v>145</v>
      </c>
      <c r="G1133" s="373">
        <v>0</v>
      </c>
      <c r="H1133" s="26"/>
      <c r="I1133" s="26"/>
    </row>
    <row r="1134" spans="1:9" ht="47.25" x14ac:dyDescent="0.25">
      <c r="A1134" s="370" t="s">
        <v>134</v>
      </c>
      <c r="B1134" s="367">
        <v>910</v>
      </c>
      <c r="C1134" s="371" t="s">
        <v>133</v>
      </c>
      <c r="D1134" s="371" t="s">
        <v>135</v>
      </c>
      <c r="E1134" s="371"/>
      <c r="F1134" s="371"/>
      <c r="G1134" s="369">
        <f>G1135</f>
        <v>1733.1</v>
      </c>
      <c r="H1134" s="21">
        <f t="shared" ref="H1134:I1135" si="521">H1135</f>
        <v>3051.4000000000005</v>
      </c>
      <c r="I1134" s="21">
        <f t="shared" si="521"/>
        <v>3051.4000000000005</v>
      </c>
    </row>
    <row r="1135" spans="1:9" s="112" customFormat="1" ht="31.5" x14ac:dyDescent="0.25">
      <c r="A1135" s="370" t="s">
        <v>988</v>
      </c>
      <c r="B1135" s="367">
        <v>910</v>
      </c>
      <c r="C1135" s="371" t="s">
        <v>133</v>
      </c>
      <c r="D1135" s="371" t="s">
        <v>135</v>
      </c>
      <c r="E1135" s="371" t="s">
        <v>902</v>
      </c>
      <c r="F1135" s="371"/>
      <c r="G1135" s="369">
        <f>G1136</f>
        <v>1733.1</v>
      </c>
      <c r="H1135" s="21">
        <f t="shared" si="521"/>
        <v>3051.4000000000005</v>
      </c>
      <c r="I1135" s="21">
        <f t="shared" si="521"/>
        <v>3051.4000000000005</v>
      </c>
    </row>
    <row r="1136" spans="1:9" s="112" customFormat="1" ht="15.75" x14ac:dyDescent="0.25">
      <c r="A1136" s="370" t="s">
        <v>1132</v>
      </c>
      <c r="B1136" s="367">
        <v>910</v>
      </c>
      <c r="C1136" s="371" t="s">
        <v>133</v>
      </c>
      <c r="D1136" s="371" t="s">
        <v>135</v>
      </c>
      <c r="E1136" s="371" t="s">
        <v>1133</v>
      </c>
      <c r="F1136" s="371"/>
      <c r="G1136" s="369">
        <f>G1137+G1142</f>
        <v>1733.1</v>
      </c>
      <c r="H1136" s="21">
        <f t="shared" ref="H1136:I1136" si="522">H1137+H1142</f>
        <v>3051.4000000000005</v>
      </c>
      <c r="I1136" s="21">
        <f t="shared" si="522"/>
        <v>3051.4000000000005</v>
      </c>
    </row>
    <row r="1137" spans="1:13" s="112" customFormat="1" ht="31.5" x14ac:dyDescent="0.25">
      <c r="A1137" s="372" t="s">
        <v>965</v>
      </c>
      <c r="B1137" s="366">
        <v>910</v>
      </c>
      <c r="C1137" s="368" t="s">
        <v>133</v>
      </c>
      <c r="D1137" s="368" t="s">
        <v>135</v>
      </c>
      <c r="E1137" s="368" t="s">
        <v>1137</v>
      </c>
      <c r="F1137" s="368"/>
      <c r="G1137" s="373">
        <f>G1138+G1140</f>
        <v>1691.1</v>
      </c>
      <c r="H1137" s="26">
        <f t="shared" ref="H1137:I1137" si="523">H1138+H1140</f>
        <v>3051.4000000000005</v>
      </c>
      <c r="I1137" s="26">
        <f t="shared" si="523"/>
        <v>3051.4000000000005</v>
      </c>
    </row>
    <row r="1138" spans="1:13" ht="63" x14ac:dyDescent="0.25">
      <c r="A1138" s="372" t="s">
        <v>142</v>
      </c>
      <c r="B1138" s="366">
        <v>910</v>
      </c>
      <c r="C1138" s="368" t="s">
        <v>133</v>
      </c>
      <c r="D1138" s="368" t="s">
        <v>135</v>
      </c>
      <c r="E1138" s="368" t="s">
        <v>1137</v>
      </c>
      <c r="F1138" s="368" t="s">
        <v>143</v>
      </c>
      <c r="G1138" s="373">
        <f>G1139</f>
        <v>1673.1</v>
      </c>
      <c r="H1138" s="26">
        <f t="shared" ref="H1138:I1138" si="524">H1139</f>
        <v>3033.1000000000004</v>
      </c>
      <c r="I1138" s="26">
        <f t="shared" si="524"/>
        <v>3033.1000000000004</v>
      </c>
    </row>
    <row r="1139" spans="1:13" ht="31.5" x14ac:dyDescent="0.25">
      <c r="A1139" s="372" t="s">
        <v>144</v>
      </c>
      <c r="B1139" s="366">
        <v>910</v>
      </c>
      <c r="C1139" s="368" t="s">
        <v>133</v>
      </c>
      <c r="D1139" s="368" t="s">
        <v>135</v>
      </c>
      <c r="E1139" s="368" t="s">
        <v>1137</v>
      </c>
      <c r="F1139" s="368" t="s">
        <v>145</v>
      </c>
      <c r="G1139" s="373">
        <f>1586+80+7.1</f>
        <v>1673.1</v>
      </c>
      <c r="H1139" s="26">
        <f t="shared" ref="H1139:I1139" si="525">1628.4+17.2+1387.5</f>
        <v>3033.1000000000004</v>
      </c>
      <c r="I1139" s="26">
        <f t="shared" si="525"/>
        <v>3033.1000000000004</v>
      </c>
    </row>
    <row r="1140" spans="1:13" ht="31.5" x14ac:dyDescent="0.25">
      <c r="A1140" s="372" t="s">
        <v>213</v>
      </c>
      <c r="B1140" s="366">
        <v>910</v>
      </c>
      <c r="C1140" s="368" t="s">
        <v>133</v>
      </c>
      <c r="D1140" s="368" t="s">
        <v>135</v>
      </c>
      <c r="E1140" s="368" t="s">
        <v>1137</v>
      </c>
      <c r="F1140" s="368" t="s">
        <v>147</v>
      </c>
      <c r="G1140" s="373">
        <f>G1141</f>
        <v>18</v>
      </c>
      <c r="H1140" s="26">
        <f t="shared" ref="H1140:I1140" si="526">H1141</f>
        <v>18.3</v>
      </c>
      <c r="I1140" s="26">
        <f t="shared" si="526"/>
        <v>18.3</v>
      </c>
    </row>
    <row r="1141" spans="1:13" ht="31.5" x14ac:dyDescent="0.25">
      <c r="A1141" s="372" t="s">
        <v>148</v>
      </c>
      <c r="B1141" s="366">
        <v>910</v>
      </c>
      <c r="C1141" s="368" t="s">
        <v>133</v>
      </c>
      <c r="D1141" s="368" t="s">
        <v>135</v>
      </c>
      <c r="E1141" s="368" t="s">
        <v>1137</v>
      </c>
      <c r="F1141" s="368" t="s">
        <v>149</v>
      </c>
      <c r="G1141" s="373">
        <v>18</v>
      </c>
      <c r="H1141" s="26">
        <v>18.3</v>
      </c>
      <c r="I1141" s="26">
        <v>18.3</v>
      </c>
    </row>
    <row r="1142" spans="1:13" s="222" customFormat="1" ht="31.5" x14ac:dyDescent="0.25">
      <c r="A1142" s="372" t="s">
        <v>883</v>
      </c>
      <c r="B1142" s="366">
        <v>910</v>
      </c>
      <c r="C1142" s="368" t="s">
        <v>133</v>
      </c>
      <c r="D1142" s="368" t="s">
        <v>135</v>
      </c>
      <c r="E1142" s="368" t="s">
        <v>1135</v>
      </c>
      <c r="F1142" s="368"/>
      <c r="G1142" s="373">
        <f>G1143</f>
        <v>42</v>
      </c>
      <c r="H1142" s="26">
        <f t="shared" ref="H1142:I1143" si="527">H1143</f>
        <v>0</v>
      </c>
      <c r="I1142" s="26">
        <f t="shared" si="527"/>
        <v>0</v>
      </c>
    </row>
    <row r="1143" spans="1:13" s="222" customFormat="1" ht="63" x14ac:dyDescent="0.25">
      <c r="A1143" s="372" t="s">
        <v>142</v>
      </c>
      <c r="B1143" s="366">
        <v>910</v>
      </c>
      <c r="C1143" s="368" t="s">
        <v>133</v>
      </c>
      <c r="D1143" s="368" t="s">
        <v>135</v>
      </c>
      <c r="E1143" s="368" t="s">
        <v>1135</v>
      </c>
      <c r="F1143" s="368" t="s">
        <v>143</v>
      </c>
      <c r="G1143" s="373">
        <f>G1144</f>
        <v>42</v>
      </c>
      <c r="H1143" s="26">
        <f t="shared" si="527"/>
        <v>0</v>
      </c>
      <c r="I1143" s="26">
        <f t="shared" si="527"/>
        <v>0</v>
      </c>
    </row>
    <row r="1144" spans="1:13" s="222" customFormat="1" ht="31.5" x14ac:dyDescent="0.25">
      <c r="A1144" s="372" t="s">
        <v>144</v>
      </c>
      <c r="B1144" s="366">
        <v>910</v>
      </c>
      <c r="C1144" s="368" t="s">
        <v>133</v>
      </c>
      <c r="D1144" s="368" t="s">
        <v>135</v>
      </c>
      <c r="E1144" s="368" t="s">
        <v>1135</v>
      </c>
      <c r="F1144" s="368" t="s">
        <v>145</v>
      </c>
      <c r="G1144" s="373">
        <v>42</v>
      </c>
      <c r="H1144" s="26"/>
      <c r="I1144" s="26"/>
    </row>
    <row r="1145" spans="1:13" ht="15.75" x14ac:dyDescent="0.25">
      <c r="A1145" s="48" t="s">
        <v>602</v>
      </c>
      <c r="B1145" s="48"/>
      <c r="C1145" s="371"/>
      <c r="D1145" s="371"/>
      <c r="E1145" s="371"/>
      <c r="F1145" s="371"/>
      <c r="G1145" s="326">
        <f>G1102+G877+G782+G540+G491+G210+G24+G9</f>
        <v>760529.61239999998</v>
      </c>
      <c r="H1145" s="292" t="e">
        <f>#REF!+H1102+H877+H782+H540+H491+H210+H24+H9</f>
        <v>#REF!</v>
      </c>
      <c r="I1145" s="292" t="e">
        <f>#REF!+I1102+I877+I782+I540+I491+I210+I24+I9</f>
        <v>#REF!</v>
      </c>
    </row>
    <row r="1146" spans="1:13" x14ac:dyDescent="0.25">
      <c r="A1146" s="50"/>
      <c r="B1146" s="50"/>
      <c r="C1146" s="50"/>
      <c r="D1146" s="50"/>
      <c r="E1146" s="50"/>
      <c r="F1146" s="50"/>
      <c r="G1146" s="50"/>
      <c r="H1146" s="237"/>
      <c r="I1146" s="228"/>
    </row>
    <row r="1147" spans="1:13" ht="18.75" x14ac:dyDescent="0.3">
      <c r="A1147" s="50"/>
      <c r="B1147" s="50"/>
      <c r="C1147" s="51"/>
      <c r="D1147" s="51"/>
      <c r="E1147" s="51"/>
      <c r="F1147" s="358"/>
      <c r="G1147" s="52"/>
      <c r="H1147" s="230"/>
      <c r="I1147" s="230"/>
      <c r="J1147" s="262"/>
      <c r="K1147" s="262"/>
      <c r="L1147" s="262"/>
      <c r="M1147" s="262"/>
    </row>
    <row r="1148" spans="1:13" ht="18.75" x14ac:dyDescent="0.3">
      <c r="A1148" s="50"/>
      <c r="B1148" s="50"/>
      <c r="C1148" s="51"/>
      <c r="D1148" s="51"/>
      <c r="E1148" s="51"/>
      <c r="F1148" s="358"/>
      <c r="G1148" s="52"/>
      <c r="H1148" s="230"/>
      <c r="I1148" s="230"/>
    </row>
    <row r="1149" spans="1:13" ht="15.75" x14ac:dyDescent="0.25">
      <c r="A1149" s="50"/>
      <c r="B1149" s="50"/>
      <c r="C1149" s="51"/>
      <c r="D1149" s="53"/>
      <c r="E1149" s="53"/>
      <c r="F1149" s="53"/>
      <c r="G1149" s="103"/>
      <c r="H1149" s="232"/>
      <c r="I1149" s="232"/>
    </row>
    <row r="1150" spans="1:13" ht="15.75" x14ac:dyDescent="0.25">
      <c r="A1150" s="50"/>
      <c r="B1150" s="50"/>
      <c r="C1150" s="51"/>
      <c r="D1150" s="53"/>
      <c r="E1150" s="53"/>
      <c r="F1150" s="53"/>
      <c r="G1150" s="356"/>
      <c r="H1150" s="233"/>
      <c r="I1150" s="233"/>
    </row>
    <row r="1151" spans="1:13" ht="15.75" x14ac:dyDescent="0.25">
      <c r="A1151" s="50"/>
      <c r="B1151" s="50"/>
      <c r="C1151" s="51"/>
      <c r="D1151" s="53"/>
      <c r="E1151" s="53"/>
      <c r="F1151" s="53"/>
      <c r="G1151" s="51"/>
      <c r="H1151" s="229"/>
      <c r="I1151" s="229"/>
    </row>
    <row r="1152" spans="1:13" ht="15.75" x14ac:dyDescent="0.25">
      <c r="A1152" s="50"/>
      <c r="B1152" s="50"/>
      <c r="C1152" s="54"/>
      <c r="D1152" s="53"/>
      <c r="E1152" s="53"/>
      <c r="F1152" s="53"/>
      <c r="G1152" s="55"/>
      <c r="H1152" s="234"/>
      <c r="I1152" s="234"/>
    </row>
    <row r="1153" spans="1:9" ht="15.75" x14ac:dyDescent="0.25">
      <c r="A1153" s="50"/>
      <c r="B1153" s="50"/>
      <c r="C1153" s="54"/>
      <c r="D1153" s="53"/>
      <c r="E1153" s="53"/>
      <c r="F1153" s="53"/>
      <c r="G1153" s="55"/>
      <c r="H1153" s="234"/>
      <c r="I1153" s="234"/>
    </row>
    <row r="1154" spans="1:9" ht="15.75" x14ac:dyDescent="0.25">
      <c r="A1154" s="50"/>
      <c r="B1154" s="50"/>
      <c r="C1154" s="54"/>
      <c r="D1154" s="53"/>
      <c r="E1154" s="53"/>
      <c r="F1154" s="53"/>
      <c r="G1154" s="55"/>
      <c r="H1154" s="234"/>
      <c r="I1154" s="234"/>
    </row>
    <row r="1155" spans="1:9" ht="15.75" x14ac:dyDescent="0.25">
      <c r="A1155" s="50"/>
      <c r="B1155" s="50"/>
      <c r="C1155" s="54"/>
      <c r="D1155" s="53"/>
      <c r="E1155" s="53"/>
      <c r="F1155" s="53"/>
      <c r="G1155" s="55"/>
      <c r="H1155" s="234"/>
      <c r="I1155" s="234"/>
    </row>
    <row r="1156" spans="1:9" ht="15.75" x14ac:dyDescent="0.25">
      <c r="A1156" s="50"/>
      <c r="B1156" s="50"/>
      <c r="C1156" s="54"/>
      <c r="D1156" s="53"/>
      <c r="E1156" s="53"/>
      <c r="F1156" s="53"/>
      <c r="G1156" s="55"/>
      <c r="H1156" s="234"/>
      <c r="I1156" s="234"/>
    </row>
    <row r="1157" spans="1:9" ht="15.75" x14ac:dyDescent="0.25">
      <c r="A1157" s="50"/>
      <c r="B1157" s="50"/>
      <c r="C1157" s="54"/>
      <c r="D1157" s="53"/>
      <c r="E1157" s="53"/>
      <c r="F1157" s="53"/>
      <c r="G1157" s="55"/>
      <c r="H1157" s="234"/>
      <c r="I1157" s="234"/>
    </row>
    <row r="1158" spans="1:9" ht="15.75" x14ac:dyDescent="0.25">
      <c r="A1158" s="50"/>
      <c r="B1158" s="50"/>
      <c r="C1158" s="54"/>
      <c r="D1158" s="53"/>
      <c r="E1158" s="53"/>
      <c r="F1158" s="53"/>
      <c r="G1158" s="55"/>
      <c r="H1158" s="234"/>
      <c r="I1158" s="234"/>
    </row>
    <row r="1159" spans="1:9" ht="15.75" x14ac:dyDescent="0.25">
      <c r="A1159" s="50"/>
      <c r="B1159" s="50"/>
      <c r="C1159" s="54"/>
      <c r="D1159" s="53"/>
      <c r="E1159" s="53"/>
      <c r="F1159" s="53"/>
      <c r="G1159" s="55"/>
      <c r="H1159" s="234"/>
      <c r="I1159" s="234"/>
    </row>
    <row r="1160" spans="1:9" ht="15.75" x14ac:dyDescent="0.25">
      <c r="A1160" s="50"/>
      <c r="B1160" s="50"/>
      <c r="C1160" s="54"/>
      <c r="D1160" s="53"/>
      <c r="E1160" s="53"/>
      <c r="F1160" s="53"/>
      <c r="G1160" s="55"/>
      <c r="H1160" s="234"/>
      <c r="I1160" s="234"/>
    </row>
    <row r="1161" spans="1:9" ht="15.75" x14ac:dyDescent="0.25">
      <c r="A1161" s="50"/>
      <c r="B1161" s="50"/>
      <c r="C1161" s="54"/>
      <c r="D1161" s="53"/>
      <c r="E1161" s="53"/>
      <c r="F1161" s="53"/>
      <c r="G1161" s="55"/>
      <c r="H1161" s="234"/>
      <c r="I1161" s="234"/>
    </row>
    <row r="1162" spans="1:9" ht="15.75" x14ac:dyDescent="0.25">
      <c r="A1162" s="50"/>
      <c r="B1162" s="50"/>
      <c r="C1162" s="54"/>
      <c r="D1162" s="53"/>
      <c r="E1162" s="53"/>
      <c r="F1162" s="53"/>
      <c r="G1162" s="55"/>
      <c r="H1162" s="234"/>
      <c r="I1162" s="234"/>
    </row>
    <row r="1163" spans="1:9" ht="15.75" x14ac:dyDescent="0.25">
      <c r="A1163" s="50"/>
      <c r="B1163" s="50"/>
      <c r="C1163" s="54"/>
      <c r="D1163" s="53"/>
      <c r="E1163" s="53"/>
      <c r="F1163" s="53"/>
      <c r="G1163" s="55"/>
      <c r="H1163" s="234"/>
      <c r="I1163" s="234"/>
    </row>
    <row r="1164" spans="1:9" ht="15.75" x14ac:dyDescent="0.25">
      <c r="A1164" s="50"/>
      <c r="B1164" s="50"/>
      <c r="C1164" s="54"/>
      <c r="D1164" s="53"/>
      <c r="E1164" s="53"/>
      <c r="F1164" s="53"/>
      <c r="G1164" s="55"/>
      <c r="H1164" s="234"/>
      <c r="I1164" s="234"/>
    </row>
    <row r="1165" spans="1:9" ht="15.75" x14ac:dyDescent="0.25">
      <c r="A1165" s="50"/>
      <c r="B1165" s="50"/>
      <c r="C1165" s="54"/>
      <c r="D1165" s="53"/>
      <c r="E1165" s="53"/>
      <c r="F1165" s="53"/>
      <c r="G1165" s="55"/>
      <c r="H1165" s="234"/>
      <c r="I1165" s="234"/>
    </row>
    <row r="1166" spans="1:9" ht="15.75" x14ac:dyDescent="0.25">
      <c r="A1166" s="50"/>
      <c r="B1166" s="50"/>
      <c r="C1166" s="54"/>
      <c r="D1166" s="53"/>
      <c r="E1166" s="53"/>
      <c r="F1166" s="53"/>
      <c r="G1166" s="55"/>
      <c r="H1166" s="234"/>
      <c r="I1166" s="234"/>
    </row>
    <row r="1167" spans="1:9" ht="15.75" x14ac:dyDescent="0.25">
      <c r="A1167" s="50"/>
      <c r="B1167" s="50"/>
      <c r="C1167" s="54"/>
      <c r="D1167" s="53"/>
      <c r="E1167" s="53"/>
      <c r="F1167" s="53"/>
      <c r="G1167" s="55"/>
      <c r="H1167" s="234"/>
      <c r="I1167" s="234"/>
    </row>
    <row r="1168" spans="1:9" ht="15.75" x14ac:dyDescent="0.25">
      <c r="A1168" s="50"/>
      <c r="B1168" s="50"/>
      <c r="C1168" s="54"/>
      <c r="D1168" s="53"/>
      <c r="E1168" s="53"/>
      <c r="F1168" s="53"/>
      <c r="G1168" s="55"/>
      <c r="H1168" s="234"/>
      <c r="I1168" s="234"/>
    </row>
    <row r="1169" spans="1:9" ht="15.75" x14ac:dyDescent="0.25">
      <c r="A1169" s="50"/>
      <c r="B1169" s="50"/>
      <c r="C1169" s="54"/>
      <c r="D1169" s="53"/>
      <c r="E1169" s="53"/>
      <c r="F1169" s="53"/>
      <c r="G1169" s="55"/>
      <c r="H1169" s="234"/>
      <c r="I1169" s="234"/>
    </row>
    <row r="1170" spans="1:9" ht="15.75" x14ac:dyDescent="0.25">
      <c r="A1170" s="50"/>
      <c r="B1170" s="50"/>
      <c r="C1170" s="54"/>
      <c r="D1170" s="53"/>
      <c r="E1170" s="53"/>
      <c r="F1170" s="53"/>
      <c r="G1170" s="55"/>
      <c r="H1170" s="234"/>
      <c r="I1170" s="234"/>
    </row>
    <row r="1171" spans="1:9" ht="15.75" x14ac:dyDescent="0.25">
      <c r="A1171" s="50"/>
      <c r="B1171" s="50"/>
      <c r="C1171" s="54"/>
      <c r="D1171" s="53"/>
      <c r="E1171" s="53"/>
      <c r="F1171" s="53"/>
      <c r="G1171" s="55"/>
      <c r="H1171" s="234"/>
      <c r="I1171" s="234"/>
    </row>
    <row r="1172" spans="1:9" ht="15.75" x14ac:dyDescent="0.25">
      <c r="A1172" s="50"/>
      <c r="B1172" s="50"/>
      <c r="C1172" s="54"/>
      <c r="D1172" s="53"/>
      <c r="E1172" s="53"/>
      <c r="F1172" s="53"/>
      <c r="G1172" s="55"/>
      <c r="H1172" s="234"/>
      <c r="I1172" s="234"/>
    </row>
    <row r="1173" spans="1:9" ht="15.75" x14ac:dyDescent="0.25">
      <c r="A1173" s="50"/>
      <c r="B1173" s="50"/>
      <c r="C1173" s="54"/>
      <c r="D1173" s="53"/>
      <c r="E1173" s="53"/>
      <c r="F1173" s="53"/>
      <c r="G1173" s="55"/>
      <c r="H1173" s="234"/>
      <c r="I1173" s="234"/>
    </row>
    <row r="1174" spans="1:9" ht="15.75" x14ac:dyDescent="0.25">
      <c r="A1174" s="50"/>
      <c r="B1174" s="50"/>
      <c r="C1174" s="54"/>
      <c r="D1174" s="53"/>
      <c r="E1174" s="53"/>
      <c r="F1174" s="53"/>
      <c r="G1174" s="55"/>
      <c r="H1174" s="234"/>
      <c r="I1174" s="234"/>
    </row>
    <row r="1175" spans="1:9" ht="15.75" x14ac:dyDescent="0.25">
      <c r="A1175" s="50"/>
      <c r="B1175" s="50"/>
      <c r="C1175" s="54"/>
      <c r="D1175" s="53"/>
      <c r="E1175" s="53"/>
      <c r="F1175" s="53"/>
      <c r="G1175" s="55"/>
      <c r="H1175" s="234"/>
      <c r="I1175" s="234"/>
    </row>
    <row r="1176" spans="1:9" ht="15.75" x14ac:dyDescent="0.25">
      <c r="A1176" s="50"/>
      <c r="B1176" s="50"/>
      <c r="C1176" s="55"/>
      <c r="D1176" s="53"/>
      <c r="E1176" s="53"/>
      <c r="F1176" s="53"/>
      <c r="G1176" s="104"/>
      <c r="H1176" s="235"/>
      <c r="I1176" s="235"/>
    </row>
    <row r="1177" spans="1:9" ht="15.75" x14ac:dyDescent="0.25">
      <c r="A1177" s="50"/>
      <c r="B1177" s="50"/>
      <c r="C1177" s="54"/>
      <c r="D1177" s="53"/>
      <c r="E1177" s="53"/>
      <c r="F1177" s="53"/>
      <c r="G1177" s="104"/>
      <c r="H1177" s="235"/>
      <c r="I1177" s="235"/>
    </row>
    <row r="1178" spans="1:9" ht="15.75" x14ac:dyDescent="0.25">
      <c r="A1178" s="50"/>
      <c r="B1178" s="50"/>
      <c r="C1178" s="54"/>
      <c r="D1178" s="53"/>
      <c r="E1178" s="53"/>
      <c r="F1178" s="53"/>
      <c r="G1178" s="104"/>
      <c r="H1178" s="235"/>
      <c r="I1178" s="235"/>
    </row>
    <row r="1179" spans="1:9" x14ac:dyDescent="0.25">
      <c r="G1179" s="223"/>
      <c r="H1179" s="231"/>
      <c r="I1179" s="231"/>
    </row>
    <row r="1180" spans="1:9" x14ac:dyDescent="0.25">
      <c r="G1180" s="223"/>
      <c r="H1180" s="231"/>
      <c r="I1180" s="231"/>
    </row>
    <row r="1181" spans="1:9" x14ac:dyDescent="0.25">
      <c r="G1181" s="223"/>
      <c r="H1181" s="231"/>
      <c r="I1181" s="231"/>
    </row>
    <row r="1182" spans="1:9" x14ac:dyDescent="0.25">
      <c r="G1182" s="223"/>
      <c r="H1182" s="231"/>
      <c r="I1182" s="231"/>
    </row>
    <row r="1183" spans="1:9" x14ac:dyDescent="0.25">
      <c r="G1183" s="223"/>
      <c r="H1183" s="231"/>
      <c r="I1183" s="231"/>
    </row>
    <row r="1184" spans="1:9" x14ac:dyDescent="0.25">
      <c r="G1184" s="223"/>
      <c r="H1184" s="231"/>
      <c r="I1184" s="231"/>
    </row>
    <row r="1185" spans="1:9" x14ac:dyDescent="0.25">
      <c r="G1185" s="223"/>
      <c r="H1185" s="231"/>
      <c r="I1185" s="231"/>
    </row>
    <row r="1186" spans="1:9" x14ac:dyDescent="0.25">
      <c r="G1186" s="223"/>
      <c r="H1186" s="231"/>
      <c r="I1186" s="231"/>
    </row>
    <row r="1187" spans="1:9" x14ac:dyDescent="0.25">
      <c r="G1187" s="223"/>
      <c r="H1187" s="231"/>
      <c r="I1187" s="231"/>
    </row>
    <row r="1188" spans="1:9" x14ac:dyDescent="0.25">
      <c r="G1188" s="223"/>
      <c r="H1188" s="231"/>
      <c r="I1188" s="231"/>
    </row>
    <row r="1189" spans="1:9" x14ac:dyDescent="0.25">
      <c r="G1189" s="223"/>
      <c r="H1189" s="231"/>
      <c r="I1189" s="231"/>
    </row>
    <row r="1190" spans="1:9" x14ac:dyDescent="0.25">
      <c r="G1190" s="223"/>
      <c r="H1190" s="231"/>
      <c r="I1190" s="231"/>
    </row>
    <row r="1191" spans="1:9" x14ac:dyDescent="0.25">
      <c r="G1191" s="223"/>
      <c r="H1191" s="231"/>
      <c r="I1191" s="231"/>
    </row>
    <row r="1192" spans="1:9" x14ac:dyDescent="0.25">
      <c r="G1192" s="223"/>
      <c r="H1192" s="231"/>
      <c r="I1192" s="231"/>
    </row>
    <row r="1193" spans="1:9" x14ac:dyDescent="0.25">
      <c r="G1193" s="223"/>
      <c r="H1193" s="231"/>
      <c r="I1193" s="231"/>
    </row>
    <row r="1194" spans="1:9" x14ac:dyDescent="0.25">
      <c r="G1194" s="223"/>
      <c r="H1194" s="231"/>
      <c r="I1194" s="231"/>
    </row>
    <row r="1195" spans="1:9" x14ac:dyDescent="0.25">
      <c r="G1195" s="223"/>
      <c r="H1195" s="231"/>
      <c r="I1195" s="231"/>
    </row>
    <row r="1196" spans="1:9" x14ac:dyDescent="0.25">
      <c r="G1196" s="223"/>
      <c r="H1196" s="231"/>
      <c r="I1196" s="231"/>
    </row>
    <row r="1197" spans="1:9" x14ac:dyDescent="0.25">
      <c r="G1197" s="223"/>
      <c r="H1197" s="231"/>
      <c r="I1197" s="231"/>
    </row>
    <row r="1198" spans="1:9" x14ac:dyDescent="0.25">
      <c r="G1198" s="116"/>
      <c r="H1198" s="227"/>
      <c r="I1198" s="227"/>
    </row>
    <row r="1199" spans="1:9" s="222" customFormat="1" x14ac:dyDescent="0.25">
      <c r="A1199" s="362"/>
      <c r="B1199" s="362"/>
      <c r="C1199" s="362"/>
      <c r="D1199" s="362"/>
      <c r="E1199" s="362"/>
      <c r="F1199" s="362"/>
      <c r="G1199" s="116"/>
      <c r="H1199" s="227"/>
      <c r="I1199" s="227"/>
    </row>
    <row r="1200" spans="1:9" x14ac:dyDescent="0.25">
      <c r="G1200" s="223"/>
      <c r="H1200" s="231"/>
      <c r="I1200" s="231"/>
    </row>
  </sheetData>
  <mergeCells count="4">
    <mergeCell ref="E1:G1"/>
    <mergeCell ref="A5:I5"/>
    <mergeCell ref="E3:G3"/>
    <mergeCell ref="E2:G2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  <rowBreaks count="1" manualBreakCount="1">
    <brk id="1145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10"/>
  <sheetViews>
    <sheetView view="pageBreakPreview" topLeftCell="A695" zoomScaleNormal="100" zoomScaleSheetLayoutView="100" workbookViewId="0">
      <selection activeCell="J840" sqref="J840"/>
    </sheetView>
  </sheetViews>
  <sheetFormatPr defaultColWidth="9.140625" defaultRowHeight="15" x14ac:dyDescent="0.25"/>
  <cols>
    <col min="1" max="1" width="48.42578125" style="1" customWidth="1"/>
    <col min="2" max="2" width="9.140625" style="1"/>
    <col min="3" max="3" width="5.42578125" style="1" customWidth="1"/>
    <col min="4" max="4" width="5.5703125" style="1" customWidth="1"/>
    <col min="5" max="5" width="17.140625" style="1" customWidth="1"/>
    <col min="6" max="6" width="9.140625" style="1"/>
    <col min="7" max="7" width="19" style="1" customWidth="1"/>
    <col min="8" max="8" width="14.28515625" style="1" customWidth="1"/>
    <col min="9" max="9" width="11.28515625" style="109" hidden="1" customWidth="1"/>
    <col min="10" max="10" width="9.140625" style="1"/>
    <col min="11" max="11" width="0" style="1" hidden="1" customWidth="1"/>
    <col min="12" max="12" width="10.5703125" style="1" customWidth="1"/>
    <col min="13" max="16384" width="9.140625" style="1"/>
  </cols>
  <sheetData>
    <row r="1" spans="1:9" ht="18.75" x14ac:dyDescent="0.3">
      <c r="A1" s="63"/>
      <c r="B1" s="63"/>
      <c r="C1" s="63"/>
      <c r="D1" s="63"/>
      <c r="E1" s="62"/>
      <c r="F1" s="155" t="s">
        <v>123</v>
      </c>
      <c r="G1" s="63"/>
      <c r="H1" s="177"/>
    </row>
    <row r="2" spans="1:9" ht="18.75" x14ac:dyDescent="0.3">
      <c r="A2" s="63"/>
      <c r="B2" s="63"/>
      <c r="C2" s="63"/>
      <c r="D2" s="63"/>
      <c r="E2" s="62"/>
      <c r="F2" s="155" t="s">
        <v>0</v>
      </c>
      <c r="G2" s="63"/>
      <c r="H2" s="177"/>
    </row>
    <row r="3" spans="1:9" ht="18.75" x14ac:dyDescent="0.3">
      <c r="A3" s="63"/>
      <c r="B3" s="63"/>
      <c r="C3" s="63"/>
      <c r="D3" s="63"/>
      <c r="E3" s="62"/>
      <c r="F3" s="155" t="s">
        <v>758</v>
      </c>
      <c r="G3" s="63"/>
      <c r="H3" s="177"/>
    </row>
    <row r="4" spans="1:9" ht="15.75" x14ac:dyDescent="0.25">
      <c r="A4" s="416"/>
      <c r="B4" s="416"/>
      <c r="C4" s="416"/>
      <c r="D4" s="416"/>
      <c r="E4" s="416"/>
      <c r="F4" s="416"/>
      <c r="G4" s="416"/>
      <c r="H4" s="177"/>
    </row>
    <row r="5" spans="1:9" ht="15.75" x14ac:dyDescent="0.25">
      <c r="A5" s="413" t="s">
        <v>124</v>
      </c>
      <c r="B5" s="413"/>
      <c r="C5" s="413"/>
      <c r="D5" s="413"/>
      <c r="E5" s="413"/>
      <c r="F5" s="413"/>
      <c r="G5" s="413"/>
      <c r="H5" s="177"/>
    </row>
    <row r="6" spans="1:9" ht="15.75" x14ac:dyDescent="0.25">
      <c r="A6" s="174"/>
      <c r="B6" s="174"/>
      <c r="C6" s="174"/>
      <c r="D6" s="174"/>
      <c r="E6" s="174"/>
      <c r="F6" s="174"/>
      <c r="G6" s="174"/>
      <c r="H6" s="177"/>
    </row>
    <row r="7" spans="1:9" ht="15.75" x14ac:dyDescent="0.25">
      <c r="A7" s="13"/>
      <c r="B7" s="13"/>
      <c r="C7" s="13"/>
      <c r="D7" s="13"/>
      <c r="E7" s="13"/>
      <c r="F7" s="13"/>
      <c r="G7" s="101" t="s">
        <v>1</v>
      </c>
      <c r="H7" s="177"/>
    </row>
    <row r="8" spans="1:9" ht="47.25" x14ac:dyDescent="0.25">
      <c r="A8" s="14" t="s">
        <v>125</v>
      </c>
      <c r="B8" s="14" t="s">
        <v>126</v>
      </c>
      <c r="C8" s="15" t="s">
        <v>127</v>
      </c>
      <c r="D8" s="15" t="s">
        <v>128</v>
      </c>
      <c r="E8" s="15" t="s">
        <v>129</v>
      </c>
      <c r="F8" s="15" t="s">
        <v>130</v>
      </c>
      <c r="G8" s="14" t="s">
        <v>4</v>
      </c>
      <c r="H8" s="177"/>
    </row>
    <row r="9" spans="1:9" ht="15.75" x14ac:dyDescent="0.25">
      <c r="A9" s="16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8">
        <v>7</v>
      </c>
      <c r="H9" s="177"/>
    </row>
    <row r="10" spans="1:9" ht="31.5" x14ac:dyDescent="0.25">
      <c r="A10" s="19" t="s">
        <v>131</v>
      </c>
      <c r="B10" s="19">
        <v>901</v>
      </c>
      <c r="C10" s="20"/>
      <c r="D10" s="20"/>
      <c r="E10" s="20"/>
      <c r="F10" s="20"/>
      <c r="G10" s="21">
        <f>G11</f>
        <v>14164.460000000001</v>
      </c>
      <c r="H10" s="177"/>
      <c r="I10" s="114"/>
    </row>
    <row r="11" spans="1:9" ht="15.75" x14ac:dyDescent="0.25">
      <c r="A11" s="23" t="s">
        <v>132</v>
      </c>
      <c r="B11" s="19">
        <v>901</v>
      </c>
      <c r="C11" s="24" t="s">
        <v>133</v>
      </c>
      <c r="D11" s="20"/>
      <c r="E11" s="20"/>
      <c r="F11" s="20"/>
      <c r="G11" s="21">
        <f>G12+G22</f>
        <v>14164.460000000001</v>
      </c>
      <c r="H11" s="177"/>
    </row>
    <row r="12" spans="1:9" ht="63" x14ac:dyDescent="0.25">
      <c r="A12" s="23" t="s">
        <v>134</v>
      </c>
      <c r="B12" s="19">
        <v>901</v>
      </c>
      <c r="C12" s="24" t="s">
        <v>133</v>
      </c>
      <c r="D12" s="24" t="s">
        <v>135</v>
      </c>
      <c r="E12" s="24"/>
      <c r="F12" s="24"/>
      <c r="G12" s="21">
        <f>G13</f>
        <v>14114.460000000001</v>
      </c>
      <c r="H12" s="177"/>
    </row>
    <row r="13" spans="1:9" ht="15.75" x14ac:dyDescent="0.25">
      <c r="A13" s="25" t="s">
        <v>136</v>
      </c>
      <c r="B13" s="16">
        <v>901</v>
      </c>
      <c r="C13" s="20" t="s">
        <v>133</v>
      </c>
      <c r="D13" s="20" t="s">
        <v>135</v>
      </c>
      <c r="E13" s="20" t="s">
        <v>137</v>
      </c>
      <c r="F13" s="20"/>
      <c r="G13" s="26">
        <f>G14</f>
        <v>14114.460000000001</v>
      </c>
      <c r="H13" s="177"/>
    </row>
    <row r="14" spans="1:9" ht="31.5" x14ac:dyDescent="0.25">
      <c r="A14" s="25" t="s">
        <v>138</v>
      </c>
      <c r="B14" s="16">
        <v>901</v>
      </c>
      <c r="C14" s="20" t="s">
        <v>133</v>
      </c>
      <c r="D14" s="20" t="s">
        <v>135</v>
      </c>
      <c r="E14" s="20" t="s">
        <v>139</v>
      </c>
      <c r="F14" s="20"/>
      <c r="G14" s="26">
        <f>G15</f>
        <v>14114.460000000001</v>
      </c>
      <c r="H14" s="177"/>
    </row>
    <row r="15" spans="1:9" ht="47.25" x14ac:dyDescent="0.25">
      <c r="A15" s="25" t="s">
        <v>140</v>
      </c>
      <c r="B15" s="16">
        <v>901</v>
      </c>
      <c r="C15" s="20" t="s">
        <v>133</v>
      </c>
      <c r="D15" s="20" t="s">
        <v>135</v>
      </c>
      <c r="E15" s="20" t="s">
        <v>141</v>
      </c>
      <c r="F15" s="20"/>
      <c r="G15" s="26">
        <f>G16+G18+G20</f>
        <v>14114.460000000001</v>
      </c>
      <c r="H15" s="177"/>
    </row>
    <row r="16" spans="1:9" ht="94.5" x14ac:dyDescent="0.25">
      <c r="A16" s="25" t="s">
        <v>142</v>
      </c>
      <c r="B16" s="16">
        <v>901</v>
      </c>
      <c r="C16" s="20" t="s">
        <v>133</v>
      </c>
      <c r="D16" s="20" t="s">
        <v>135</v>
      </c>
      <c r="E16" s="20" t="s">
        <v>141</v>
      </c>
      <c r="F16" s="20" t="s">
        <v>143</v>
      </c>
      <c r="G16" s="26">
        <f>G17</f>
        <v>12784.1</v>
      </c>
      <c r="H16" s="177"/>
    </row>
    <row r="17" spans="1:8" ht="31.5" x14ac:dyDescent="0.25">
      <c r="A17" s="25" t="s">
        <v>144</v>
      </c>
      <c r="B17" s="16">
        <v>901</v>
      </c>
      <c r="C17" s="20" t="s">
        <v>133</v>
      </c>
      <c r="D17" s="20" t="s">
        <v>135</v>
      </c>
      <c r="E17" s="20" t="s">
        <v>141</v>
      </c>
      <c r="F17" s="20" t="s">
        <v>145</v>
      </c>
      <c r="G17" s="27">
        <v>12784.1</v>
      </c>
      <c r="H17" s="177"/>
    </row>
    <row r="18" spans="1:8" ht="31.5" x14ac:dyDescent="0.25">
      <c r="A18" s="25" t="s">
        <v>146</v>
      </c>
      <c r="B18" s="16">
        <v>901</v>
      </c>
      <c r="C18" s="20" t="s">
        <v>133</v>
      </c>
      <c r="D18" s="20" t="s">
        <v>135</v>
      </c>
      <c r="E18" s="20" t="s">
        <v>141</v>
      </c>
      <c r="F18" s="20" t="s">
        <v>147</v>
      </c>
      <c r="G18" s="26">
        <f>G19</f>
        <v>1302.3599999999999</v>
      </c>
      <c r="H18" s="177"/>
    </row>
    <row r="19" spans="1:8" ht="47.25" x14ac:dyDescent="0.25">
      <c r="A19" s="25" t="s">
        <v>148</v>
      </c>
      <c r="B19" s="16">
        <v>901</v>
      </c>
      <c r="C19" s="20" t="s">
        <v>133</v>
      </c>
      <c r="D19" s="20" t="s">
        <v>135</v>
      </c>
      <c r="E19" s="20" t="s">
        <v>141</v>
      </c>
      <c r="F19" s="20" t="s">
        <v>149</v>
      </c>
      <c r="G19" s="27">
        <v>1302.3599999999999</v>
      </c>
      <c r="H19" s="177"/>
    </row>
    <row r="20" spans="1:8" ht="15.75" x14ac:dyDescent="0.25">
      <c r="A20" s="25" t="s">
        <v>150</v>
      </c>
      <c r="B20" s="16">
        <v>901</v>
      </c>
      <c r="C20" s="20" t="s">
        <v>133</v>
      </c>
      <c r="D20" s="20" t="s">
        <v>135</v>
      </c>
      <c r="E20" s="20" t="s">
        <v>141</v>
      </c>
      <c r="F20" s="20" t="s">
        <v>151</v>
      </c>
      <c r="G20" s="26">
        <f>G21</f>
        <v>28</v>
      </c>
      <c r="H20" s="177"/>
    </row>
    <row r="21" spans="1:8" ht="15.75" x14ac:dyDescent="0.25">
      <c r="A21" s="25" t="s">
        <v>583</v>
      </c>
      <c r="B21" s="16">
        <v>901</v>
      </c>
      <c r="C21" s="20" t="s">
        <v>133</v>
      </c>
      <c r="D21" s="20" t="s">
        <v>135</v>
      </c>
      <c r="E21" s="20" t="s">
        <v>141</v>
      </c>
      <c r="F21" s="20" t="s">
        <v>153</v>
      </c>
      <c r="G21" s="26">
        <v>28</v>
      </c>
      <c r="H21" s="177"/>
    </row>
    <row r="22" spans="1:8" ht="31.7" customHeight="1" x14ac:dyDescent="0.25">
      <c r="A22" s="23" t="s">
        <v>154</v>
      </c>
      <c r="B22" s="19">
        <v>901</v>
      </c>
      <c r="C22" s="24" t="s">
        <v>133</v>
      </c>
      <c r="D22" s="24" t="s">
        <v>155</v>
      </c>
      <c r="E22" s="24"/>
      <c r="F22" s="24"/>
      <c r="G22" s="21">
        <f>G23</f>
        <v>50</v>
      </c>
      <c r="H22" s="177"/>
    </row>
    <row r="23" spans="1:8" ht="15.75" x14ac:dyDescent="0.25">
      <c r="A23" s="25" t="s">
        <v>156</v>
      </c>
      <c r="B23" s="16">
        <v>901</v>
      </c>
      <c r="C23" s="20" t="s">
        <v>133</v>
      </c>
      <c r="D23" s="20" t="s">
        <v>155</v>
      </c>
      <c r="E23" s="20" t="s">
        <v>157</v>
      </c>
      <c r="F23" s="20"/>
      <c r="G23" s="26">
        <f>G24</f>
        <v>50</v>
      </c>
      <c r="H23" s="177"/>
    </row>
    <row r="24" spans="1:8" ht="15.75" x14ac:dyDescent="0.25">
      <c r="A24" s="25" t="s">
        <v>158</v>
      </c>
      <c r="B24" s="16">
        <v>901</v>
      </c>
      <c r="C24" s="20" t="s">
        <v>133</v>
      </c>
      <c r="D24" s="20" t="s">
        <v>155</v>
      </c>
      <c r="E24" s="20" t="s">
        <v>159</v>
      </c>
      <c r="F24" s="20"/>
      <c r="G24" s="26">
        <f>G25</f>
        <v>50</v>
      </c>
      <c r="H24" s="177"/>
    </row>
    <row r="25" spans="1:8" ht="15.75" x14ac:dyDescent="0.25">
      <c r="A25" s="25" t="s">
        <v>150</v>
      </c>
      <c r="B25" s="16">
        <v>901</v>
      </c>
      <c r="C25" s="20" t="s">
        <v>133</v>
      </c>
      <c r="D25" s="20" t="s">
        <v>155</v>
      </c>
      <c r="E25" s="20" t="s">
        <v>159</v>
      </c>
      <c r="F25" s="20" t="s">
        <v>160</v>
      </c>
      <c r="G25" s="26">
        <f>G26</f>
        <v>50</v>
      </c>
      <c r="H25" s="177"/>
    </row>
    <row r="26" spans="1:8" ht="15.75" x14ac:dyDescent="0.25">
      <c r="A26" s="25" t="s">
        <v>161</v>
      </c>
      <c r="B26" s="16">
        <v>901</v>
      </c>
      <c r="C26" s="20" t="s">
        <v>133</v>
      </c>
      <c r="D26" s="20" t="s">
        <v>155</v>
      </c>
      <c r="E26" s="20" t="s">
        <v>159</v>
      </c>
      <c r="F26" s="20" t="s">
        <v>162</v>
      </c>
      <c r="G26" s="26">
        <v>50</v>
      </c>
      <c r="H26" s="177"/>
    </row>
    <row r="27" spans="1:8" ht="31.5" x14ac:dyDescent="0.25">
      <c r="A27" s="19" t="s">
        <v>163</v>
      </c>
      <c r="B27" s="19">
        <v>902</v>
      </c>
      <c r="C27" s="20"/>
      <c r="D27" s="20"/>
      <c r="E27" s="20"/>
      <c r="F27" s="20"/>
      <c r="G27" s="21">
        <f>G28+G159+G177+G195</f>
        <v>87268.39999999998</v>
      </c>
      <c r="H27" s="177"/>
    </row>
    <row r="28" spans="1:8" ht="15.75" x14ac:dyDescent="0.25">
      <c r="A28" s="23" t="s">
        <v>132</v>
      </c>
      <c r="B28" s="19">
        <v>902</v>
      </c>
      <c r="C28" s="24" t="s">
        <v>133</v>
      </c>
      <c r="D28" s="20"/>
      <c r="E28" s="20"/>
      <c r="F28" s="20"/>
      <c r="G28" s="21">
        <f>G29+G48+G56</f>
        <v>66062.7</v>
      </c>
      <c r="H28" s="177"/>
    </row>
    <row r="29" spans="1:8" ht="78.75" x14ac:dyDescent="0.25">
      <c r="A29" s="23" t="s">
        <v>164</v>
      </c>
      <c r="B29" s="19">
        <v>902</v>
      </c>
      <c r="C29" s="24" t="s">
        <v>133</v>
      </c>
      <c r="D29" s="24" t="s">
        <v>165</v>
      </c>
      <c r="E29" s="24"/>
      <c r="F29" s="24"/>
      <c r="G29" s="21">
        <f>G30</f>
        <v>51508.2</v>
      </c>
      <c r="H29" s="177"/>
    </row>
    <row r="30" spans="1:8" ht="15.75" x14ac:dyDescent="0.25">
      <c r="A30" s="25" t="s">
        <v>136</v>
      </c>
      <c r="B30" s="16">
        <v>902</v>
      </c>
      <c r="C30" s="20" t="s">
        <v>133</v>
      </c>
      <c r="D30" s="20" t="s">
        <v>165</v>
      </c>
      <c r="E30" s="20" t="s">
        <v>137</v>
      </c>
      <c r="F30" s="20"/>
      <c r="G30" s="27">
        <f>G31+G42</f>
        <v>51508.2</v>
      </c>
      <c r="H30" s="177"/>
    </row>
    <row r="31" spans="1:8" ht="31.5" x14ac:dyDescent="0.25">
      <c r="A31" s="25" t="s">
        <v>138</v>
      </c>
      <c r="B31" s="16">
        <v>902</v>
      </c>
      <c r="C31" s="20" t="s">
        <v>133</v>
      </c>
      <c r="D31" s="20" t="s">
        <v>165</v>
      </c>
      <c r="E31" s="20" t="s">
        <v>139</v>
      </c>
      <c r="F31" s="20"/>
      <c r="G31" s="27">
        <f>G32+G39</f>
        <v>43489.2</v>
      </c>
      <c r="H31" s="177"/>
    </row>
    <row r="32" spans="1:8" ht="47.25" x14ac:dyDescent="0.25">
      <c r="A32" s="25" t="s">
        <v>140</v>
      </c>
      <c r="B32" s="16">
        <v>902</v>
      </c>
      <c r="C32" s="20" t="s">
        <v>133</v>
      </c>
      <c r="D32" s="20" t="s">
        <v>165</v>
      </c>
      <c r="E32" s="20" t="s">
        <v>141</v>
      </c>
      <c r="F32" s="20"/>
      <c r="G32" s="26">
        <f>G33+G35+G37</f>
        <v>39943.599999999999</v>
      </c>
      <c r="H32" s="177"/>
    </row>
    <row r="33" spans="1:10" ht="94.5" x14ac:dyDescent="0.25">
      <c r="A33" s="25" t="s">
        <v>142</v>
      </c>
      <c r="B33" s="16">
        <v>902</v>
      </c>
      <c r="C33" s="20" t="s">
        <v>133</v>
      </c>
      <c r="D33" s="20" t="s">
        <v>165</v>
      </c>
      <c r="E33" s="20" t="s">
        <v>141</v>
      </c>
      <c r="F33" s="20" t="s">
        <v>143</v>
      </c>
      <c r="G33" s="26">
        <f>G34</f>
        <v>34230.5</v>
      </c>
      <c r="H33" s="177"/>
    </row>
    <row r="34" spans="1:10" ht="31.5" x14ac:dyDescent="0.25">
      <c r="A34" s="25" t="s">
        <v>144</v>
      </c>
      <c r="B34" s="16">
        <v>902</v>
      </c>
      <c r="C34" s="20" t="s">
        <v>133</v>
      </c>
      <c r="D34" s="20" t="s">
        <v>165</v>
      </c>
      <c r="E34" s="20" t="s">
        <v>141</v>
      </c>
      <c r="F34" s="20" t="s">
        <v>145</v>
      </c>
      <c r="G34" s="156">
        <f>36517.7-553.5-1733.7</f>
        <v>34230.5</v>
      </c>
      <c r="H34" s="157" t="s">
        <v>736</v>
      </c>
      <c r="J34" s="172" t="s">
        <v>778</v>
      </c>
    </row>
    <row r="35" spans="1:10" ht="31.5" x14ac:dyDescent="0.25">
      <c r="A35" s="25" t="s">
        <v>146</v>
      </c>
      <c r="B35" s="16">
        <v>902</v>
      </c>
      <c r="C35" s="20" t="s">
        <v>133</v>
      </c>
      <c r="D35" s="20" t="s">
        <v>165</v>
      </c>
      <c r="E35" s="20" t="s">
        <v>141</v>
      </c>
      <c r="F35" s="20" t="s">
        <v>147</v>
      </c>
      <c r="G35" s="26">
        <f>G36</f>
        <v>5592.4</v>
      </c>
      <c r="H35" s="177"/>
    </row>
    <row r="36" spans="1:10" ht="47.25" x14ac:dyDescent="0.25">
      <c r="A36" s="25" t="s">
        <v>148</v>
      </c>
      <c r="B36" s="16">
        <v>902</v>
      </c>
      <c r="C36" s="20" t="s">
        <v>133</v>
      </c>
      <c r="D36" s="20" t="s">
        <v>165</v>
      </c>
      <c r="E36" s="20" t="s">
        <v>141</v>
      </c>
      <c r="F36" s="20" t="s">
        <v>149</v>
      </c>
      <c r="G36" s="27">
        <f>3962.7+1800-140.3-30</f>
        <v>5592.4</v>
      </c>
      <c r="H36" s="106"/>
      <c r="I36" s="125"/>
    </row>
    <row r="37" spans="1:10" ht="15.75" x14ac:dyDescent="0.25">
      <c r="A37" s="25" t="s">
        <v>150</v>
      </c>
      <c r="B37" s="16">
        <v>902</v>
      </c>
      <c r="C37" s="20" t="s">
        <v>133</v>
      </c>
      <c r="D37" s="20" t="s">
        <v>165</v>
      </c>
      <c r="E37" s="20" t="s">
        <v>141</v>
      </c>
      <c r="F37" s="20" t="s">
        <v>160</v>
      </c>
      <c r="G37" s="26">
        <f>G38</f>
        <v>120.7</v>
      </c>
      <c r="H37" s="177"/>
    </row>
    <row r="38" spans="1:10" ht="15.75" x14ac:dyDescent="0.25">
      <c r="A38" s="25" t="s">
        <v>583</v>
      </c>
      <c r="B38" s="16">
        <v>902</v>
      </c>
      <c r="C38" s="20" t="s">
        <v>133</v>
      </c>
      <c r="D38" s="20" t="s">
        <v>165</v>
      </c>
      <c r="E38" s="20" t="s">
        <v>141</v>
      </c>
      <c r="F38" s="20" t="s">
        <v>153</v>
      </c>
      <c r="G38" s="27">
        <f>90.7+30</f>
        <v>120.7</v>
      </c>
      <c r="H38" s="106"/>
      <c r="I38" s="124"/>
    </row>
    <row r="39" spans="1:10" ht="31.5" x14ac:dyDescent="0.25">
      <c r="A39" s="25" t="s">
        <v>166</v>
      </c>
      <c r="B39" s="16">
        <v>902</v>
      </c>
      <c r="C39" s="20" t="s">
        <v>133</v>
      </c>
      <c r="D39" s="20" t="s">
        <v>165</v>
      </c>
      <c r="E39" s="20" t="s">
        <v>167</v>
      </c>
      <c r="F39" s="20"/>
      <c r="G39" s="26">
        <f>G40</f>
        <v>3545.6</v>
      </c>
      <c r="H39" s="177"/>
    </row>
    <row r="40" spans="1:10" ht="94.5" x14ac:dyDescent="0.25">
      <c r="A40" s="25" t="s">
        <v>142</v>
      </c>
      <c r="B40" s="16">
        <v>902</v>
      </c>
      <c r="C40" s="20" t="s">
        <v>133</v>
      </c>
      <c r="D40" s="20" t="s">
        <v>165</v>
      </c>
      <c r="E40" s="20" t="s">
        <v>167</v>
      </c>
      <c r="F40" s="20" t="s">
        <v>143</v>
      </c>
      <c r="G40" s="26">
        <f>G41</f>
        <v>3545.6</v>
      </c>
      <c r="H40" s="177"/>
    </row>
    <row r="41" spans="1:10" ht="31.5" x14ac:dyDescent="0.25">
      <c r="A41" s="25" t="s">
        <v>144</v>
      </c>
      <c r="B41" s="16">
        <v>902</v>
      </c>
      <c r="C41" s="20" t="s">
        <v>133</v>
      </c>
      <c r="D41" s="20" t="s">
        <v>165</v>
      </c>
      <c r="E41" s="20" t="s">
        <v>167</v>
      </c>
      <c r="F41" s="20" t="s">
        <v>145</v>
      </c>
      <c r="G41" s="27">
        <v>3545.6</v>
      </c>
      <c r="H41" s="177"/>
    </row>
    <row r="42" spans="1:10" ht="15.75" x14ac:dyDescent="0.25">
      <c r="A42" s="25" t="s">
        <v>156</v>
      </c>
      <c r="B42" s="16">
        <v>902</v>
      </c>
      <c r="C42" s="20" t="s">
        <v>133</v>
      </c>
      <c r="D42" s="20" t="s">
        <v>165</v>
      </c>
      <c r="E42" s="20" t="s">
        <v>157</v>
      </c>
      <c r="F42" s="20"/>
      <c r="G42" s="28">
        <f>G43</f>
        <v>8019</v>
      </c>
      <c r="H42" s="177"/>
    </row>
    <row r="43" spans="1:10" ht="31.5" x14ac:dyDescent="0.25">
      <c r="A43" s="25" t="s">
        <v>168</v>
      </c>
      <c r="B43" s="16">
        <v>902</v>
      </c>
      <c r="C43" s="20" t="s">
        <v>133</v>
      </c>
      <c r="D43" s="20" t="s">
        <v>165</v>
      </c>
      <c r="E43" s="20" t="s">
        <v>169</v>
      </c>
      <c r="F43" s="20"/>
      <c r="G43" s="26">
        <f>G44+G46</f>
        <v>8019</v>
      </c>
      <c r="H43" s="177"/>
    </row>
    <row r="44" spans="1:10" ht="94.5" x14ac:dyDescent="0.25">
      <c r="A44" s="25" t="s">
        <v>142</v>
      </c>
      <c r="B44" s="16">
        <v>902</v>
      </c>
      <c r="C44" s="20" t="s">
        <v>133</v>
      </c>
      <c r="D44" s="20" t="s">
        <v>165</v>
      </c>
      <c r="E44" s="20" t="s">
        <v>169</v>
      </c>
      <c r="F44" s="20" t="s">
        <v>143</v>
      </c>
      <c r="G44" s="26">
        <f>G45</f>
        <v>5761.2</v>
      </c>
      <c r="H44" s="177"/>
    </row>
    <row r="45" spans="1:10" ht="31.5" x14ac:dyDescent="0.25">
      <c r="A45" s="25" t="s">
        <v>144</v>
      </c>
      <c r="B45" s="16">
        <v>902</v>
      </c>
      <c r="C45" s="20" t="s">
        <v>133</v>
      </c>
      <c r="D45" s="20" t="s">
        <v>165</v>
      </c>
      <c r="E45" s="20" t="s">
        <v>169</v>
      </c>
      <c r="F45" s="20" t="s">
        <v>145</v>
      </c>
      <c r="G45" s="156">
        <f>6958.6+88.4-2398.3+1112.5</f>
        <v>5761.2</v>
      </c>
      <c r="H45" s="106" t="s">
        <v>737</v>
      </c>
      <c r="I45" s="124"/>
      <c r="J45" s="171" t="s">
        <v>779</v>
      </c>
    </row>
    <row r="46" spans="1:10" ht="31.5" x14ac:dyDescent="0.25">
      <c r="A46" s="25" t="s">
        <v>146</v>
      </c>
      <c r="B46" s="16">
        <v>902</v>
      </c>
      <c r="C46" s="20" t="s">
        <v>133</v>
      </c>
      <c r="D46" s="20" t="s">
        <v>165</v>
      </c>
      <c r="E46" s="20" t="s">
        <v>169</v>
      </c>
      <c r="F46" s="20" t="s">
        <v>147</v>
      </c>
      <c r="G46" s="26">
        <f>G47</f>
        <v>2257.8000000000002</v>
      </c>
      <c r="H46" s="177"/>
    </row>
    <row r="47" spans="1:10" ht="47.25" x14ac:dyDescent="0.25">
      <c r="A47" s="25" t="s">
        <v>148</v>
      </c>
      <c r="B47" s="16">
        <v>902</v>
      </c>
      <c r="C47" s="20" t="s">
        <v>133</v>
      </c>
      <c r="D47" s="20" t="s">
        <v>165</v>
      </c>
      <c r="E47" s="20" t="s">
        <v>169</v>
      </c>
      <c r="F47" s="20" t="s">
        <v>149</v>
      </c>
      <c r="G47" s="156">
        <f>2109.3+129.9+835.5-1438.1+621.2</f>
        <v>2257.8000000000002</v>
      </c>
      <c r="H47" s="106" t="s">
        <v>738</v>
      </c>
      <c r="I47" s="125"/>
    </row>
    <row r="48" spans="1:10" ht="63" x14ac:dyDescent="0.25">
      <c r="A48" s="23" t="s">
        <v>134</v>
      </c>
      <c r="B48" s="19">
        <v>902</v>
      </c>
      <c r="C48" s="24" t="s">
        <v>133</v>
      </c>
      <c r="D48" s="24" t="s">
        <v>135</v>
      </c>
      <c r="E48" s="24"/>
      <c r="F48" s="20"/>
      <c r="G48" s="21">
        <f>G49</f>
        <v>1081.7</v>
      </c>
      <c r="H48" s="177"/>
    </row>
    <row r="49" spans="1:11" ht="21.2" customHeight="1" x14ac:dyDescent="0.25">
      <c r="A49" s="25" t="s">
        <v>136</v>
      </c>
      <c r="B49" s="16">
        <v>902</v>
      </c>
      <c r="C49" s="20" t="s">
        <v>133</v>
      </c>
      <c r="D49" s="20" t="s">
        <v>135</v>
      </c>
      <c r="E49" s="20" t="s">
        <v>137</v>
      </c>
      <c r="F49" s="20"/>
      <c r="G49" s="26">
        <f>G50</f>
        <v>1081.7</v>
      </c>
      <c r="H49" s="177"/>
    </row>
    <row r="50" spans="1:11" ht="31.5" x14ac:dyDescent="0.25">
      <c r="A50" s="25" t="s">
        <v>138</v>
      </c>
      <c r="B50" s="16">
        <v>902</v>
      </c>
      <c r="C50" s="20" t="s">
        <v>133</v>
      </c>
      <c r="D50" s="20" t="s">
        <v>135</v>
      </c>
      <c r="E50" s="20" t="s">
        <v>139</v>
      </c>
      <c r="F50" s="20"/>
      <c r="G50" s="26">
        <f>G51</f>
        <v>1081.7</v>
      </c>
      <c r="H50" s="177"/>
      <c r="K50" s="26"/>
    </row>
    <row r="51" spans="1:11" ht="47.25" x14ac:dyDescent="0.25">
      <c r="A51" s="25" t="s">
        <v>140</v>
      </c>
      <c r="B51" s="16">
        <v>902</v>
      </c>
      <c r="C51" s="20" t="s">
        <v>133</v>
      </c>
      <c r="D51" s="20" t="s">
        <v>135</v>
      </c>
      <c r="E51" s="20" t="s">
        <v>141</v>
      </c>
      <c r="F51" s="20"/>
      <c r="G51" s="26">
        <f>G52+G54</f>
        <v>1081.7</v>
      </c>
      <c r="H51" s="177"/>
      <c r="K51" s="26"/>
    </row>
    <row r="52" spans="1:11" ht="94.5" x14ac:dyDescent="0.25">
      <c r="A52" s="25" t="s">
        <v>142</v>
      </c>
      <c r="B52" s="16">
        <v>902</v>
      </c>
      <c r="C52" s="20" t="s">
        <v>133</v>
      </c>
      <c r="D52" s="20" t="s">
        <v>135</v>
      </c>
      <c r="E52" s="20" t="s">
        <v>141</v>
      </c>
      <c r="F52" s="20" t="s">
        <v>143</v>
      </c>
      <c r="G52" s="26">
        <f>G53</f>
        <v>1081.7</v>
      </c>
      <c r="H52" s="177"/>
      <c r="K52" s="27"/>
    </row>
    <row r="53" spans="1:11" ht="31.5" x14ac:dyDescent="0.25">
      <c r="A53" s="25" t="s">
        <v>144</v>
      </c>
      <c r="B53" s="16">
        <v>902</v>
      </c>
      <c r="C53" s="20" t="s">
        <v>133</v>
      </c>
      <c r="D53" s="20" t="s">
        <v>135</v>
      </c>
      <c r="E53" s="20" t="s">
        <v>141</v>
      </c>
      <c r="F53" s="20" t="s">
        <v>145</v>
      </c>
      <c r="G53" s="27">
        <f>1081.7</f>
        <v>1081.7</v>
      </c>
      <c r="H53" s="177"/>
      <c r="I53" s="115"/>
      <c r="K53" s="26"/>
    </row>
    <row r="54" spans="1:11" ht="31.5" hidden="1" x14ac:dyDescent="0.25">
      <c r="A54" s="25" t="s">
        <v>146</v>
      </c>
      <c r="B54" s="16">
        <v>902</v>
      </c>
      <c r="C54" s="20" t="s">
        <v>133</v>
      </c>
      <c r="D54" s="20" t="s">
        <v>135</v>
      </c>
      <c r="E54" s="20" t="s">
        <v>141</v>
      </c>
      <c r="F54" s="20" t="s">
        <v>147</v>
      </c>
      <c r="G54" s="27">
        <f>G55</f>
        <v>0</v>
      </c>
      <c r="H54" s="177"/>
      <c r="K54" s="26"/>
    </row>
    <row r="55" spans="1:11" ht="47.25" hidden="1" x14ac:dyDescent="0.25">
      <c r="A55" s="25" t="s">
        <v>148</v>
      </c>
      <c r="B55" s="16">
        <v>902</v>
      </c>
      <c r="C55" s="20" t="s">
        <v>133</v>
      </c>
      <c r="D55" s="20" t="s">
        <v>135</v>
      </c>
      <c r="E55" s="20" t="s">
        <v>141</v>
      </c>
      <c r="F55" s="20" t="s">
        <v>149</v>
      </c>
      <c r="G55" s="27"/>
      <c r="H55" s="177"/>
      <c r="I55" s="115"/>
      <c r="K55" s="26"/>
    </row>
    <row r="56" spans="1:11" ht="15.75" x14ac:dyDescent="0.25">
      <c r="A56" s="23" t="s">
        <v>154</v>
      </c>
      <c r="B56" s="19">
        <v>902</v>
      </c>
      <c r="C56" s="24" t="s">
        <v>133</v>
      </c>
      <c r="D56" s="24" t="s">
        <v>155</v>
      </c>
      <c r="E56" s="24"/>
      <c r="F56" s="24"/>
      <c r="G56" s="21">
        <f>G57+G61+G73+G86+G97+G90</f>
        <v>13472.8</v>
      </c>
      <c r="H56" s="177"/>
      <c r="I56" s="114"/>
      <c r="K56" s="26"/>
    </row>
    <row r="57" spans="1:11" ht="63" x14ac:dyDescent="0.25">
      <c r="A57" s="25" t="s">
        <v>170</v>
      </c>
      <c r="B57" s="16">
        <v>902</v>
      </c>
      <c r="C57" s="20" t="s">
        <v>133</v>
      </c>
      <c r="D57" s="20" t="s">
        <v>155</v>
      </c>
      <c r="E57" s="20" t="s">
        <v>171</v>
      </c>
      <c r="F57" s="20"/>
      <c r="G57" s="26">
        <f>G58</f>
        <v>250</v>
      </c>
      <c r="H57" s="177"/>
    </row>
    <row r="58" spans="1:11" ht="31.5" x14ac:dyDescent="0.25">
      <c r="A58" s="25" t="s">
        <v>172</v>
      </c>
      <c r="B58" s="16">
        <v>902</v>
      </c>
      <c r="C58" s="20" t="s">
        <v>133</v>
      </c>
      <c r="D58" s="20" t="s">
        <v>155</v>
      </c>
      <c r="E58" s="20" t="s">
        <v>173</v>
      </c>
      <c r="F58" s="20"/>
      <c r="G58" s="26">
        <f>G59</f>
        <v>250</v>
      </c>
      <c r="H58" s="177"/>
    </row>
    <row r="59" spans="1:11" ht="15.75" x14ac:dyDescent="0.25">
      <c r="A59" s="25" t="s">
        <v>150</v>
      </c>
      <c r="B59" s="16">
        <v>902</v>
      </c>
      <c r="C59" s="20" t="s">
        <v>133</v>
      </c>
      <c r="D59" s="20" t="s">
        <v>155</v>
      </c>
      <c r="E59" s="20" t="s">
        <v>173</v>
      </c>
      <c r="F59" s="20" t="s">
        <v>160</v>
      </c>
      <c r="G59" s="26">
        <f>G60</f>
        <v>250</v>
      </c>
      <c r="H59" s="177"/>
    </row>
    <row r="60" spans="1:11" ht="78.75" x14ac:dyDescent="0.25">
      <c r="A60" s="25" t="s">
        <v>174</v>
      </c>
      <c r="B60" s="16">
        <v>902</v>
      </c>
      <c r="C60" s="20" t="s">
        <v>133</v>
      </c>
      <c r="D60" s="20" t="s">
        <v>155</v>
      </c>
      <c r="E60" s="20" t="s">
        <v>173</v>
      </c>
      <c r="F60" s="20" t="s">
        <v>175</v>
      </c>
      <c r="G60" s="26">
        <f>100+150</f>
        <v>250</v>
      </c>
      <c r="H60" s="177"/>
      <c r="I60" s="115"/>
    </row>
    <row r="61" spans="1:11" ht="47.25" x14ac:dyDescent="0.25">
      <c r="A61" s="25" t="s">
        <v>176</v>
      </c>
      <c r="B61" s="16">
        <v>902</v>
      </c>
      <c r="C61" s="20" t="s">
        <v>133</v>
      </c>
      <c r="D61" s="20" t="s">
        <v>155</v>
      </c>
      <c r="E61" s="20" t="s">
        <v>177</v>
      </c>
      <c r="F61" s="20"/>
      <c r="G61" s="26">
        <f>G62+G65+G70</f>
        <v>653.5</v>
      </c>
      <c r="H61" s="177"/>
    </row>
    <row r="62" spans="1:11" ht="31.5" x14ac:dyDescent="0.25">
      <c r="A62" s="29" t="s">
        <v>178</v>
      </c>
      <c r="B62" s="16">
        <v>902</v>
      </c>
      <c r="C62" s="20" t="s">
        <v>133</v>
      </c>
      <c r="D62" s="20" t="s">
        <v>155</v>
      </c>
      <c r="E62" s="40" t="s">
        <v>179</v>
      </c>
      <c r="F62" s="20"/>
      <c r="G62" s="26">
        <f>G63</f>
        <v>428.1</v>
      </c>
      <c r="H62" s="177"/>
    </row>
    <row r="63" spans="1:11" ht="31.5" x14ac:dyDescent="0.25">
      <c r="A63" s="25" t="s">
        <v>146</v>
      </c>
      <c r="B63" s="16">
        <v>902</v>
      </c>
      <c r="C63" s="20" t="s">
        <v>133</v>
      </c>
      <c r="D63" s="20" t="s">
        <v>155</v>
      </c>
      <c r="E63" s="40" t="s">
        <v>179</v>
      </c>
      <c r="F63" s="20" t="s">
        <v>147</v>
      </c>
      <c r="G63" s="26">
        <f>G64</f>
        <v>428.1</v>
      </c>
      <c r="H63" s="177"/>
    </row>
    <row r="64" spans="1:11" ht="47.25" x14ac:dyDescent="0.25">
      <c r="A64" s="25" t="s">
        <v>148</v>
      </c>
      <c r="B64" s="16">
        <v>902</v>
      </c>
      <c r="C64" s="20" t="s">
        <v>133</v>
      </c>
      <c r="D64" s="20" t="s">
        <v>155</v>
      </c>
      <c r="E64" s="40" t="s">
        <v>179</v>
      </c>
      <c r="F64" s="20" t="s">
        <v>149</v>
      </c>
      <c r="G64" s="26">
        <f>494.3-66.2</f>
        <v>428.1</v>
      </c>
      <c r="H64" s="177"/>
    </row>
    <row r="65" spans="1:8" ht="63" x14ac:dyDescent="0.25">
      <c r="A65" s="178" t="s">
        <v>180</v>
      </c>
      <c r="B65" s="16">
        <v>902</v>
      </c>
      <c r="C65" s="20" t="s">
        <v>133</v>
      </c>
      <c r="D65" s="20" t="s">
        <v>155</v>
      </c>
      <c r="E65" s="40" t="s">
        <v>181</v>
      </c>
      <c r="F65" s="20"/>
      <c r="G65" s="26">
        <f>G66+G68</f>
        <v>224.89999999999998</v>
      </c>
      <c r="H65" s="177"/>
    </row>
    <row r="66" spans="1:8" ht="94.5" x14ac:dyDescent="0.25">
      <c r="A66" s="25" t="s">
        <v>142</v>
      </c>
      <c r="B66" s="16">
        <v>902</v>
      </c>
      <c r="C66" s="20" t="s">
        <v>133</v>
      </c>
      <c r="D66" s="20" t="s">
        <v>155</v>
      </c>
      <c r="E66" s="40" t="s">
        <v>181</v>
      </c>
      <c r="F66" s="20" t="s">
        <v>143</v>
      </c>
      <c r="G66" s="26">
        <f>G67</f>
        <v>159.69999999999999</v>
      </c>
      <c r="H66" s="177"/>
    </row>
    <row r="67" spans="1:8" ht="31.5" x14ac:dyDescent="0.25">
      <c r="A67" s="25" t="s">
        <v>144</v>
      </c>
      <c r="B67" s="16">
        <v>902</v>
      </c>
      <c r="C67" s="20" t="s">
        <v>133</v>
      </c>
      <c r="D67" s="20" t="s">
        <v>155</v>
      </c>
      <c r="E67" s="40" t="s">
        <v>181</v>
      </c>
      <c r="F67" s="20" t="s">
        <v>145</v>
      </c>
      <c r="G67" s="26">
        <v>159.69999999999999</v>
      </c>
      <c r="H67" s="177"/>
    </row>
    <row r="68" spans="1:8" ht="31.5" x14ac:dyDescent="0.25">
      <c r="A68" s="25" t="s">
        <v>146</v>
      </c>
      <c r="B68" s="16">
        <v>902</v>
      </c>
      <c r="C68" s="20" t="s">
        <v>133</v>
      </c>
      <c r="D68" s="20" t="s">
        <v>155</v>
      </c>
      <c r="E68" s="40" t="s">
        <v>181</v>
      </c>
      <c r="F68" s="20" t="s">
        <v>147</v>
      </c>
      <c r="G68" s="26">
        <f>G69</f>
        <v>65.2</v>
      </c>
      <c r="H68" s="177"/>
    </row>
    <row r="69" spans="1:8" ht="47.25" x14ac:dyDescent="0.25">
      <c r="A69" s="25" t="s">
        <v>148</v>
      </c>
      <c r="B69" s="16">
        <v>902</v>
      </c>
      <c r="C69" s="20" t="s">
        <v>133</v>
      </c>
      <c r="D69" s="20" t="s">
        <v>155</v>
      </c>
      <c r="E69" s="40" t="s">
        <v>181</v>
      </c>
      <c r="F69" s="20" t="s">
        <v>149</v>
      </c>
      <c r="G69" s="26">
        <f>66.2-0.5-0.5</f>
        <v>65.2</v>
      </c>
      <c r="H69" s="106"/>
    </row>
    <row r="70" spans="1:8" ht="47.25" x14ac:dyDescent="0.25">
      <c r="A70" s="33" t="s">
        <v>206</v>
      </c>
      <c r="B70" s="16">
        <v>902</v>
      </c>
      <c r="C70" s="20" t="s">
        <v>133</v>
      </c>
      <c r="D70" s="20" t="s">
        <v>155</v>
      </c>
      <c r="E70" s="40" t="s">
        <v>697</v>
      </c>
      <c r="F70" s="20"/>
      <c r="G70" s="26">
        <f>G71</f>
        <v>0.5</v>
      </c>
      <c r="H70" s="108"/>
    </row>
    <row r="71" spans="1:8" ht="31.5" x14ac:dyDescent="0.25">
      <c r="A71" s="25" t="s">
        <v>146</v>
      </c>
      <c r="B71" s="16">
        <v>902</v>
      </c>
      <c r="C71" s="20" t="s">
        <v>133</v>
      </c>
      <c r="D71" s="20" t="s">
        <v>155</v>
      </c>
      <c r="E71" s="40" t="s">
        <v>697</v>
      </c>
      <c r="F71" s="20" t="s">
        <v>147</v>
      </c>
      <c r="G71" s="26">
        <f>G72</f>
        <v>0.5</v>
      </c>
      <c r="H71" s="177"/>
    </row>
    <row r="72" spans="1:8" ht="47.25" x14ac:dyDescent="0.25">
      <c r="A72" s="25" t="s">
        <v>148</v>
      </c>
      <c r="B72" s="16">
        <v>902</v>
      </c>
      <c r="C72" s="20" t="s">
        <v>133</v>
      </c>
      <c r="D72" s="20" t="s">
        <v>155</v>
      </c>
      <c r="E72" s="40" t="s">
        <v>697</v>
      </c>
      <c r="F72" s="20" t="s">
        <v>149</v>
      </c>
      <c r="G72" s="26">
        <v>0.5</v>
      </c>
      <c r="H72" s="106"/>
    </row>
    <row r="73" spans="1:8" ht="94.5" x14ac:dyDescent="0.25">
      <c r="A73" s="29" t="s">
        <v>182</v>
      </c>
      <c r="B73" s="16">
        <v>902</v>
      </c>
      <c r="C73" s="9" t="s">
        <v>133</v>
      </c>
      <c r="D73" s="9" t="s">
        <v>155</v>
      </c>
      <c r="E73" s="5" t="s">
        <v>183</v>
      </c>
      <c r="F73" s="9"/>
      <c r="G73" s="26">
        <f>G74+G78+G82</f>
        <v>80</v>
      </c>
      <c r="H73" s="177"/>
    </row>
    <row r="74" spans="1:8" ht="78.75" x14ac:dyDescent="0.25">
      <c r="A74" s="29" t="s">
        <v>184</v>
      </c>
      <c r="B74" s="16">
        <v>902</v>
      </c>
      <c r="C74" s="9" t="s">
        <v>133</v>
      </c>
      <c r="D74" s="9" t="s">
        <v>155</v>
      </c>
      <c r="E74" s="30" t="s">
        <v>185</v>
      </c>
      <c r="F74" s="9"/>
      <c r="G74" s="26">
        <f>G75</f>
        <v>15</v>
      </c>
      <c r="H74" s="177"/>
    </row>
    <row r="75" spans="1:8" ht="31.5" x14ac:dyDescent="0.25">
      <c r="A75" s="178" t="s">
        <v>186</v>
      </c>
      <c r="B75" s="16">
        <v>902</v>
      </c>
      <c r="C75" s="9" t="s">
        <v>133</v>
      </c>
      <c r="D75" s="9" t="s">
        <v>155</v>
      </c>
      <c r="E75" s="5" t="s">
        <v>187</v>
      </c>
      <c r="F75" s="9"/>
      <c r="G75" s="26">
        <f>G76</f>
        <v>15</v>
      </c>
      <c r="H75" s="177"/>
    </row>
    <row r="76" spans="1:8" ht="31.5" x14ac:dyDescent="0.25">
      <c r="A76" s="25" t="s">
        <v>146</v>
      </c>
      <c r="B76" s="16">
        <v>902</v>
      </c>
      <c r="C76" s="9" t="s">
        <v>133</v>
      </c>
      <c r="D76" s="9" t="s">
        <v>155</v>
      </c>
      <c r="E76" s="5" t="s">
        <v>187</v>
      </c>
      <c r="F76" s="9" t="s">
        <v>147</v>
      </c>
      <c r="G76" s="26">
        <f>G77</f>
        <v>15</v>
      </c>
      <c r="H76" s="177"/>
    </row>
    <row r="77" spans="1:8" ht="47.25" x14ac:dyDescent="0.25">
      <c r="A77" s="25" t="s">
        <v>148</v>
      </c>
      <c r="B77" s="16">
        <v>902</v>
      </c>
      <c r="C77" s="9" t="s">
        <v>133</v>
      </c>
      <c r="D77" s="9" t="s">
        <v>155</v>
      </c>
      <c r="E77" s="5" t="s">
        <v>187</v>
      </c>
      <c r="F77" s="9" t="s">
        <v>149</v>
      </c>
      <c r="G77" s="26">
        <v>15</v>
      </c>
      <c r="H77" s="177"/>
    </row>
    <row r="78" spans="1:8" ht="63" x14ac:dyDescent="0.25">
      <c r="A78" s="29" t="s">
        <v>188</v>
      </c>
      <c r="B78" s="16">
        <v>902</v>
      </c>
      <c r="C78" s="9" t="s">
        <v>133</v>
      </c>
      <c r="D78" s="9" t="s">
        <v>155</v>
      </c>
      <c r="E78" s="30" t="s">
        <v>189</v>
      </c>
      <c r="F78" s="9"/>
      <c r="G78" s="26">
        <f>G79</f>
        <v>50</v>
      </c>
      <c r="H78" s="177"/>
    </row>
    <row r="79" spans="1:8" ht="31.5" x14ac:dyDescent="0.25">
      <c r="A79" s="45" t="s">
        <v>190</v>
      </c>
      <c r="B79" s="16">
        <v>902</v>
      </c>
      <c r="C79" s="9" t="s">
        <v>133</v>
      </c>
      <c r="D79" s="9" t="s">
        <v>155</v>
      </c>
      <c r="E79" s="5" t="s">
        <v>191</v>
      </c>
      <c r="F79" s="9"/>
      <c r="G79" s="26">
        <f>G80</f>
        <v>50</v>
      </c>
      <c r="H79" s="177"/>
    </row>
    <row r="80" spans="1:8" ht="31.5" x14ac:dyDescent="0.25">
      <c r="A80" s="25" t="s">
        <v>146</v>
      </c>
      <c r="B80" s="16">
        <v>902</v>
      </c>
      <c r="C80" s="9" t="s">
        <v>133</v>
      </c>
      <c r="D80" s="9" t="s">
        <v>155</v>
      </c>
      <c r="E80" s="5" t="s">
        <v>191</v>
      </c>
      <c r="F80" s="9" t="s">
        <v>147</v>
      </c>
      <c r="G80" s="26">
        <f>G81</f>
        <v>50</v>
      </c>
      <c r="H80" s="177"/>
    </row>
    <row r="81" spans="1:9" ht="47.25" x14ac:dyDescent="0.25">
      <c r="A81" s="25" t="s">
        <v>148</v>
      </c>
      <c r="B81" s="16">
        <v>902</v>
      </c>
      <c r="C81" s="9" t="s">
        <v>133</v>
      </c>
      <c r="D81" s="9" t="s">
        <v>155</v>
      </c>
      <c r="E81" s="5" t="s">
        <v>191</v>
      </c>
      <c r="F81" s="9" t="s">
        <v>149</v>
      </c>
      <c r="G81" s="26">
        <v>50</v>
      </c>
      <c r="H81" s="177"/>
    </row>
    <row r="82" spans="1:9" ht="47.25" x14ac:dyDescent="0.25">
      <c r="A82" s="25" t="s">
        <v>192</v>
      </c>
      <c r="B82" s="16">
        <v>902</v>
      </c>
      <c r="C82" s="9" t="s">
        <v>133</v>
      </c>
      <c r="D82" s="9" t="s">
        <v>155</v>
      </c>
      <c r="E82" s="5" t="s">
        <v>193</v>
      </c>
      <c r="F82" s="9"/>
      <c r="G82" s="26">
        <f>G83</f>
        <v>15</v>
      </c>
      <c r="H82" s="177"/>
    </row>
    <row r="83" spans="1:9" ht="15.75" x14ac:dyDescent="0.25">
      <c r="A83" s="45" t="s">
        <v>194</v>
      </c>
      <c r="B83" s="16">
        <v>902</v>
      </c>
      <c r="C83" s="9" t="s">
        <v>133</v>
      </c>
      <c r="D83" s="9" t="s">
        <v>155</v>
      </c>
      <c r="E83" s="5" t="s">
        <v>195</v>
      </c>
      <c r="F83" s="9"/>
      <c r="G83" s="26">
        <f>G84</f>
        <v>15</v>
      </c>
      <c r="H83" s="177"/>
    </row>
    <row r="84" spans="1:9" ht="31.5" x14ac:dyDescent="0.25">
      <c r="A84" s="25" t="s">
        <v>146</v>
      </c>
      <c r="B84" s="16">
        <v>902</v>
      </c>
      <c r="C84" s="9" t="s">
        <v>133</v>
      </c>
      <c r="D84" s="9" t="s">
        <v>155</v>
      </c>
      <c r="E84" s="5" t="s">
        <v>195</v>
      </c>
      <c r="F84" s="9" t="s">
        <v>147</v>
      </c>
      <c r="G84" s="26">
        <f>G85</f>
        <v>15</v>
      </c>
      <c r="H84" s="177"/>
    </row>
    <row r="85" spans="1:9" ht="47.25" x14ac:dyDescent="0.25">
      <c r="A85" s="25" t="s">
        <v>148</v>
      </c>
      <c r="B85" s="16">
        <v>902</v>
      </c>
      <c r="C85" s="9" t="s">
        <v>133</v>
      </c>
      <c r="D85" s="9" t="s">
        <v>155</v>
      </c>
      <c r="E85" s="5" t="s">
        <v>195</v>
      </c>
      <c r="F85" s="9" t="s">
        <v>149</v>
      </c>
      <c r="G85" s="26">
        <v>15</v>
      </c>
      <c r="H85" s="177"/>
    </row>
    <row r="86" spans="1:9" ht="47.25" x14ac:dyDescent="0.25">
      <c r="A86" s="31" t="s">
        <v>196</v>
      </c>
      <c r="B86" s="16">
        <v>902</v>
      </c>
      <c r="C86" s="20" t="s">
        <v>133</v>
      </c>
      <c r="D86" s="20" t="s">
        <v>155</v>
      </c>
      <c r="E86" s="30" t="s">
        <v>197</v>
      </c>
      <c r="F86" s="32"/>
      <c r="G86" s="26">
        <f>G87</f>
        <v>120</v>
      </c>
      <c r="H86" s="177"/>
    </row>
    <row r="87" spans="1:9" ht="31.5" x14ac:dyDescent="0.25">
      <c r="A87" s="25" t="s">
        <v>172</v>
      </c>
      <c r="B87" s="16">
        <v>902</v>
      </c>
      <c r="C87" s="20" t="s">
        <v>133</v>
      </c>
      <c r="D87" s="20" t="s">
        <v>155</v>
      </c>
      <c r="E87" s="20" t="s">
        <v>198</v>
      </c>
      <c r="F87" s="32"/>
      <c r="G87" s="26">
        <f>G88</f>
        <v>120</v>
      </c>
      <c r="H87" s="177"/>
    </row>
    <row r="88" spans="1:9" ht="15.75" x14ac:dyDescent="0.25">
      <c r="A88" s="29" t="s">
        <v>150</v>
      </c>
      <c r="B88" s="16">
        <v>902</v>
      </c>
      <c r="C88" s="20" t="s">
        <v>133</v>
      </c>
      <c r="D88" s="20" t="s">
        <v>155</v>
      </c>
      <c r="E88" s="20" t="s">
        <v>198</v>
      </c>
      <c r="F88" s="32" t="s">
        <v>160</v>
      </c>
      <c r="G88" s="26">
        <f>G89</f>
        <v>120</v>
      </c>
      <c r="H88" s="177"/>
    </row>
    <row r="89" spans="1:9" ht="63" x14ac:dyDescent="0.25">
      <c r="A89" s="29" t="s">
        <v>199</v>
      </c>
      <c r="B89" s="16">
        <v>902</v>
      </c>
      <c r="C89" s="20" t="s">
        <v>133</v>
      </c>
      <c r="D89" s="20" t="s">
        <v>155</v>
      </c>
      <c r="E89" s="20" t="s">
        <v>198</v>
      </c>
      <c r="F89" s="32" t="s">
        <v>175</v>
      </c>
      <c r="G89" s="26">
        <f>100+20</f>
        <v>120</v>
      </c>
      <c r="H89" s="106"/>
      <c r="I89" s="126"/>
    </row>
    <row r="90" spans="1:9" ht="63" x14ac:dyDescent="0.25">
      <c r="A90" s="29" t="s">
        <v>728</v>
      </c>
      <c r="B90" s="16">
        <v>902</v>
      </c>
      <c r="C90" s="20" t="s">
        <v>133</v>
      </c>
      <c r="D90" s="20" t="s">
        <v>155</v>
      </c>
      <c r="E90" s="20" t="s">
        <v>726</v>
      </c>
      <c r="F90" s="32"/>
      <c r="G90" s="26">
        <f>G91</f>
        <v>29</v>
      </c>
      <c r="H90" s="108"/>
    </row>
    <row r="91" spans="1:9" ht="31.5" x14ac:dyDescent="0.25">
      <c r="A91" s="31" t="s">
        <v>172</v>
      </c>
      <c r="B91" s="16">
        <v>902</v>
      </c>
      <c r="C91" s="20" t="s">
        <v>133</v>
      </c>
      <c r="D91" s="20" t="s">
        <v>155</v>
      </c>
      <c r="E91" s="20" t="s">
        <v>734</v>
      </c>
      <c r="F91" s="32"/>
      <c r="G91" s="26">
        <f>G92</f>
        <v>29</v>
      </c>
      <c r="H91" s="108"/>
    </row>
    <row r="92" spans="1:9" ht="31.5" x14ac:dyDescent="0.25">
      <c r="A92" s="25" t="s">
        <v>146</v>
      </c>
      <c r="B92" s="16">
        <v>902</v>
      </c>
      <c r="C92" s="20" t="s">
        <v>133</v>
      </c>
      <c r="D92" s="20" t="s">
        <v>155</v>
      </c>
      <c r="E92" s="20" t="s">
        <v>734</v>
      </c>
      <c r="F92" s="32" t="s">
        <v>147</v>
      </c>
      <c r="G92" s="26">
        <f>G93</f>
        <v>29</v>
      </c>
      <c r="H92" s="108"/>
    </row>
    <row r="93" spans="1:9" ht="47.25" x14ac:dyDescent="0.25">
      <c r="A93" s="25" t="s">
        <v>148</v>
      </c>
      <c r="B93" s="16">
        <v>902</v>
      </c>
      <c r="C93" s="20" t="s">
        <v>133</v>
      </c>
      <c r="D93" s="20" t="s">
        <v>155</v>
      </c>
      <c r="E93" s="20" t="s">
        <v>734</v>
      </c>
      <c r="F93" s="32" t="s">
        <v>149</v>
      </c>
      <c r="G93" s="26">
        <v>29</v>
      </c>
      <c r="H93" s="108"/>
      <c r="I93" s="124"/>
    </row>
    <row r="94" spans="1:9" ht="15.75" hidden="1" x14ac:dyDescent="0.25">
      <c r="A94" s="29"/>
      <c r="B94" s="16"/>
      <c r="C94" s="20"/>
      <c r="D94" s="20"/>
      <c r="E94" s="20"/>
      <c r="F94" s="32"/>
      <c r="G94" s="26"/>
      <c r="H94" s="108"/>
    </row>
    <row r="95" spans="1:9" ht="15.75" hidden="1" x14ac:dyDescent="0.25">
      <c r="A95" s="25"/>
      <c r="B95" s="16"/>
      <c r="C95" s="20"/>
      <c r="D95" s="20"/>
      <c r="E95" s="20"/>
      <c r="F95" s="32"/>
      <c r="G95" s="26"/>
      <c r="H95" s="108"/>
    </row>
    <row r="96" spans="1:9" ht="15.75" hidden="1" x14ac:dyDescent="0.25">
      <c r="A96" s="25"/>
      <c r="B96" s="16"/>
      <c r="C96" s="20"/>
      <c r="D96" s="20"/>
      <c r="E96" s="20"/>
      <c r="F96" s="32"/>
      <c r="G96" s="26"/>
      <c r="H96" s="108"/>
      <c r="I96" s="124"/>
    </row>
    <row r="97" spans="1:9" ht="15.75" x14ac:dyDescent="0.25">
      <c r="A97" s="25" t="s">
        <v>136</v>
      </c>
      <c r="B97" s="16">
        <v>902</v>
      </c>
      <c r="C97" s="20" t="s">
        <v>133</v>
      </c>
      <c r="D97" s="20" t="s">
        <v>155</v>
      </c>
      <c r="E97" s="20" t="s">
        <v>137</v>
      </c>
      <c r="F97" s="20"/>
      <c r="G97" s="26">
        <f>G98+G121</f>
        <v>12340.3</v>
      </c>
      <c r="H97" s="177"/>
    </row>
    <row r="98" spans="1:9" ht="31.5" x14ac:dyDescent="0.25">
      <c r="A98" s="25" t="s">
        <v>200</v>
      </c>
      <c r="B98" s="16">
        <v>902</v>
      </c>
      <c r="C98" s="20" t="s">
        <v>133</v>
      </c>
      <c r="D98" s="20" t="s">
        <v>155</v>
      </c>
      <c r="E98" s="20" t="s">
        <v>201</v>
      </c>
      <c r="F98" s="20"/>
      <c r="G98" s="26">
        <f>G104+G107+G113+G116</f>
        <v>3600.8999999999996</v>
      </c>
      <c r="H98" s="177"/>
    </row>
    <row r="99" spans="1:9" ht="47.25" hidden="1" x14ac:dyDescent="0.25">
      <c r="A99" s="25" t="s">
        <v>202</v>
      </c>
      <c r="B99" s="16">
        <v>902</v>
      </c>
      <c r="C99" s="20" t="s">
        <v>133</v>
      </c>
      <c r="D99" s="20" t="s">
        <v>155</v>
      </c>
      <c r="E99" s="20" t="s">
        <v>203</v>
      </c>
      <c r="F99" s="24"/>
      <c r="G99" s="26">
        <f>G100+G102</f>
        <v>0</v>
      </c>
      <c r="H99" s="177"/>
    </row>
    <row r="100" spans="1:9" ht="94.5" hidden="1" x14ac:dyDescent="0.25">
      <c r="A100" s="25" t="s">
        <v>142</v>
      </c>
      <c r="B100" s="16">
        <v>902</v>
      </c>
      <c r="C100" s="20" t="s">
        <v>133</v>
      </c>
      <c r="D100" s="20" t="s">
        <v>155</v>
      </c>
      <c r="E100" s="20" t="s">
        <v>203</v>
      </c>
      <c r="F100" s="20" t="s">
        <v>143</v>
      </c>
      <c r="G100" s="26">
        <f>G101</f>
        <v>0</v>
      </c>
      <c r="H100" s="177"/>
    </row>
    <row r="101" spans="1:9" ht="31.5" hidden="1" x14ac:dyDescent="0.25">
      <c r="A101" s="25" t="s">
        <v>144</v>
      </c>
      <c r="B101" s="16">
        <v>902</v>
      </c>
      <c r="C101" s="20" t="s">
        <v>133</v>
      </c>
      <c r="D101" s="20" t="s">
        <v>155</v>
      </c>
      <c r="E101" s="20" t="s">
        <v>203</v>
      </c>
      <c r="F101" s="20" t="s">
        <v>145</v>
      </c>
      <c r="G101" s="26">
        <v>0</v>
      </c>
      <c r="H101" s="177"/>
    </row>
    <row r="102" spans="1:9" ht="31.5" hidden="1" x14ac:dyDescent="0.25">
      <c r="A102" s="25" t="s">
        <v>146</v>
      </c>
      <c r="B102" s="16">
        <v>902</v>
      </c>
      <c r="C102" s="20" t="s">
        <v>133</v>
      </c>
      <c r="D102" s="20" t="s">
        <v>155</v>
      </c>
      <c r="E102" s="20" t="s">
        <v>203</v>
      </c>
      <c r="F102" s="20" t="s">
        <v>147</v>
      </c>
      <c r="G102" s="26">
        <f>G103</f>
        <v>0</v>
      </c>
      <c r="H102" s="177"/>
    </row>
    <row r="103" spans="1:9" ht="47.25" hidden="1" x14ac:dyDescent="0.25">
      <c r="A103" s="25" t="s">
        <v>148</v>
      </c>
      <c r="B103" s="16">
        <v>902</v>
      </c>
      <c r="C103" s="20" t="s">
        <v>133</v>
      </c>
      <c r="D103" s="20" t="s">
        <v>155</v>
      </c>
      <c r="E103" s="20" t="s">
        <v>203</v>
      </c>
      <c r="F103" s="20" t="s">
        <v>149</v>
      </c>
      <c r="G103" s="26">
        <v>0</v>
      </c>
      <c r="H103" s="177"/>
    </row>
    <row r="104" spans="1:9" ht="47.25" x14ac:dyDescent="0.25">
      <c r="A104" s="31" t="s">
        <v>204</v>
      </c>
      <c r="B104" s="16">
        <v>902</v>
      </c>
      <c r="C104" s="20" t="s">
        <v>133</v>
      </c>
      <c r="D104" s="20" t="s">
        <v>155</v>
      </c>
      <c r="E104" s="20" t="s">
        <v>205</v>
      </c>
      <c r="F104" s="20"/>
      <c r="G104" s="26">
        <f>G105</f>
        <v>701.8</v>
      </c>
      <c r="H104" s="177"/>
    </row>
    <row r="105" spans="1:9" ht="94.5" x14ac:dyDescent="0.25">
      <c r="A105" s="25" t="s">
        <v>142</v>
      </c>
      <c r="B105" s="16">
        <v>902</v>
      </c>
      <c r="C105" s="20" t="s">
        <v>133</v>
      </c>
      <c r="D105" s="20" t="s">
        <v>155</v>
      </c>
      <c r="E105" s="20" t="s">
        <v>205</v>
      </c>
      <c r="F105" s="20" t="s">
        <v>143</v>
      </c>
      <c r="G105" s="26">
        <f>G106</f>
        <v>701.8</v>
      </c>
      <c r="H105" s="177"/>
    </row>
    <row r="106" spans="1:9" ht="31.5" x14ac:dyDescent="0.25">
      <c r="A106" s="25" t="s">
        <v>144</v>
      </c>
      <c r="B106" s="16">
        <v>902</v>
      </c>
      <c r="C106" s="20" t="s">
        <v>133</v>
      </c>
      <c r="D106" s="20" t="s">
        <v>155</v>
      </c>
      <c r="E106" s="20" t="s">
        <v>205</v>
      </c>
      <c r="F106" s="20" t="s">
        <v>145</v>
      </c>
      <c r="G106" s="26">
        <v>701.8</v>
      </c>
      <c r="H106" s="177"/>
      <c r="I106" s="115"/>
    </row>
    <row r="107" spans="1:9" ht="47.25" x14ac:dyDescent="0.25">
      <c r="A107" s="33" t="s">
        <v>206</v>
      </c>
      <c r="B107" s="16">
        <v>902</v>
      </c>
      <c r="C107" s="20" t="s">
        <v>133</v>
      </c>
      <c r="D107" s="20" t="s">
        <v>155</v>
      </c>
      <c r="E107" s="20" t="s">
        <v>207</v>
      </c>
      <c r="F107" s="20"/>
      <c r="G107" s="26">
        <f>G108</f>
        <v>40</v>
      </c>
      <c r="H107" s="177"/>
    </row>
    <row r="108" spans="1:9" ht="31.5" x14ac:dyDescent="0.25">
      <c r="A108" s="25" t="s">
        <v>146</v>
      </c>
      <c r="B108" s="16">
        <v>902</v>
      </c>
      <c r="C108" s="20" t="s">
        <v>133</v>
      </c>
      <c r="D108" s="20" t="s">
        <v>155</v>
      </c>
      <c r="E108" s="20" t="s">
        <v>207</v>
      </c>
      <c r="F108" s="20" t="s">
        <v>147</v>
      </c>
      <c r="G108" s="26">
        <f>G109</f>
        <v>40</v>
      </c>
      <c r="H108" s="177"/>
    </row>
    <row r="109" spans="1:9" ht="47.25" x14ac:dyDescent="0.25">
      <c r="A109" s="25" t="s">
        <v>148</v>
      </c>
      <c r="B109" s="16">
        <v>902</v>
      </c>
      <c r="C109" s="20" t="s">
        <v>133</v>
      </c>
      <c r="D109" s="20" t="s">
        <v>155</v>
      </c>
      <c r="E109" s="20" t="s">
        <v>207</v>
      </c>
      <c r="F109" s="20" t="s">
        <v>149</v>
      </c>
      <c r="G109" s="26">
        <f>36+4</f>
        <v>40</v>
      </c>
      <c r="H109" s="177"/>
      <c r="I109" s="115"/>
    </row>
    <row r="110" spans="1:9" ht="31.5" hidden="1" x14ac:dyDescent="0.25">
      <c r="A110" s="31" t="s">
        <v>208</v>
      </c>
      <c r="B110" s="16">
        <v>902</v>
      </c>
      <c r="C110" s="20" t="s">
        <v>133</v>
      </c>
      <c r="D110" s="20" t="s">
        <v>155</v>
      </c>
      <c r="E110" s="20" t="s">
        <v>207</v>
      </c>
      <c r="F110" s="20"/>
      <c r="G110" s="26">
        <f>G111</f>
        <v>0</v>
      </c>
      <c r="H110" s="177"/>
    </row>
    <row r="111" spans="1:9" ht="31.5" hidden="1" x14ac:dyDescent="0.25">
      <c r="A111" s="25" t="s">
        <v>146</v>
      </c>
      <c r="B111" s="16">
        <v>902</v>
      </c>
      <c r="C111" s="20" t="s">
        <v>133</v>
      </c>
      <c r="D111" s="20" t="s">
        <v>155</v>
      </c>
      <c r="E111" s="20" t="s">
        <v>207</v>
      </c>
      <c r="F111" s="20" t="s">
        <v>147</v>
      </c>
      <c r="G111" s="26">
        <f>G112</f>
        <v>0</v>
      </c>
      <c r="H111" s="177"/>
    </row>
    <row r="112" spans="1:9" ht="47.25" hidden="1" x14ac:dyDescent="0.25">
      <c r="A112" s="25" t="s">
        <v>148</v>
      </c>
      <c r="B112" s="16">
        <v>902</v>
      </c>
      <c r="C112" s="20" t="s">
        <v>133</v>
      </c>
      <c r="D112" s="20" t="s">
        <v>155</v>
      </c>
      <c r="E112" s="20" t="s">
        <v>207</v>
      </c>
      <c r="F112" s="20" t="s">
        <v>149</v>
      </c>
      <c r="G112" s="26"/>
      <c r="H112" s="177"/>
    </row>
    <row r="113" spans="1:9" ht="63" x14ac:dyDescent="0.25">
      <c r="A113" s="31" t="s">
        <v>209</v>
      </c>
      <c r="B113" s="16">
        <v>902</v>
      </c>
      <c r="C113" s="20" t="s">
        <v>133</v>
      </c>
      <c r="D113" s="20" t="s">
        <v>155</v>
      </c>
      <c r="E113" s="20" t="s">
        <v>210</v>
      </c>
      <c r="F113" s="20"/>
      <c r="G113" s="26">
        <f>G114</f>
        <v>1752.9</v>
      </c>
      <c r="H113" s="177"/>
    </row>
    <row r="114" spans="1:9" ht="94.5" x14ac:dyDescent="0.25">
      <c r="A114" s="25" t="s">
        <v>142</v>
      </c>
      <c r="B114" s="16">
        <v>902</v>
      </c>
      <c r="C114" s="20" t="s">
        <v>133</v>
      </c>
      <c r="D114" s="20" t="s">
        <v>155</v>
      </c>
      <c r="E114" s="20" t="s">
        <v>210</v>
      </c>
      <c r="F114" s="20" t="s">
        <v>143</v>
      </c>
      <c r="G114" s="26">
        <f>G115</f>
        <v>1752.9</v>
      </c>
      <c r="H114" s="177"/>
    </row>
    <row r="115" spans="1:9" ht="31.5" x14ac:dyDescent="0.25">
      <c r="A115" s="25" t="s">
        <v>144</v>
      </c>
      <c r="B115" s="16">
        <v>902</v>
      </c>
      <c r="C115" s="20" t="s">
        <v>133</v>
      </c>
      <c r="D115" s="20" t="s">
        <v>155</v>
      </c>
      <c r="E115" s="20" t="s">
        <v>210</v>
      </c>
      <c r="F115" s="20" t="s">
        <v>145</v>
      </c>
      <c r="G115" s="26">
        <v>1752.9</v>
      </c>
      <c r="H115" s="177"/>
    </row>
    <row r="116" spans="1:9" ht="47.25" x14ac:dyDescent="0.25">
      <c r="A116" s="31" t="s">
        <v>211</v>
      </c>
      <c r="B116" s="16">
        <v>902</v>
      </c>
      <c r="C116" s="20" t="s">
        <v>133</v>
      </c>
      <c r="D116" s="20" t="s">
        <v>155</v>
      </c>
      <c r="E116" s="20" t="s">
        <v>212</v>
      </c>
      <c r="F116" s="20"/>
      <c r="G116" s="26">
        <f>G117+G119</f>
        <v>1106.1999999999998</v>
      </c>
      <c r="H116" s="177"/>
    </row>
    <row r="117" spans="1:9" ht="94.5" x14ac:dyDescent="0.25">
      <c r="A117" s="25" t="s">
        <v>142</v>
      </c>
      <c r="B117" s="16">
        <v>902</v>
      </c>
      <c r="C117" s="20" t="s">
        <v>133</v>
      </c>
      <c r="D117" s="20" t="s">
        <v>155</v>
      </c>
      <c r="E117" s="20" t="s">
        <v>212</v>
      </c>
      <c r="F117" s="20" t="s">
        <v>143</v>
      </c>
      <c r="G117" s="26">
        <f>G118</f>
        <v>1073.0999999999999</v>
      </c>
      <c r="H117" s="177"/>
    </row>
    <row r="118" spans="1:9" ht="31.5" x14ac:dyDescent="0.25">
      <c r="A118" s="25" t="s">
        <v>144</v>
      </c>
      <c r="B118" s="16">
        <v>902</v>
      </c>
      <c r="C118" s="20" t="s">
        <v>133</v>
      </c>
      <c r="D118" s="20" t="s">
        <v>155</v>
      </c>
      <c r="E118" s="20" t="s">
        <v>212</v>
      </c>
      <c r="F118" s="20" t="s">
        <v>145</v>
      </c>
      <c r="G118" s="26">
        <f>1537-463.9</f>
        <v>1073.0999999999999</v>
      </c>
      <c r="H118" s="177"/>
      <c r="I118" s="115"/>
    </row>
    <row r="119" spans="1:9" ht="47.25" x14ac:dyDescent="0.25">
      <c r="A119" s="25" t="s">
        <v>213</v>
      </c>
      <c r="B119" s="16">
        <v>902</v>
      </c>
      <c r="C119" s="20" t="s">
        <v>133</v>
      </c>
      <c r="D119" s="20" t="s">
        <v>155</v>
      </c>
      <c r="E119" s="20" t="s">
        <v>212</v>
      </c>
      <c r="F119" s="20" t="s">
        <v>147</v>
      </c>
      <c r="G119" s="26">
        <f>G120</f>
        <v>33.1</v>
      </c>
      <c r="H119" s="177"/>
    </row>
    <row r="120" spans="1:9" ht="47.25" x14ac:dyDescent="0.25">
      <c r="A120" s="25" t="s">
        <v>148</v>
      </c>
      <c r="B120" s="16">
        <v>902</v>
      </c>
      <c r="C120" s="20" t="s">
        <v>133</v>
      </c>
      <c r="D120" s="20" t="s">
        <v>155</v>
      </c>
      <c r="E120" s="20" t="s">
        <v>212</v>
      </c>
      <c r="F120" s="20" t="s">
        <v>149</v>
      </c>
      <c r="G120" s="26">
        <v>33.1</v>
      </c>
      <c r="H120" s="177"/>
    </row>
    <row r="121" spans="1:9" ht="15.75" x14ac:dyDescent="0.25">
      <c r="A121" s="25" t="s">
        <v>156</v>
      </c>
      <c r="B121" s="16">
        <v>902</v>
      </c>
      <c r="C121" s="20" t="s">
        <v>133</v>
      </c>
      <c r="D121" s="20" t="s">
        <v>155</v>
      </c>
      <c r="E121" s="20" t="s">
        <v>157</v>
      </c>
      <c r="F121" s="20"/>
      <c r="G121" s="26">
        <f>G134+G139+G144</f>
        <v>8739.4</v>
      </c>
      <c r="H121" s="177"/>
    </row>
    <row r="122" spans="1:9" ht="15.75" hidden="1" x14ac:dyDescent="0.25">
      <c r="A122" s="25" t="s">
        <v>214</v>
      </c>
      <c r="B122" s="16">
        <v>902</v>
      </c>
      <c r="C122" s="20" t="s">
        <v>133</v>
      </c>
      <c r="D122" s="20" t="s">
        <v>155</v>
      </c>
      <c r="E122" s="20" t="s">
        <v>215</v>
      </c>
      <c r="F122" s="20"/>
      <c r="G122" s="26">
        <f>G123</f>
        <v>0</v>
      </c>
      <c r="H122" s="177"/>
    </row>
    <row r="123" spans="1:9" ht="33" hidden="1" customHeight="1" x14ac:dyDescent="0.25">
      <c r="A123" s="25" t="s">
        <v>213</v>
      </c>
      <c r="B123" s="16">
        <v>902</v>
      </c>
      <c r="C123" s="20" t="s">
        <v>133</v>
      </c>
      <c r="D123" s="20" t="s">
        <v>155</v>
      </c>
      <c r="E123" s="20" t="s">
        <v>215</v>
      </c>
      <c r="F123" s="20" t="s">
        <v>147</v>
      </c>
      <c r="G123" s="26">
        <f>G124</f>
        <v>0</v>
      </c>
      <c r="H123" s="177"/>
    </row>
    <row r="124" spans="1:9" ht="47.25" hidden="1" x14ac:dyDescent="0.25">
      <c r="A124" s="25" t="s">
        <v>148</v>
      </c>
      <c r="B124" s="16">
        <v>902</v>
      </c>
      <c r="C124" s="20" t="s">
        <v>133</v>
      </c>
      <c r="D124" s="20" t="s">
        <v>155</v>
      </c>
      <c r="E124" s="20" t="s">
        <v>215</v>
      </c>
      <c r="F124" s="20" t="s">
        <v>149</v>
      </c>
      <c r="G124" s="26">
        <v>0</v>
      </c>
      <c r="H124" s="177"/>
    </row>
    <row r="125" spans="1:9" ht="15.75" hidden="1" x14ac:dyDescent="0.25">
      <c r="A125" s="25" t="s">
        <v>216</v>
      </c>
      <c r="B125" s="16">
        <v>902</v>
      </c>
      <c r="C125" s="20" t="s">
        <v>133</v>
      </c>
      <c r="D125" s="20" t="s">
        <v>155</v>
      </c>
      <c r="E125" s="20" t="s">
        <v>217</v>
      </c>
      <c r="F125" s="24"/>
      <c r="G125" s="26">
        <f>G126</f>
        <v>0</v>
      </c>
      <c r="H125" s="177"/>
    </row>
    <row r="126" spans="1:9" ht="47.25" hidden="1" x14ac:dyDescent="0.25">
      <c r="A126" s="25" t="s">
        <v>213</v>
      </c>
      <c r="B126" s="16">
        <v>902</v>
      </c>
      <c r="C126" s="20" t="s">
        <v>133</v>
      </c>
      <c r="D126" s="20" t="s">
        <v>155</v>
      </c>
      <c r="E126" s="20" t="s">
        <v>217</v>
      </c>
      <c r="F126" s="20" t="s">
        <v>147</v>
      </c>
      <c r="G126" s="26">
        <f>G127</f>
        <v>0</v>
      </c>
      <c r="H126" s="177"/>
    </row>
    <row r="127" spans="1:9" ht="47.25" hidden="1" x14ac:dyDescent="0.25">
      <c r="A127" s="25" t="s">
        <v>148</v>
      </c>
      <c r="B127" s="16">
        <v>902</v>
      </c>
      <c r="C127" s="20" t="s">
        <v>133</v>
      </c>
      <c r="D127" s="20" t="s">
        <v>155</v>
      </c>
      <c r="E127" s="20" t="s">
        <v>217</v>
      </c>
      <c r="F127" s="20" t="s">
        <v>149</v>
      </c>
      <c r="G127" s="26">
        <v>0</v>
      </c>
      <c r="H127" s="177"/>
    </row>
    <row r="128" spans="1:9" ht="31.5" hidden="1" x14ac:dyDescent="0.25">
      <c r="A128" s="25" t="s">
        <v>218</v>
      </c>
      <c r="B128" s="16">
        <v>902</v>
      </c>
      <c r="C128" s="20" t="s">
        <v>133</v>
      </c>
      <c r="D128" s="20" t="s">
        <v>155</v>
      </c>
      <c r="E128" s="20" t="s">
        <v>219</v>
      </c>
      <c r="F128" s="20"/>
      <c r="G128" s="26">
        <f>G129</f>
        <v>0</v>
      </c>
      <c r="H128" s="177"/>
    </row>
    <row r="129" spans="1:9" ht="47.25" hidden="1" x14ac:dyDescent="0.25">
      <c r="A129" s="25" t="s">
        <v>213</v>
      </c>
      <c r="B129" s="16">
        <v>902</v>
      </c>
      <c r="C129" s="20" t="s">
        <v>133</v>
      </c>
      <c r="D129" s="20" t="s">
        <v>155</v>
      </c>
      <c r="E129" s="20" t="s">
        <v>219</v>
      </c>
      <c r="F129" s="20" t="s">
        <v>147</v>
      </c>
      <c r="G129" s="26">
        <f>G130</f>
        <v>0</v>
      </c>
      <c r="H129" s="177"/>
    </row>
    <row r="130" spans="1:9" ht="47.25" hidden="1" x14ac:dyDescent="0.25">
      <c r="A130" s="25" t="s">
        <v>148</v>
      </c>
      <c r="B130" s="16">
        <v>902</v>
      </c>
      <c r="C130" s="20" t="s">
        <v>133</v>
      </c>
      <c r="D130" s="20" t="s">
        <v>155</v>
      </c>
      <c r="E130" s="20" t="s">
        <v>219</v>
      </c>
      <c r="F130" s="20" t="s">
        <v>149</v>
      </c>
      <c r="G130" s="26">
        <v>0</v>
      </c>
      <c r="H130" s="177"/>
    </row>
    <row r="131" spans="1:9" ht="15.75" hidden="1" x14ac:dyDescent="0.25">
      <c r="A131" s="25" t="s">
        <v>194</v>
      </c>
      <c r="B131" s="16">
        <v>902</v>
      </c>
      <c r="C131" s="20" t="s">
        <v>133</v>
      </c>
      <c r="D131" s="20" t="s">
        <v>155</v>
      </c>
      <c r="E131" s="20" t="s">
        <v>220</v>
      </c>
      <c r="F131" s="20"/>
      <c r="G131" s="26">
        <f>G132</f>
        <v>0</v>
      </c>
      <c r="H131" s="177"/>
    </row>
    <row r="132" spans="1:9" ht="47.25" hidden="1" x14ac:dyDescent="0.25">
      <c r="A132" s="25" t="s">
        <v>213</v>
      </c>
      <c r="B132" s="16">
        <v>902</v>
      </c>
      <c r="C132" s="20" t="s">
        <v>133</v>
      </c>
      <c r="D132" s="20" t="s">
        <v>155</v>
      </c>
      <c r="E132" s="20" t="s">
        <v>220</v>
      </c>
      <c r="F132" s="20" t="s">
        <v>147</v>
      </c>
      <c r="G132" s="26">
        <f>G133</f>
        <v>0</v>
      </c>
      <c r="H132" s="177"/>
    </row>
    <row r="133" spans="1:9" ht="47.25" hidden="1" x14ac:dyDescent="0.25">
      <c r="A133" s="25" t="s">
        <v>148</v>
      </c>
      <c r="B133" s="16">
        <v>902</v>
      </c>
      <c r="C133" s="20" t="s">
        <v>133</v>
      </c>
      <c r="D133" s="20" t="s">
        <v>155</v>
      </c>
      <c r="E133" s="20" t="s">
        <v>220</v>
      </c>
      <c r="F133" s="20" t="s">
        <v>149</v>
      </c>
      <c r="G133" s="26">
        <v>0</v>
      </c>
      <c r="H133" s="177"/>
    </row>
    <row r="134" spans="1:9" ht="31.5" x14ac:dyDescent="0.25">
      <c r="A134" s="25" t="s">
        <v>221</v>
      </c>
      <c r="B134" s="16">
        <v>902</v>
      </c>
      <c r="C134" s="20" t="s">
        <v>133</v>
      </c>
      <c r="D134" s="20" t="s">
        <v>155</v>
      </c>
      <c r="E134" s="20" t="s">
        <v>222</v>
      </c>
      <c r="F134" s="20"/>
      <c r="G134" s="26">
        <f>G135+G137</f>
        <v>6126.7</v>
      </c>
      <c r="H134" s="177"/>
    </row>
    <row r="135" spans="1:9" ht="94.5" x14ac:dyDescent="0.25">
      <c r="A135" s="25" t="s">
        <v>142</v>
      </c>
      <c r="B135" s="16">
        <v>902</v>
      </c>
      <c r="C135" s="20" t="s">
        <v>133</v>
      </c>
      <c r="D135" s="20" t="s">
        <v>155</v>
      </c>
      <c r="E135" s="20" t="s">
        <v>222</v>
      </c>
      <c r="F135" s="20" t="s">
        <v>143</v>
      </c>
      <c r="G135" s="26">
        <f>G136</f>
        <v>4952</v>
      </c>
      <c r="H135" s="177"/>
    </row>
    <row r="136" spans="1:9" ht="31.5" x14ac:dyDescent="0.25">
      <c r="A136" s="25" t="s">
        <v>223</v>
      </c>
      <c r="B136" s="16">
        <v>902</v>
      </c>
      <c r="C136" s="20" t="s">
        <v>133</v>
      </c>
      <c r="D136" s="20" t="s">
        <v>155</v>
      </c>
      <c r="E136" s="20" t="s">
        <v>222</v>
      </c>
      <c r="F136" s="20" t="s">
        <v>224</v>
      </c>
      <c r="G136" s="27">
        <f>5174.7-222.7</f>
        <v>4952</v>
      </c>
      <c r="H136" s="177"/>
    </row>
    <row r="137" spans="1:9" ht="47.25" x14ac:dyDescent="0.25">
      <c r="A137" s="25" t="s">
        <v>213</v>
      </c>
      <c r="B137" s="16">
        <v>902</v>
      </c>
      <c r="C137" s="20" t="s">
        <v>133</v>
      </c>
      <c r="D137" s="20" t="s">
        <v>155</v>
      </c>
      <c r="E137" s="20" t="s">
        <v>222</v>
      </c>
      <c r="F137" s="20" t="s">
        <v>147</v>
      </c>
      <c r="G137" s="26">
        <f>G138</f>
        <v>1174.7</v>
      </c>
      <c r="H137" s="177"/>
    </row>
    <row r="138" spans="1:9" ht="47.25" x14ac:dyDescent="0.25">
      <c r="A138" s="25" t="s">
        <v>148</v>
      </c>
      <c r="B138" s="16">
        <v>902</v>
      </c>
      <c r="C138" s="20" t="s">
        <v>133</v>
      </c>
      <c r="D138" s="20" t="s">
        <v>155</v>
      </c>
      <c r="E138" s="20" t="s">
        <v>222</v>
      </c>
      <c r="F138" s="20" t="s">
        <v>149</v>
      </c>
      <c r="G138" s="27">
        <f>724.7+450</f>
        <v>1174.7</v>
      </c>
      <c r="H138" s="177"/>
      <c r="I138" s="115"/>
    </row>
    <row r="139" spans="1:9" ht="47.25" x14ac:dyDescent="0.25">
      <c r="A139" s="25" t="s">
        <v>225</v>
      </c>
      <c r="B139" s="16">
        <v>902</v>
      </c>
      <c r="C139" s="20" t="s">
        <v>133</v>
      </c>
      <c r="D139" s="20" t="s">
        <v>155</v>
      </c>
      <c r="E139" s="20" t="s">
        <v>226</v>
      </c>
      <c r="F139" s="20"/>
      <c r="G139" s="26">
        <f>G140+G142</f>
        <v>2520.4</v>
      </c>
      <c r="H139" s="177"/>
    </row>
    <row r="140" spans="1:9" ht="94.5" x14ac:dyDescent="0.25">
      <c r="A140" s="25" t="s">
        <v>142</v>
      </c>
      <c r="B140" s="16">
        <v>902</v>
      </c>
      <c r="C140" s="20" t="s">
        <v>133</v>
      </c>
      <c r="D140" s="20" t="s">
        <v>155</v>
      </c>
      <c r="E140" s="20" t="s">
        <v>226</v>
      </c>
      <c r="F140" s="20" t="s">
        <v>143</v>
      </c>
      <c r="G140" s="26">
        <f>G141</f>
        <v>1895</v>
      </c>
      <c r="H140" s="177"/>
    </row>
    <row r="141" spans="1:9" ht="31.5" x14ac:dyDescent="0.25">
      <c r="A141" s="25" t="s">
        <v>144</v>
      </c>
      <c r="B141" s="16">
        <v>902</v>
      </c>
      <c r="C141" s="20" t="s">
        <v>133</v>
      </c>
      <c r="D141" s="20" t="s">
        <v>155</v>
      </c>
      <c r="E141" s="20" t="s">
        <v>226</v>
      </c>
      <c r="F141" s="20" t="s">
        <v>145</v>
      </c>
      <c r="G141" s="27">
        <f>1952.2-57.2</f>
        <v>1895</v>
      </c>
      <c r="H141" s="177"/>
      <c r="I141" s="115"/>
    </row>
    <row r="142" spans="1:9" ht="47.25" x14ac:dyDescent="0.25">
      <c r="A142" s="25" t="s">
        <v>213</v>
      </c>
      <c r="B142" s="16">
        <v>902</v>
      </c>
      <c r="C142" s="20" t="s">
        <v>133</v>
      </c>
      <c r="D142" s="20" t="s">
        <v>155</v>
      </c>
      <c r="E142" s="20" t="s">
        <v>226</v>
      </c>
      <c r="F142" s="20" t="s">
        <v>147</v>
      </c>
      <c r="G142" s="26">
        <f>G143</f>
        <v>625.4</v>
      </c>
      <c r="H142" s="177"/>
    </row>
    <row r="143" spans="1:9" ht="47.25" x14ac:dyDescent="0.25">
      <c r="A143" s="25" t="s">
        <v>148</v>
      </c>
      <c r="B143" s="16">
        <v>902</v>
      </c>
      <c r="C143" s="20" t="s">
        <v>133</v>
      </c>
      <c r="D143" s="20" t="s">
        <v>155</v>
      </c>
      <c r="E143" s="20" t="s">
        <v>226</v>
      </c>
      <c r="F143" s="20" t="s">
        <v>149</v>
      </c>
      <c r="G143" s="26">
        <f>821.9-196.5</f>
        <v>625.4</v>
      </c>
      <c r="H143" s="177"/>
    </row>
    <row r="144" spans="1:9" ht="15.75" x14ac:dyDescent="0.25">
      <c r="A144" s="45" t="s">
        <v>158</v>
      </c>
      <c r="B144" s="16">
        <v>902</v>
      </c>
      <c r="C144" s="20" t="s">
        <v>133</v>
      </c>
      <c r="D144" s="20" t="s">
        <v>155</v>
      </c>
      <c r="E144" s="20" t="s">
        <v>159</v>
      </c>
      <c r="F144" s="20"/>
      <c r="G144" s="26">
        <f>G145</f>
        <v>92.3</v>
      </c>
      <c r="H144" s="177"/>
    </row>
    <row r="145" spans="1:8" ht="15.75" x14ac:dyDescent="0.25">
      <c r="A145" s="25" t="s">
        <v>150</v>
      </c>
      <c r="B145" s="16">
        <v>902</v>
      </c>
      <c r="C145" s="20" t="s">
        <v>133</v>
      </c>
      <c r="D145" s="20" t="s">
        <v>155</v>
      </c>
      <c r="E145" s="20" t="s">
        <v>159</v>
      </c>
      <c r="F145" s="20" t="s">
        <v>160</v>
      </c>
      <c r="G145" s="26">
        <f>G146</f>
        <v>92.3</v>
      </c>
      <c r="H145" s="177"/>
    </row>
    <row r="146" spans="1:8" ht="15.75" x14ac:dyDescent="0.25">
      <c r="A146" s="25" t="s">
        <v>161</v>
      </c>
      <c r="B146" s="16">
        <v>902</v>
      </c>
      <c r="C146" s="20" t="s">
        <v>133</v>
      </c>
      <c r="D146" s="20" t="s">
        <v>155</v>
      </c>
      <c r="E146" s="20" t="s">
        <v>159</v>
      </c>
      <c r="F146" s="20" t="s">
        <v>162</v>
      </c>
      <c r="G146" s="26">
        <v>92.3</v>
      </c>
      <c r="H146" s="106"/>
    </row>
    <row r="147" spans="1:8" ht="15.75" hidden="1" x14ac:dyDescent="0.25">
      <c r="A147" s="23" t="s">
        <v>227</v>
      </c>
      <c r="B147" s="19">
        <v>902</v>
      </c>
      <c r="C147" s="24" t="s">
        <v>228</v>
      </c>
      <c r="D147" s="24"/>
      <c r="E147" s="24"/>
      <c r="F147" s="24"/>
      <c r="G147" s="21">
        <f>G148+G154</f>
        <v>0</v>
      </c>
      <c r="H147" s="177"/>
    </row>
    <row r="148" spans="1:8" ht="31.5" hidden="1" x14ac:dyDescent="0.25">
      <c r="A148" s="23" t="s">
        <v>229</v>
      </c>
      <c r="B148" s="19">
        <v>902</v>
      </c>
      <c r="C148" s="24" t="s">
        <v>228</v>
      </c>
      <c r="D148" s="24" t="s">
        <v>230</v>
      </c>
      <c r="E148" s="24"/>
      <c r="F148" s="24"/>
      <c r="G148" s="21">
        <f>G149</f>
        <v>0</v>
      </c>
      <c r="H148" s="177"/>
    </row>
    <row r="149" spans="1:8" ht="15.75" hidden="1" x14ac:dyDescent="0.25">
      <c r="A149" s="25" t="s">
        <v>136</v>
      </c>
      <c r="B149" s="16">
        <v>902</v>
      </c>
      <c r="C149" s="20" t="s">
        <v>228</v>
      </c>
      <c r="D149" s="20" t="s">
        <v>230</v>
      </c>
      <c r="E149" s="20" t="s">
        <v>137</v>
      </c>
      <c r="F149" s="20"/>
      <c r="G149" s="26">
        <f>G150</f>
        <v>0</v>
      </c>
      <c r="H149" s="177"/>
    </row>
    <row r="150" spans="1:8" ht="31.5" hidden="1" x14ac:dyDescent="0.25">
      <c r="A150" s="25" t="s">
        <v>200</v>
      </c>
      <c r="B150" s="16">
        <v>902</v>
      </c>
      <c r="C150" s="20" t="s">
        <v>228</v>
      </c>
      <c r="D150" s="20" t="s">
        <v>230</v>
      </c>
      <c r="E150" s="20" t="s">
        <v>201</v>
      </c>
      <c r="F150" s="20"/>
      <c r="G150" s="26">
        <f>G151</f>
        <v>0</v>
      </c>
      <c r="H150" s="177"/>
    </row>
    <row r="151" spans="1:8" ht="47.25" hidden="1" x14ac:dyDescent="0.25">
      <c r="A151" s="25" t="s">
        <v>231</v>
      </c>
      <c r="B151" s="16">
        <v>902</v>
      </c>
      <c r="C151" s="20" t="s">
        <v>228</v>
      </c>
      <c r="D151" s="20" t="s">
        <v>230</v>
      </c>
      <c r="E151" s="20" t="s">
        <v>232</v>
      </c>
      <c r="F151" s="20"/>
      <c r="G151" s="26">
        <f>G152</f>
        <v>0</v>
      </c>
      <c r="H151" s="177"/>
    </row>
    <row r="152" spans="1:8" ht="94.5" hidden="1" x14ac:dyDescent="0.25">
      <c r="A152" s="25" t="s">
        <v>142</v>
      </c>
      <c r="B152" s="16">
        <v>902</v>
      </c>
      <c r="C152" s="20" t="s">
        <v>228</v>
      </c>
      <c r="D152" s="20" t="s">
        <v>230</v>
      </c>
      <c r="E152" s="20" t="s">
        <v>232</v>
      </c>
      <c r="F152" s="20" t="s">
        <v>143</v>
      </c>
      <c r="G152" s="26">
        <f>G153</f>
        <v>0</v>
      </c>
      <c r="H152" s="177"/>
    </row>
    <row r="153" spans="1:8" ht="31.5" hidden="1" x14ac:dyDescent="0.25">
      <c r="A153" s="25" t="s">
        <v>144</v>
      </c>
      <c r="B153" s="16">
        <v>902</v>
      </c>
      <c r="C153" s="20" t="s">
        <v>228</v>
      </c>
      <c r="D153" s="20" t="s">
        <v>230</v>
      </c>
      <c r="E153" s="20" t="s">
        <v>232</v>
      </c>
      <c r="F153" s="20" t="s">
        <v>145</v>
      </c>
      <c r="G153" s="27"/>
      <c r="H153" s="177"/>
    </row>
    <row r="154" spans="1:8" ht="31.5" hidden="1" x14ac:dyDescent="0.25">
      <c r="A154" s="23" t="s">
        <v>233</v>
      </c>
      <c r="B154" s="19">
        <v>902</v>
      </c>
      <c r="C154" s="24" t="s">
        <v>228</v>
      </c>
      <c r="D154" s="24" t="s">
        <v>234</v>
      </c>
      <c r="E154" s="24"/>
      <c r="F154" s="24"/>
      <c r="G154" s="26">
        <f>G155</f>
        <v>0</v>
      </c>
      <c r="H154" s="177"/>
    </row>
    <row r="155" spans="1:8" ht="15.75" hidden="1" x14ac:dyDescent="0.25">
      <c r="A155" s="25" t="s">
        <v>136</v>
      </c>
      <c r="B155" s="16">
        <v>902</v>
      </c>
      <c r="C155" s="20" t="s">
        <v>228</v>
      </c>
      <c r="D155" s="20" t="s">
        <v>234</v>
      </c>
      <c r="E155" s="20" t="s">
        <v>137</v>
      </c>
      <c r="F155" s="20"/>
      <c r="G155" s="26">
        <f>G156</f>
        <v>0</v>
      </c>
      <c r="H155" s="177"/>
    </row>
    <row r="156" spans="1:8" ht="31.5" hidden="1" x14ac:dyDescent="0.25">
      <c r="A156" s="25" t="s">
        <v>235</v>
      </c>
      <c r="B156" s="16">
        <v>902</v>
      </c>
      <c r="C156" s="20" t="s">
        <v>228</v>
      </c>
      <c r="D156" s="20" t="s">
        <v>234</v>
      </c>
      <c r="E156" s="20" t="s">
        <v>236</v>
      </c>
      <c r="F156" s="20"/>
      <c r="G156" s="26">
        <f>G157</f>
        <v>0</v>
      </c>
      <c r="H156" s="177"/>
    </row>
    <row r="157" spans="1:8" ht="47.25" hidden="1" x14ac:dyDescent="0.25">
      <c r="A157" s="25" t="s">
        <v>213</v>
      </c>
      <c r="B157" s="16">
        <v>902</v>
      </c>
      <c r="C157" s="20" t="s">
        <v>228</v>
      </c>
      <c r="D157" s="20" t="s">
        <v>234</v>
      </c>
      <c r="E157" s="20" t="s">
        <v>236</v>
      </c>
      <c r="F157" s="20" t="s">
        <v>147</v>
      </c>
      <c r="G157" s="26">
        <f>G158</f>
        <v>0</v>
      </c>
      <c r="H157" s="177"/>
    </row>
    <row r="158" spans="1:8" ht="47.25" hidden="1" x14ac:dyDescent="0.25">
      <c r="A158" s="25" t="s">
        <v>148</v>
      </c>
      <c r="B158" s="16">
        <v>902</v>
      </c>
      <c r="C158" s="20" t="s">
        <v>228</v>
      </c>
      <c r="D158" s="20" t="s">
        <v>234</v>
      </c>
      <c r="E158" s="20" t="s">
        <v>236</v>
      </c>
      <c r="F158" s="20" t="s">
        <v>149</v>
      </c>
      <c r="G158" s="26">
        <v>0</v>
      </c>
      <c r="H158" s="177"/>
    </row>
    <row r="159" spans="1:8" ht="31.5" x14ac:dyDescent="0.25">
      <c r="A159" s="23" t="s">
        <v>237</v>
      </c>
      <c r="B159" s="19">
        <v>902</v>
      </c>
      <c r="C159" s="24" t="s">
        <v>230</v>
      </c>
      <c r="D159" s="24"/>
      <c r="E159" s="24"/>
      <c r="F159" s="24"/>
      <c r="G159" s="21">
        <f>G160</f>
        <v>7159.4000000000005</v>
      </c>
      <c r="H159" s="177"/>
    </row>
    <row r="160" spans="1:8" ht="63" x14ac:dyDescent="0.25">
      <c r="A160" s="23" t="s">
        <v>238</v>
      </c>
      <c r="B160" s="19">
        <v>902</v>
      </c>
      <c r="C160" s="24" t="s">
        <v>230</v>
      </c>
      <c r="D160" s="24" t="s">
        <v>234</v>
      </c>
      <c r="E160" s="20"/>
      <c r="F160" s="20"/>
      <c r="G160" s="21">
        <f>G161</f>
        <v>7159.4000000000005</v>
      </c>
      <c r="H160" s="177"/>
    </row>
    <row r="161" spans="1:9" ht="15.75" x14ac:dyDescent="0.25">
      <c r="A161" s="25" t="s">
        <v>136</v>
      </c>
      <c r="B161" s="16">
        <v>902</v>
      </c>
      <c r="C161" s="20" t="s">
        <v>230</v>
      </c>
      <c r="D161" s="20" t="s">
        <v>234</v>
      </c>
      <c r="E161" s="20" t="s">
        <v>137</v>
      </c>
      <c r="F161" s="20"/>
      <c r="G161" s="26">
        <f>G162</f>
        <v>7159.4000000000005</v>
      </c>
      <c r="H161" s="177"/>
    </row>
    <row r="162" spans="1:9" ht="15.75" x14ac:dyDescent="0.25">
      <c r="A162" s="25" t="s">
        <v>156</v>
      </c>
      <c r="B162" s="16">
        <v>902</v>
      </c>
      <c r="C162" s="20" t="s">
        <v>230</v>
      </c>
      <c r="D162" s="20" t="s">
        <v>234</v>
      </c>
      <c r="E162" s="20" t="s">
        <v>157</v>
      </c>
      <c r="F162" s="20"/>
      <c r="G162" s="26">
        <f>G163+G169+G174</f>
        <v>7159.4000000000005</v>
      </c>
      <c r="H162" s="177"/>
    </row>
    <row r="163" spans="1:9" ht="47.25" x14ac:dyDescent="0.25">
      <c r="A163" s="25" t="s">
        <v>239</v>
      </c>
      <c r="B163" s="16">
        <v>902</v>
      </c>
      <c r="C163" s="20" t="s">
        <v>230</v>
      </c>
      <c r="D163" s="20" t="s">
        <v>234</v>
      </c>
      <c r="E163" s="20" t="s">
        <v>240</v>
      </c>
      <c r="F163" s="20"/>
      <c r="G163" s="26">
        <f>G164</f>
        <v>2064.1</v>
      </c>
      <c r="H163" s="177"/>
    </row>
    <row r="164" spans="1:9" ht="47.25" x14ac:dyDescent="0.25">
      <c r="A164" s="25" t="s">
        <v>213</v>
      </c>
      <c r="B164" s="16">
        <v>902</v>
      </c>
      <c r="C164" s="20" t="s">
        <v>230</v>
      </c>
      <c r="D164" s="20" t="s">
        <v>234</v>
      </c>
      <c r="E164" s="20" t="s">
        <v>240</v>
      </c>
      <c r="F164" s="20" t="s">
        <v>147</v>
      </c>
      <c r="G164" s="26">
        <f>G165</f>
        <v>2064.1</v>
      </c>
      <c r="H164" s="177"/>
    </row>
    <row r="165" spans="1:9" ht="47.25" x14ac:dyDescent="0.25">
      <c r="A165" s="25" t="s">
        <v>148</v>
      </c>
      <c r="B165" s="16">
        <v>902</v>
      </c>
      <c r="C165" s="20" t="s">
        <v>230</v>
      </c>
      <c r="D165" s="20" t="s">
        <v>234</v>
      </c>
      <c r="E165" s="20" t="s">
        <v>240</v>
      </c>
      <c r="F165" s="20" t="s">
        <v>149</v>
      </c>
      <c r="G165" s="159">
        <f>1908.4+354-98.3-100</f>
        <v>2064.1</v>
      </c>
      <c r="H165" s="106" t="s">
        <v>740</v>
      </c>
      <c r="I165" s="125"/>
    </row>
    <row r="166" spans="1:9" ht="15.75" hidden="1" x14ac:dyDescent="0.25">
      <c r="A166" s="25" t="s">
        <v>241</v>
      </c>
      <c r="B166" s="16">
        <v>902</v>
      </c>
      <c r="C166" s="20" t="s">
        <v>230</v>
      </c>
      <c r="D166" s="20" t="s">
        <v>234</v>
      </c>
      <c r="E166" s="20" t="s">
        <v>242</v>
      </c>
      <c r="F166" s="20"/>
      <c r="G166" s="26">
        <f>G167</f>
        <v>0</v>
      </c>
      <c r="H166" s="177"/>
    </row>
    <row r="167" spans="1:9" ht="47.25" hidden="1" x14ac:dyDescent="0.25">
      <c r="A167" s="25" t="s">
        <v>213</v>
      </c>
      <c r="B167" s="16">
        <v>902</v>
      </c>
      <c r="C167" s="20" t="s">
        <v>230</v>
      </c>
      <c r="D167" s="20" t="s">
        <v>234</v>
      </c>
      <c r="E167" s="20" t="s">
        <v>242</v>
      </c>
      <c r="F167" s="20" t="s">
        <v>147</v>
      </c>
      <c r="G167" s="26">
        <f>G168</f>
        <v>0</v>
      </c>
      <c r="H167" s="177"/>
    </row>
    <row r="168" spans="1:9" ht="47.25" hidden="1" x14ac:dyDescent="0.25">
      <c r="A168" s="25" t="s">
        <v>148</v>
      </c>
      <c r="B168" s="16">
        <v>902</v>
      </c>
      <c r="C168" s="20" t="s">
        <v>230</v>
      </c>
      <c r="D168" s="20" t="s">
        <v>234</v>
      </c>
      <c r="E168" s="20" t="s">
        <v>242</v>
      </c>
      <c r="F168" s="20" t="s">
        <v>149</v>
      </c>
      <c r="G168" s="26">
        <v>0</v>
      </c>
      <c r="H168" s="177"/>
    </row>
    <row r="169" spans="1:9" ht="31.5" x14ac:dyDescent="0.25">
      <c r="A169" s="25" t="s">
        <v>243</v>
      </c>
      <c r="B169" s="16">
        <v>902</v>
      </c>
      <c r="C169" s="20" t="s">
        <v>230</v>
      </c>
      <c r="D169" s="20" t="s">
        <v>234</v>
      </c>
      <c r="E169" s="20" t="s">
        <v>244</v>
      </c>
      <c r="F169" s="20"/>
      <c r="G169" s="26">
        <f>G170+G172</f>
        <v>4997</v>
      </c>
      <c r="H169" s="177"/>
    </row>
    <row r="170" spans="1:9" ht="94.5" x14ac:dyDescent="0.25">
      <c r="A170" s="25" t="s">
        <v>142</v>
      </c>
      <c r="B170" s="16">
        <v>902</v>
      </c>
      <c r="C170" s="20" t="s">
        <v>230</v>
      </c>
      <c r="D170" s="20" t="s">
        <v>234</v>
      </c>
      <c r="E170" s="20" t="s">
        <v>244</v>
      </c>
      <c r="F170" s="20" t="s">
        <v>143</v>
      </c>
      <c r="G170" s="26">
        <f>G171</f>
        <v>4692.3</v>
      </c>
      <c r="H170" s="177"/>
    </row>
    <row r="171" spans="1:9" ht="31.5" x14ac:dyDescent="0.25">
      <c r="A171" s="25" t="s">
        <v>223</v>
      </c>
      <c r="B171" s="16">
        <v>902</v>
      </c>
      <c r="C171" s="20" t="s">
        <v>230</v>
      </c>
      <c r="D171" s="20" t="s">
        <v>234</v>
      </c>
      <c r="E171" s="20" t="s">
        <v>244</v>
      </c>
      <c r="F171" s="20" t="s">
        <v>224</v>
      </c>
      <c r="G171" s="27">
        <f>4586.3+106</f>
        <v>4692.3</v>
      </c>
      <c r="H171" s="177"/>
    </row>
    <row r="172" spans="1:9" ht="47.25" x14ac:dyDescent="0.25">
      <c r="A172" s="25" t="s">
        <v>213</v>
      </c>
      <c r="B172" s="16">
        <v>902</v>
      </c>
      <c r="C172" s="20" t="s">
        <v>230</v>
      </c>
      <c r="D172" s="20" t="s">
        <v>234</v>
      </c>
      <c r="E172" s="20" t="s">
        <v>244</v>
      </c>
      <c r="F172" s="20" t="s">
        <v>147</v>
      </c>
      <c r="G172" s="26">
        <f>G173</f>
        <v>304.7</v>
      </c>
      <c r="H172" s="177"/>
    </row>
    <row r="173" spans="1:9" ht="47.25" x14ac:dyDescent="0.25">
      <c r="A173" s="25" t="s">
        <v>148</v>
      </c>
      <c r="B173" s="16">
        <v>902</v>
      </c>
      <c r="C173" s="20" t="s">
        <v>230</v>
      </c>
      <c r="D173" s="20" t="s">
        <v>234</v>
      </c>
      <c r="E173" s="20" t="s">
        <v>244</v>
      </c>
      <c r="F173" s="20" t="s">
        <v>149</v>
      </c>
      <c r="G173" s="156">
        <f>204.7+100</f>
        <v>304.7</v>
      </c>
      <c r="H173" s="157" t="s">
        <v>741</v>
      </c>
    </row>
    <row r="174" spans="1:9" ht="15.75" x14ac:dyDescent="0.25">
      <c r="A174" s="25" t="s">
        <v>245</v>
      </c>
      <c r="B174" s="16">
        <v>902</v>
      </c>
      <c r="C174" s="20" t="s">
        <v>230</v>
      </c>
      <c r="D174" s="20" t="s">
        <v>234</v>
      </c>
      <c r="E174" s="20" t="s">
        <v>246</v>
      </c>
      <c r="F174" s="20"/>
      <c r="G174" s="27">
        <f>G175</f>
        <v>98.3</v>
      </c>
      <c r="H174" s="177"/>
    </row>
    <row r="175" spans="1:9" ht="47.25" x14ac:dyDescent="0.25">
      <c r="A175" s="25" t="s">
        <v>213</v>
      </c>
      <c r="B175" s="16">
        <v>902</v>
      </c>
      <c r="C175" s="20" t="s">
        <v>230</v>
      </c>
      <c r="D175" s="20" t="s">
        <v>234</v>
      </c>
      <c r="E175" s="20" t="s">
        <v>246</v>
      </c>
      <c r="F175" s="20" t="s">
        <v>147</v>
      </c>
      <c r="G175" s="27">
        <f>G176</f>
        <v>98.3</v>
      </c>
      <c r="H175" s="177"/>
    </row>
    <row r="176" spans="1:9" ht="47.25" x14ac:dyDescent="0.25">
      <c r="A176" s="25" t="s">
        <v>148</v>
      </c>
      <c r="B176" s="16">
        <v>902</v>
      </c>
      <c r="C176" s="20" t="s">
        <v>230</v>
      </c>
      <c r="D176" s="20" t="s">
        <v>234</v>
      </c>
      <c r="E176" s="20" t="s">
        <v>246</v>
      </c>
      <c r="F176" s="20" t="s">
        <v>149</v>
      </c>
      <c r="G176" s="27">
        <v>98.3</v>
      </c>
      <c r="H176" s="106"/>
      <c r="I176" s="124"/>
    </row>
    <row r="177" spans="1:9" ht="15.75" x14ac:dyDescent="0.25">
      <c r="A177" s="23" t="s">
        <v>247</v>
      </c>
      <c r="B177" s="19">
        <v>902</v>
      </c>
      <c r="C177" s="24" t="s">
        <v>165</v>
      </c>
      <c r="D177" s="24"/>
      <c r="E177" s="24"/>
      <c r="F177" s="20"/>
      <c r="G177" s="21">
        <f>G184+G178</f>
        <v>1821.3999999999999</v>
      </c>
      <c r="H177" s="177"/>
    </row>
    <row r="178" spans="1:9" ht="15.75" x14ac:dyDescent="0.25">
      <c r="A178" s="23" t="s">
        <v>248</v>
      </c>
      <c r="B178" s="19">
        <v>902</v>
      </c>
      <c r="C178" s="24" t="s">
        <v>165</v>
      </c>
      <c r="D178" s="24" t="s">
        <v>249</v>
      </c>
      <c r="E178" s="24"/>
      <c r="F178" s="20"/>
      <c r="G178" s="21">
        <f>G179</f>
        <v>450</v>
      </c>
      <c r="H178" s="177"/>
    </row>
    <row r="179" spans="1:9" ht="15.75" x14ac:dyDescent="0.25">
      <c r="A179" s="25" t="s">
        <v>136</v>
      </c>
      <c r="B179" s="16">
        <v>902</v>
      </c>
      <c r="C179" s="20" t="s">
        <v>165</v>
      </c>
      <c r="D179" s="20" t="s">
        <v>249</v>
      </c>
      <c r="E179" s="20" t="s">
        <v>137</v>
      </c>
      <c r="F179" s="20"/>
      <c r="G179" s="26">
        <f>G180</f>
        <v>450</v>
      </c>
      <c r="H179" s="177"/>
    </row>
    <row r="180" spans="1:9" ht="31.5" x14ac:dyDescent="0.25">
      <c r="A180" s="25" t="s">
        <v>200</v>
      </c>
      <c r="B180" s="16">
        <v>902</v>
      </c>
      <c r="C180" s="20" t="s">
        <v>165</v>
      </c>
      <c r="D180" s="20" t="s">
        <v>249</v>
      </c>
      <c r="E180" s="20" t="s">
        <v>201</v>
      </c>
      <c r="F180" s="20"/>
      <c r="G180" s="26">
        <f>G181</f>
        <v>450</v>
      </c>
      <c r="H180" s="177"/>
    </row>
    <row r="181" spans="1:9" ht="31.5" x14ac:dyDescent="0.25">
      <c r="A181" s="25" t="s">
        <v>250</v>
      </c>
      <c r="B181" s="16">
        <v>902</v>
      </c>
      <c r="C181" s="20" t="s">
        <v>165</v>
      </c>
      <c r="D181" s="20" t="s">
        <v>249</v>
      </c>
      <c r="E181" s="20" t="s">
        <v>251</v>
      </c>
      <c r="F181" s="20"/>
      <c r="G181" s="26">
        <f>G182</f>
        <v>450</v>
      </c>
      <c r="H181" s="177"/>
    </row>
    <row r="182" spans="1:9" ht="15.75" x14ac:dyDescent="0.25">
      <c r="A182" s="25" t="s">
        <v>150</v>
      </c>
      <c r="B182" s="16">
        <v>902</v>
      </c>
      <c r="C182" s="20" t="s">
        <v>165</v>
      </c>
      <c r="D182" s="20" t="s">
        <v>249</v>
      </c>
      <c r="E182" s="20" t="s">
        <v>251</v>
      </c>
      <c r="F182" s="20" t="s">
        <v>160</v>
      </c>
      <c r="G182" s="26">
        <f>G183</f>
        <v>450</v>
      </c>
      <c r="H182" s="177"/>
    </row>
    <row r="183" spans="1:9" ht="63" x14ac:dyDescent="0.25">
      <c r="A183" s="25" t="s">
        <v>199</v>
      </c>
      <c r="B183" s="16">
        <v>902</v>
      </c>
      <c r="C183" s="20" t="s">
        <v>165</v>
      </c>
      <c r="D183" s="20" t="s">
        <v>249</v>
      </c>
      <c r="E183" s="20" t="s">
        <v>251</v>
      </c>
      <c r="F183" s="20" t="s">
        <v>175</v>
      </c>
      <c r="G183" s="158">
        <f>310+140</f>
        <v>450</v>
      </c>
      <c r="H183" s="157" t="s">
        <v>739</v>
      </c>
      <c r="I183" s="115"/>
    </row>
    <row r="184" spans="1:9" ht="31.5" x14ac:dyDescent="0.25">
      <c r="A184" s="23" t="s">
        <v>252</v>
      </c>
      <c r="B184" s="19">
        <v>902</v>
      </c>
      <c r="C184" s="24" t="s">
        <v>165</v>
      </c>
      <c r="D184" s="24" t="s">
        <v>253</v>
      </c>
      <c r="E184" s="24"/>
      <c r="F184" s="24"/>
      <c r="G184" s="21">
        <f>G185</f>
        <v>1371.3999999999999</v>
      </c>
      <c r="H184" s="177"/>
    </row>
    <row r="185" spans="1:9" ht="15.75" x14ac:dyDescent="0.25">
      <c r="A185" s="25" t="s">
        <v>136</v>
      </c>
      <c r="B185" s="16">
        <v>902</v>
      </c>
      <c r="C185" s="20" t="s">
        <v>165</v>
      </c>
      <c r="D185" s="20" t="s">
        <v>253</v>
      </c>
      <c r="E185" s="20" t="s">
        <v>137</v>
      </c>
      <c r="F185" s="24"/>
      <c r="G185" s="26">
        <f>G186</f>
        <v>1371.3999999999999</v>
      </c>
      <c r="H185" s="177"/>
    </row>
    <row r="186" spans="1:9" ht="31.5" x14ac:dyDescent="0.25">
      <c r="A186" s="25" t="s">
        <v>200</v>
      </c>
      <c r="B186" s="16">
        <v>902</v>
      </c>
      <c r="C186" s="20" t="s">
        <v>165</v>
      </c>
      <c r="D186" s="20" t="s">
        <v>253</v>
      </c>
      <c r="E186" s="20" t="s">
        <v>201</v>
      </c>
      <c r="F186" s="24"/>
      <c r="G186" s="26">
        <f>G190+G187</f>
        <v>1371.3999999999999</v>
      </c>
      <c r="H186" s="177"/>
    </row>
    <row r="187" spans="1:9" ht="31.5" x14ac:dyDescent="0.25">
      <c r="A187" s="25" t="s">
        <v>254</v>
      </c>
      <c r="B187" s="16">
        <v>902</v>
      </c>
      <c r="C187" s="20" t="s">
        <v>165</v>
      </c>
      <c r="D187" s="20" t="s">
        <v>253</v>
      </c>
      <c r="E187" s="20" t="s">
        <v>255</v>
      </c>
      <c r="F187" s="24"/>
      <c r="G187" s="26">
        <f>G188</f>
        <v>90</v>
      </c>
      <c r="H187" s="177"/>
    </row>
    <row r="188" spans="1:9" ht="15.75" x14ac:dyDescent="0.25">
      <c r="A188" s="25" t="s">
        <v>150</v>
      </c>
      <c r="B188" s="16">
        <v>902</v>
      </c>
      <c r="C188" s="20" t="s">
        <v>165</v>
      </c>
      <c r="D188" s="20" t="s">
        <v>253</v>
      </c>
      <c r="E188" s="20" t="s">
        <v>255</v>
      </c>
      <c r="F188" s="20" t="s">
        <v>160</v>
      </c>
      <c r="G188" s="26">
        <f>G189</f>
        <v>90</v>
      </c>
      <c r="H188" s="177"/>
    </row>
    <row r="189" spans="1:9" ht="63" x14ac:dyDescent="0.25">
      <c r="A189" s="25" t="s">
        <v>199</v>
      </c>
      <c r="B189" s="16">
        <v>902</v>
      </c>
      <c r="C189" s="20" t="s">
        <v>165</v>
      </c>
      <c r="D189" s="20" t="s">
        <v>253</v>
      </c>
      <c r="E189" s="20" t="s">
        <v>255</v>
      </c>
      <c r="F189" s="20" t="s">
        <v>175</v>
      </c>
      <c r="G189" s="162">
        <v>90</v>
      </c>
      <c r="H189" s="157" t="s">
        <v>748</v>
      </c>
    </row>
    <row r="190" spans="1:9" ht="63" x14ac:dyDescent="0.25">
      <c r="A190" s="31" t="s">
        <v>256</v>
      </c>
      <c r="B190" s="16">
        <v>902</v>
      </c>
      <c r="C190" s="20" t="s">
        <v>165</v>
      </c>
      <c r="D190" s="20" t="s">
        <v>253</v>
      </c>
      <c r="E190" s="20" t="s">
        <v>257</v>
      </c>
      <c r="F190" s="20"/>
      <c r="G190" s="26">
        <f>G191+G193</f>
        <v>1281.3999999999999</v>
      </c>
      <c r="H190" s="177"/>
    </row>
    <row r="191" spans="1:9" ht="94.5" x14ac:dyDescent="0.25">
      <c r="A191" s="25" t="s">
        <v>142</v>
      </c>
      <c r="B191" s="16">
        <v>902</v>
      </c>
      <c r="C191" s="20" t="s">
        <v>165</v>
      </c>
      <c r="D191" s="20" t="s">
        <v>253</v>
      </c>
      <c r="E191" s="20" t="s">
        <v>257</v>
      </c>
      <c r="F191" s="20" t="s">
        <v>143</v>
      </c>
      <c r="G191" s="26">
        <f>G192</f>
        <v>1116.3999999999999</v>
      </c>
      <c r="H191" s="177"/>
    </row>
    <row r="192" spans="1:9" ht="31.5" x14ac:dyDescent="0.25">
      <c r="A192" s="25" t="s">
        <v>144</v>
      </c>
      <c r="B192" s="16">
        <v>902</v>
      </c>
      <c r="C192" s="20" t="s">
        <v>165</v>
      </c>
      <c r="D192" s="20" t="s">
        <v>253</v>
      </c>
      <c r="E192" s="20" t="s">
        <v>257</v>
      </c>
      <c r="F192" s="20" t="s">
        <v>145</v>
      </c>
      <c r="G192" s="26">
        <f>1302-123.4-62.2</f>
        <v>1116.3999999999999</v>
      </c>
      <c r="H192" s="177"/>
      <c r="I192" s="115"/>
    </row>
    <row r="193" spans="1:8" ht="31.5" x14ac:dyDescent="0.25">
      <c r="A193" s="25" t="s">
        <v>146</v>
      </c>
      <c r="B193" s="16">
        <v>902</v>
      </c>
      <c r="C193" s="20" t="s">
        <v>165</v>
      </c>
      <c r="D193" s="20" t="s">
        <v>253</v>
      </c>
      <c r="E193" s="20" t="s">
        <v>257</v>
      </c>
      <c r="F193" s="20" t="s">
        <v>147</v>
      </c>
      <c r="G193" s="26">
        <f>G194</f>
        <v>165</v>
      </c>
      <c r="H193" s="177"/>
    </row>
    <row r="194" spans="1:8" ht="47.25" x14ac:dyDescent="0.25">
      <c r="A194" s="25" t="s">
        <v>148</v>
      </c>
      <c r="B194" s="16">
        <v>902</v>
      </c>
      <c r="C194" s="20" t="s">
        <v>165</v>
      </c>
      <c r="D194" s="20" t="s">
        <v>253</v>
      </c>
      <c r="E194" s="20" t="s">
        <v>257</v>
      </c>
      <c r="F194" s="20" t="s">
        <v>149</v>
      </c>
      <c r="G194" s="26">
        <f>102.8+62.2</f>
        <v>165</v>
      </c>
      <c r="H194" s="177"/>
    </row>
    <row r="195" spans="1:8" ht="16.5" customHeight="1" x14ac:dyDescent="0.25">
      <c r="A195" s="23" t="s">
        <v>258</v>
      </c>
      <c r="B195" s="19">
        <v>902</v>
      </c>
      <c r="C195" s="24" t="s">
        <v>259</v>
      </c>
      <c r="D195" s="24"/>
      <c r="E195" s="24"/>
      <c r="F195" s="24"/>
      <c r="G195" s="21">
        <f>G196+G202+G212</f>
        <v>12224.9</v>
      </c>
      <c r="H195" s="177"/>
    </row>
    <row r="196" spans="1:8" ht="15.75" x14ac:dyDescent="0.25">
      <c r="A196" s="23" t="s">
        <v>260</v>
      </c>
      <c r="B196" s="19">
        <v>902</v>
      </c>
      <c r="C196" s="24" t="s">
        <v>259</v>
      </c>
      <c r="D196" s="24" t="s">
        <v>133</v>
      </c>
      <c r="E196" s="24"/>
      <c r="F196" s="24"/>
      <c r="G196" s="21">
        <f>G197</f>
        <v>9066.4</v>
      </c>
      <c r="H196" s="177"/>
    </row>
    <row r="197" spans="1:8" ht="15.75" x14ac:dyDescent="0.25">
      <c r="A197" s="25" t="s">
        <v>136</v>
      </c>
      <c r="B197" s="16">
        <v>902</v>
      </c>
      <c r="C197" s="20" t="s">
        <v>259</v>
      </c>
      <c r="D197" s="20" t="s">
        <v>133</v>
      </c>
      <c r="E197" s="20" t="s">
        <v>137</v>
      </c>
      <c r="F197" s="20"/>
      <c r="G197" s="26">
        <f>G198</f>
        <v>9066.4</v>
      </c>
      <c r="H197" s="177"/>
    </row>
    <row r="198" spans="1:8" ht="15.75" x14ac:dyDescent="0.25">
      <c r="A198" s="25" t="s">
        <v>156</v>
      </c>
      <c r="B198" s="16">
        <v>902</v>
      </c>
      <c r="C198" s="20" t="s">
        <v>259</v>
      </c>
      <c r="D198" s="20" t="s">
        <v>133</v>
      </c>
      <c r="E198" s="20" t="s">
        <v>157</v>
      </c>
      <c r="F198" s="20"/>
      <c r="G198" s="26">
        <f>G199</f>
        <v>9066.4</v>
      </c>
      <c r="H198" s="177"/>
    </row>
    <row r="199" spans="1:8" ht="15.75" x14ac:dyDescent="0.25">
      <c r="A199" s="25" t="s">
        <v>261</v>
      </c>
      <c r="B199" s="16">
        <v>902</v>
      </c>
      <c r="C199" s="20" t="s">
        <v>259</v>
      </c>
      <c r="D199" s="20" t="s">
        <v>133</v>
      </c>
      <c r="E199" s="20" t="s">
        <v>262</v>
      </c>
      <c r="F199" s="20"/>
      <c r="G199" s="26">
        <f>G200</f>
        <v>9066.4</v>
      </c>
      <c r="H199" s="177"/>
    </row>
    <row r="200" spans="1:8" ht="31.5" x14ac:dyDescent="0.25">
      <c r="A200" s="25" t="s">
        <v>263</v>
      </c>
      <c r="B200" s="16">
        <v>902</v>
      </c>
      <c r="C200" s="20" t="s">
        <v>259</v>
      </c>
      <c r="D200" s="20" t="s">
        <v>133</v>
      </c>
      <c r="E200" s="20" t="s">
        <v>262</v>
      </c>
      <c r="F200" s="20" t="s">
        <v>264</v>
      </c>
      <c r="G200" s="26">
        <f>G201</f>
        <v>9066.4</v>
      </c>
      <c r="H200" s="177"/>
    </row>
    <row r="201" spans="1:8" ht="31.5" x14ac:dyDescent="0.25">
      <c r="A201" s="25" t="s">
        <v>265</v>
      </c>
      <c r="B201" s="16">
        <v>902</v>
      </c>
      <c r="C201" s="20" t="s">
        <v>259</v>
      </c>
      <c r="D201" s="20" t="s">
        <v>133</v>
      </c>
      <c r="E201" s="20" t="s">
        <v>262</v>
      </c>
      <c r="F201" s="20" t="s">
        <v>266</v>
      </c>
      <c r="G201" s="27">
        <v>9066.4</v>
      </c>
      <c r="H201" s="177"/>
    </row>
    <row r="202" spans="1:8" ht="15.75" x14ac:dyDescent="0.25">
      <c r="A202" s="23" t="s">
        <v>267</v>
      </c>
      <c r="B202" s="19">
        <v>902</v>
      </c>
      <c r="C202" s="24" t="s">
        <v>259</v>
      </c>
      <c r="D202" s="24" t="s">
        <v>230</v>
      </c>
      <c r="E202" s="20"/>
      <c r="F202" s="20"/>
      <c r="G202" s="21">
        <f>G203+G207</f>
        <v>10</v>
      </c>
      <c r="H202" s="177"/>
    </row>
    <row r="203" spans="1:8" ht="78.75" x14ac:dyDescent="0.25">
      <c r="A203" s="25" t="s">
        <v>268</v>
      </c>
      <c r="B203" s="16">
        <v>902</v>
      </c>
      <c r="C203" s="20" t="s">
        <v>259</v>
      </c>
      <c r="D203" s="20" t="s">
        <v>230</v>
      </c>
      <c r="E203" s="20" t="s">
        <v>269</v>
      </c>
      <c r="F203" s="20"/>
      <c r="G203" s="26">
        <f>G204</f>
        <v>10</v>
      </c>
      <c r="H203" s="177"/>
    </row>
    <row r="204" spans="1:8" ht="31.5" x14ac:dyDescent="0.25">
      <c r="A204" s="25" t="s">
        <v>172</v>
      </c>
      <c r="B204" s="16">
        <v>902</v>
      </c>
      <c r="C204" s="20" t="s">
        <v>259</v>
      </c>
      <c r="D204" s="20" t="s">
        <v>230</v>
      </c>
      <c r="E204" s="20" t="s">
        <v>270</v>
      </c>
      <c r="F204" s="20"/>
      <c r="G204" s="26">
        <f>G205</f>
        <v>10</v>
      </c>
      <c r="H204" s="177"/>
    </row>
    <row r="205" spans="1:8" ht="31.5" x14ac:dyDescent="0.25">
      <c r="A205" s="25" t="s">
        <v>263</v>
      </c>
      <c r="B205" s="16">
        <v>902</v>
      </c>
      <c r="C205" s="20" t="s">
        <v>259</v>
      </c>
      <c r="D205" s="20" t="s">
        <v>230</v>
      </c>
      <c r="E205" s="20" t="s">
        <v>270</v>
      </c>
      <c r="F205" s="20" t="s">
        <v>264</v>
      </c>
      <c r="G205" s="26">
        <f>G206</f>
        <v>10</v>
      </c>
      <c r="H205" s="177"/>
    </row>
    <row r="206" spans="1:8" ht="31.5" x14ac:dyDescent="0.25">
      <c r="A206" s="25" t="s">
        <v>265</v>
      </c>
      <c r="B206" s="16">
        <v>902</v>
      </c>
      <c r="C206" s="20" t="s">
        <v>259</v>
      </c>
      <c r="D206" s="20" t="s">
        <v>230</v>
      </c>
      <c r="E206" s="20" t="s">
        <v>270</v>
      </c>
      <c r="F206" s="20" t="s">
        <v>266</v>
      </c>
      <c r="G206" s="26">
        <v>10</v>
      </c>
      <c r="H206" s="177"/>
    </row>
    <row r="207" spans="1:8" ht="15.75" hidden="1" x14ac:dyDescent="0.25">
      <c r="A207" s="25" t="s">
        <v>136</v>
      </c>
      <c r="B207" s="16">
        <v>902</v>
      </c>
      <c r="C207" s="20" t="s">
        <v>259</v>
      </c>
      <c r="D207" s="20" t="s">
        <v>230</v>
      </c>
      <c r="E207" s="20" t="s">
        <v>137</v>
      </c>
      <c r="F207" s="20"/>
      <c r="G207" s="26">
        <f>G208</f>
        <v>0</v>
      </c>
      <c r="H207" s="177"/>
    </row>
    <row r="208" spans="1:8" ht="31.5" hidden="1" x14ac:dyDescent="0.25">
      <c r="A208" s="25" t="s">
        <v>200</v>
      </c>
      <c r="B208" s="16">
        <v>902</v>
      </c>
      <c r="C208" s="20" t="s">
        <v>259</v>
      </c>
      <c r="D208" s="20" t="s">
        <v>230</v>
      </c>
      <c r="E208" s="20" t="s">
        <v>201</v>
      </c>
      <c r="F208" s="20"/>
      <c r="G208" s="26">
        <f>G209</f>
        <v>0</v>
      </c>
      <c r="H208" s="177"/>
    </row>
    <row r="209" spans="1:12" ht="47.25" hidden="1" x14ac:dyDescent="0.25">
      <c r="A209" s="31" t="s">
        <v>271</v>
      </c>
      <c r="B209" s="16">
        <v>902</v>
      </c>
      <c r="C209" s="20" t="s">
        <v>259</v>
      </c>
      <c r="D209" s="20" t="s">
        <v>230</v>
      </c>
      <c r="E209" s="20" t="s">
        <v>272</v>
      </c>
      <c r="F209" s="20"/>
      <c r="G209" s="26">
        <f>G210</f>
        <v>0</v>
      </c>
      <c r="H209" s="177"/>
    </row>
    <row r="210" spans="1:12" ht="31.5" hidden="1" x14ac:dyDescent="0.25">
      <c r="A210" s="25" t="s">
        <v>263</v>
      </c>
      <c r="B210" s="16">
        <v>902</v>
      </c>
      <c r="C210" s="20" t="s">
        <v>259</v>
      </c>
      <c r="D210" s="20" t="s">
        <v>230</v>
      </c>
      <c r="E210" s="20" t="s">
        <v>272</v>
      </c>
      <c r="F210" s="20" t="s">
        <v>264</v>
      </c>
      <c r="G210" s="26">
        <f>G211</f>
        <v>0</v>
      </c>
      <c r="H210" s="177"/>
    </row>
    <row r="211" spans="1:12" ht="31.5" hidden="1" x14ac:dyDescent="0.25">
      <c r="A211" s="25" t="s">
        <v>265</v>
      </c>
      <c r="B211" s="16">
        <v>902</v>
      </c>
      <c r="C211" s="20" t="s">
        <v>259</v>
      </c>
      <c r="D211" s="20" t="s">
        <v>230</v>
      </c>
      <c r="E211" s="20" t="s">
        <v>272</v>
      </c>
      <c r="F211" s="20" t="s">
        <v>266</v>
      </c>
      <c r="G211" s="26">
        <f>6250-6250</f>
        <v>0</v>
      </c>
      <c r="H211" s="106"/>
      <c r="I211" s="115"/>
    </row>
    <row r="212" spans="1:12" ht="31.5" x14ac:dyDescent="0.25">
      <c r="A212" s="23" t="s">
        <v>273</v>
      </c>
      <c r="B212" s="19">
        <v>902</v>
      </c>
      <c r="C212" s="24" t="s">
        <v>259</v>
      </c>
      <c r="D212" s="24" t="s">
        <v>135</v>
      </c>
      <c r="E212" s="24"/>
      <c r="F212" s="24"/>
      <c r="G212" s="21">
        <f>G213</f>
        <v>3148.5000000000005</v>
      </c>
      <c r="H212" s="177"/>
    </row>
    <row r="213" spans="1:12" ht="15.75" x14ac:dyDescent="0.25">
      <c r="A213" s="25" t="s">
        <v>136</v>
      </c>
      <c r="B213" s="16">
        <v>902</v>
      </c>
      <c r="C213" s="20" t="s">
        <v>259</v>
      </c>
      <c r="D213" s="20" t="s">
        <v>135</v>
      </c>
      <c r="E213" s="20" t="s">
        <v>137</v>
      </c>
      <c r="F213" s="24"/>
      <c r="G213" s="26">
        <f>G214</f>
        <v>3148.5000000000005</v>
      </c>
      <c r="H213" s="177"/>
    </row>
    <row r="214" spans="1:12" ht="31.5" x14ac:dyDescent="0.25">
      <c r="A214" s="25" t="s">
        <v>200</v>
      </c>
      <c r="B214" s="16">
        <v>902</v>
      </c>
      <c r="C214" s="20" t="s">
        <v>259</v>
      </c>
      <c r="D214" s="20" t="s">
        <v>135</v>
      </c>
      <c r="E214" s="20" t="s">
        <v>201</v>
      </c>
      <c r="F214" s="20"/>
      <c r="G214" s="26">
        <f>G215</f>
        <v>3148.5000000000005</v>
      </c>
      <c r="H214" s="177"/>
    </row>
    <row r="215" spans="1:12" ht="47.25" x14ac:dyDescent="0.25">
      <c r="A215" s="31" t="s">
        <v>274</v>
      </c>
      <c r="B215" s="16">
        <v>902</v>
      </c>
      <c r="C215" s="20" t="s">
        <v>259</v>
      </c>
      <c r="D215" s="20" t="s">
        <v>135</v>
      </c>
      <c r="E215" s="20" t="s">
        <v>275</v>
      </c>
      <c r="F215" s="20"/>
      <c r="G215" s="26">
        <f>G216+G218</f>
        <v>3148.5000000000005</v>
      </c>
      <c r="H215" s="177"/>
    </row>
    <row r="216" spans="1:12" ht="94.5" x14ac:dyDescent="0.25">
      <c r="A216" s="25" t="s">
        <v>142</v>
      </c>
      <c r="B216" s="16">
        <v>902</v>
      </c>
      <c r="C216" s="20" t="s">
        <v>259</v>
      </c>
      <c r="D216" s="20" t="s">
        <v>135</v>
      </c>
      <c r="E216" s="20" t="s">
        <v>275</v>
      </c>
      <c r="F216" s="20" t="s">
        <v>143</v>
      </c>
      <c r="G216" s="26">
        <f>G217</f>
        <v>2884.1000000000004</v>
      </c>
      <c r="H216" s="177"/>
    </row>
    <row r="217" spans="1:12" ht="31.5" x14ac:dyDescent="0.25">
      <c r="A217" s="25" t="s">
        <v>144</v>
      </c>
      <c r="B217" s="16">
        <v>902</v>
      </c>
      <c r="C217" s="20" t="s">
        <v>259</v>
      </c>
      <c r="D217" s="20" t="s">
        <v>135</v>
      </c>
      <c r="E217" s="20" t="s">
        <v>275</v>
      </c>
      <c r="F217" s="20" t="s">
        <v>145</v>
      </c>
      <c r="G217" s="27">
        <f>2826.8+14.8+42.5</f>
        <v>2884.1000000000004</v>
      </c>
      <c r="H217" s="106"/>
    </row>
    <row r="218" spans="1:12" ht="31.5" x14ac:dyDescent="0.25">
      <c r="A218" s="25" t="s">
        <v>146</v>
      </c>
      <c r="B218" s="16">
        <v>902</v>
      </c>
      <c r="C218" s="20" t="s">
        <v>259</v>
      </c>
      <c r="D218" s="20" t="s">
        <v>135</v>
      </c>
      <c r="E218" s="20" t="s">
        <v>275</v>
      </c>
      <c r="F218" s="20" t="s">
        <v>147</v>
      </c>
      <c r="G218" s="26">
        <f>G219</f>
        <v>264.39999999999998</v>
      </c>
      <c r="H218" s="177"/>
    </row>
    <row r="219" spans="1:12" ht="47.25" x14ac:dyDescent="0.25">
      <c r="A219" s="25" t="s">
        <v>148</v>
      </c>
      <c r="B219" s="16">
        <v>902</v>
      </c>
      <c r="C219" s="20" t="s">
        <v>259</v>
      </c>
      <c r="D219" s="20" t="s">
        <v>135</v>
      </c>
      <c r="E219" s="20" t="s">
        <v>275</v>
      </c>
      <c r="F219" s="20" t="s">
        <v>149</v>
      </c>
      <c r="G219" s="27">
        <f>433.9-112.2-14.8-42.5</f>
        <v>264.39999999999998</v>
      </c>
      <c r="H219" s="106"/>
      <c r="I219" s="115"/>
    </row>
    <row r="220" spans="1:12" ht="47.25" x14ac:dyDescent="0.25">
      <c r="A220" s="19" t="s">
        <v>276</v>
      </c>
      <c r="B220" s="19">
        <v>903</v>
      </c>
      <c r="C220" s="20"/>
      <c r="D220" s="20"/>
      <c r="E220" s="20"/>
      <c r="F220" s="20"/>
      <c r="G220" s="21">
        <f>G235+G277+G388+G221+G228</f>
        <v>83896.2</v>
      </c>
      <c r="H220" s="177"/>
      <c r="L220" s="116"/>
    </row>
    <row r="221" spans="1:12" ht="15.75" hidden="1" x14ac:dyDescent="0.25">
      <c r="A221" s="23" t="s">
        <v>132</v>
      </c>
      <c r="B221" s="19">
        <v>903</v>
      </c>
      <c r="C221" s="24" t="s">
        <v>133</v>
      </c>
      <c r="D221" s="24"/>
      <c r="E221" s="24"/>
      <c r="F221" s="24"/>
      <c r="G221" s="21">
        <f t="shared" ref="G221:G226" si="0">G222</f>
        <v>0</v>
      </c>
      <c r="H221" s="177"/>
    </row>
    <row r="222" spans="1:12" ht="15.75" hidden="1" x14ac:dyDescent="0.25">
      <c r="A222" s="34" t="s">
        <v>154</v>
      </c>
      <c r="B222" s="19">
        <v>903</v>
      </c>
      <c r="C222" s="24" t="s">
        <v>133</v>
      </c>
      <c r="D222" s="24" t="s">
        <v>155</v>
      </c>
      <c r="E222" s="24"/>
      <c r="F222" s="24"/>
      <c r="G222" s="21">
        <f t="shared" si="0"/>
        <v>0</v>
      </c>
      <c r="H222" s="177"/>
    </row>
    <row r="223" spans="1:12" ht="15.75" hidden="1" x14ac:dyDescent="0.25">
      <c r="A223" s="31" t="s">
        <v>136</v>
      </c>
      <c r="B223" s="16">
        <v>903</v>
      </c>
      <c r="C223" s="20" t="s">
        <v>133</v>
      </c>
      <c r="D223" s="20" t="s">
        <v>155</v>
      </c>
      <c r="E223" s="20" t="s">
        <v>137</v>
      </c>
      <c r="F223" s="20"/>
      <c r="G223" s="26">
        <f t="shared" si="0"/>
        <v>0</v>
      </c>
      <c r="H223" s="177"/>
    </row>
    <row r="224" spans="1:12" ht="15.75" hidden="1" x14ac:dyDescent="0.25">
      <c r="A224" s="31" t="s">
        <v>156</v>
      </c>
      <c r="B224" s="16">
        <v>903</v>
      </c>
      <c r="C224" s="20" t="s">
        <v>133</v>
      </c>
      <c r="D224" s="20" t="s">
        <v>155</v>
      </c>
      <c r="E224" s="20" t="s">
        <v>157</v>
      </c>
      <c r="F224" s="20"/>
      <c r="G224" s="26">
        <f t="shared" si="0"/>
        <v>0</v>
      </c>
      <c r="H224" s="177"/>
    </row>
    <row r="225" spans="1:8" ht="15.75" hidden="1" x14ac:dyDescent="0.25">
      <c r="A225" s="25" t="s">
        <v>194</v>
      </c>
      <c r="B225" s="16">
        <v>903</v>
      </c>
      <c r="C225" s="20" t="s">
        <v>133</v>
      </c>
      <c r="D225" s="20" t="s">
        <v>155</v>
      </c>
      <c r="E225" s="20" t="s">
        <v>277</v>
      </c>
      <c r="F225" s="20"/>
      <c r="G225" s="26">
        <f t="shared" si="0"/>
        <v>0</v>
      </c>
      <c r="H225" s="177"/>
    </row>
    <row r="226" spans="1:8" ht="31.5" hidden="1" x14ac:dyDescent="0.25">
      <c r="A226" s="25" t="s">
        <v>146</v>
      </c>
      <c r="B226" s="16">
        <v>903</v>
      </c>
      <c r="C226" s="20" t="s">
        <v>133</v>
      </c>
      <c r="D226" s="20" t="s">
        <v>155</v>
      </c>
      <c r="E226" s="20" t="s">
        <v>277</v>
      </c>
      <c r="F226" s="20" t="s">
        <v>147</v>
      </c>
      <c r="G226" s="26">
        <f t="shared" si="0"/>
        <v>0</v>
      </c>
      <c r="H226" s="177"/>
    </row>
    <row r="227" spans="1:8" ht="47.25" hidden="1" x14ac:dyDescent="0.25">
      <c r="A227" s="25" t="s">
        <v>148</v>
      </c>
      <c r="B227" s="16">
        <v>903</v>
      </c>
      <c r="C227" s="20" t="s">
        <v>133</v>
      </c>
      <c r="D227" s="20" t="s">
        <v>155</v>
      </c>
      <c r="E227" s="20" t="s">
        <v>277</v>
      </c>
      <c r="F227" s="20" t="s">
        <v>149</v>
      </c>
      <c r="G227" s="26"/>
      <c r="H227" s="177"/>
    </row>
    <row r="228" spans="1:8" ht="15.75" x14ac:dyDescent="0.25">
      <c r="A228" s="23" t="s">
        <v>132</v>
      </c>
      <c r="B228" s="19">
        <v>903</v>
      </c>
      <c r="C228" s="24" t="s">
        <v>133</v>
      </c>
      <c r="D228" s="20"/>
      <c r="E228" s="20"/>
      <c r="F228" s="20"/>
      <c r="G228" s="26">
        <f t="shared" ref="G228:G233" si="1">G229</f>
        <v>88.7</v>
      </c>
      <c r="H228" s="177"/>
    </row>
    <row r="229" spans="1:8" ht="15.75" x14ac:dyDescent="0.25">
      <c r="A229" s="23" t="s">
        <v>154</v>
      </c>
      <c r="B229" s="19">
        <v>903</v>
      </c>
      <c r="C229" s="24" t="s">
        <v>133</v>
      </c>
      <c r="D229" s="24" t="s">
        <v>155</v>
      </c>
      <c r="E229" s="20"/>
      <c r="F229" s="20"/>
      <c r="G229" s="26">
        <f t="shared" si="1"/>
        <v>88.7</v>
      </c>
      <c r="H229" s="177"/>
    </row>
    <row r="230" spans="1:8" ht="15.75" x14ac:dyDescent="0.25">
      <c r="A230" s="25" t="s">
        <v>136</v>
      </c>
      <c r="B230" s="16">
        <v>903</v>
      </c>
      <c r="C230" s="20" t="s">
        <v>133</v>
      </c>
      <c r="D230" s="20" t="s">
        <v>155</v>
      </c>
      <c r="E230" s="20" t="s">
        <v>137</v>
      </c>
      <c r="F230" s="20"/>
      <c r="G230" s="26">
        <f t="shared" si="1"/>
        <v>88.7</v>
      </c>
      <c r="H230" s="177"/>
    </row>
    <row r="231" spans="1:8" ht="31.5" x14ac:dyDescent="0.25">
      <c r="A231" s="25" t="s">
        <v>200</v>
      </c>
      <c r="B231" s="16">
        <v>903</v>
      </c>
      <c r="C231" s="20" t="s">
        <v>133</v>
      </c>
      <c r="D231" s="20" t="s">
        <v>155</v>
      </c>
      <c r="E231" s="20" t="s">
        <v>201</v>
      </c>
      <c r="F231" s="20"/>
      <c r="G231" s="26">
        <f t="shared" si="1"/>
        <v>88.7</v>
      </c>
      <c r="H231" s="177"/>
    </row>
    <row r="232" spans="1:8" ht="47.25" x14ac:dyDescent="0.25">
      <c r="A232" s="35" t="s">
        <v>756</v>
      </c>
      <c r="B232" s="16">
        <v>903</v>
      </c>
      <c r="C232" s="20" t="s">
        <v>133</v>
      </c>
      <c r="D232" s="20" t="s">
        <v>155</v>
      </c>
      <c r="E232" s="20" t="s">
        <v>755</v>
      </c>
      <c r="F232" s="24"/>
      <c r="G232" s="26">
        <f t="shared" si="1"/>
        <v>88.7</v>
      </c>
      <c r="H232" s="177"/>
    </row>
    <row r="233" spans="1:8" ht="31.5" x14ac:dyDescent="0.25">
      <c r="A233" s="25" t="s">
        <v>146</v>
      </c>
      <c r="B233" s="16">
        <v>903</v>
      </c>
      <c r="C233" s="20" t="s">
        <v>133</v>
      </c>
      <c r="D233" s="20" t="s">
        <v>155</v>
      </c>
      <c r="E233" s="20" t="s">
        <v>755</v>
      </c>
      <c r="F233" s="20" t="s">
        <v>147</v>
      </c>
      <c r="G233" s="26">
        <f t="shared" si="1"/>
        <v>88.7</v>
      </c>
      <c r="H233" s="177"/>
    </row>
    <row r="234" spans="1:8" ht="53.45" customHeight="1" x14ac:dyDescent="0.25">
      <c r="A234" s="25" t="s">
        <v>148</v>
      </c>
      <c r="B234" s="16">
        <v>903</v>
      </c>
      <c r="C234" s="20" t="s">
        <v>133</v>
      </c>
      <c r="D234" s="20" t="s">
        <v>155</v>
      </c>
      <c r="E234" s="20" t="s">
        <v>755</v>
      </c>
      <c r="F234" s="20" t="s">
        <v>149</v>
      </c>
      <c r="G234" s="162">
        <v>88.7</v>
      </c>
      <c r="H234" s="157" t="s">
        <v>750</v>
      </c>
    </row>
    <row r="235" spans="1:8" ht="15.75" x14ac:dyDescent="0.25">
      <c r="A235" s="23" t="s">
        <v>278</v>
      </c>
      <c r="B235" s="19">
        <v>903</v>
      </c>
      <c r="C235" s="24" t="s">
        <v>279</v>
      </c>
      <c r="D235" s="20"/>
      <c r="E235" s="20"/>
      <c r="F235" s="20"/>
      <c r="G235" s="21">
        <f>G236+G271</f>
        <v>17482.699999999997</v>
      </c>
      <c r="H235" s="177"/>
    </row>
    <row r="236" spans="1:8" ht="15.75" x14ac:dyDescent="0.25">
      <c r="A236" s="23" t="s">
        <v>280</v>
      </c>
      <c r="B236" s="19">
        <v>903</v>
      </c>
      <c r="C236" s="24" t="s">
        <v>279</v>
      </c>
      <c r="D236" s="24" t="s">
        <v>230</v>
      </c>
      <c r="E236" s="24"/>
      <c r="F236" s="24"/>
      <c r="G236" s="21">
        <f>G237+G260</f>
        <v>17482.699999999997</v>
      </c>
      <c r="H236" s="177"/>
    </row>
    <row r="237" spans="1:8" ht="47.25" x14ac:dyDescent="0.25">
      <c r="A237" s="25" t="s">
        <v>281</v>
      </c>
      <c r="B237" s="16">
        <v>903</v>
      </c>
      <c r="C237" s="20" t="s">
        <v>279</v>
      </c>
      <c r="D237" s="20" t="s">
        <v>230</v>
      </c>
      <c r="E237" s="20" t="s">
        <v>282</v>
      </c>
      <c r="F237" s="20"/>
      <c r="G237" s="26">
        <f>G238</f>
        <v>16445.599999999999</v>
      </c>
      <c r="H237" s="177"/>
    </row>
    <row r="238" spans="1:8" ht="63" x14ac:dyDescent="0.25">
      <c r="A238" s="25" t="s">
        <v>283</v>
      </c>
      <c r="B238" s="16">
        <v>903</v>
      </c>
      <c r="C238" s="20" t="s">
        <v>279</v>
      </c>
      <c r="D238" s="20" t="s">
        <v>230</v>
      </c>
      <c r="E238" s="20" t="s">
        <v>284</v>
      </c>
      <c r="F238" s="20"/>
      <c r="G238" s="26">
        <f>G239+G251</f>
        <v>16445.599999999999</v>
      </c>
      <c r="H238" s="177"/>
    </row>
    <row r="239" spans="1:8" ht="47.25" x14ac:dyDescent="0.25">
      <c r="A239" s="25" t="s">
        <v>285</v>
      </c>
      <c r="B239" s="16">
        <v>903</v>
      </c>
      <c r="C239" s="20" t="s">
        <v>279</v>
      </c>
      <c r="D239" s="20" t="s">
        <v>230</v>
      </c>
      <c r="E239" s="20" t="s">
        <v>286</v>
      </c>
      <c r="F239" s="20"/>
      <c r="G239" s="26">
        <f>G240</f>
        <v>16395.599999999999</v>
      </c>
      <c r="H239" s="177"/>
    </row>
    <row r="240" spans="1:8" ht="47.25" x14ac:dyDescent="0.25">
      <c r="A240" s="25" t="s">
        <v>287</v>
      </c>
      <c r="B240" s="16">
        <v>903</v>
      </c>
      <c r="C240" s="20" t="s">
        <v>279</v>
      </c>
      <c r="D240" s="20" t="s">
        <v>230</v>
      </c>
      <c r="E240" s="20" t="s">
        <v>286</v>
      </c>
      <c r="F240" s="20" t="s">
        <v>288</v>
      </c>
      <c r="G240" s="26">
        <f>G241</f>
        <v>16395.599999999999</v>
      </c>
      <c r="H240" s="177"/>
    </row>
    <row r="241" spans="1:9" ht="15.75" x14ac:dyDescent="0.25">
      <c r="A241" s="25" t="s">
        <v>289</v>
      </c>
      <c r="B241" s="16">
        <v>903</v>
      </c>
      <c r="C241" s="20" t="s">
        <v>279</v>
      </c>
      <c r="D241" s="20" t="s">
        <v>230</v>
      </c>
      <c r="E241" s="20" t="s">
        <v>286</v>
      </c>
      <c r="F241" s="20" t="s">
        <v>290</v>
      </c>
      <c r="G241" s="27">
        <f>15572+756.3+67.3</f>
        <v>16395.599999999999</v>
      </c>
      <c r="H241" s="106"/>
      <c r="I241" s="125"/>
    </row>
    <row r="242" spans="1:9" ht="47.25" hidden="1" x14ac:dyDescent="0.25">
      <c r="A242" s="25" t="s">
        <v>291</v>
      </c>
      <c r="B242" s="16">
        <v>903</v>
      </c>
      <c r="C242" s="20" t="s">
        <v>279</v>
      </c>
      <c r="D242" s="20" t="s">
        <v>230</v>
      </c>
      <c r="E242" s="20" t="s">
        <v>292</v>
      </c>
      <c r="F242" s="20"/>
      <c r="G242" s="26">
        <f>G243</f>
        <v>0</v>
      </c>
      <c r="H242" s="177"/>
    </row>
    <row r="243" spans="1:9" ht="47.25" hidden="1" x14ac:dyDescent="0.25">
      <c r="A243" s="25" t="s">
        <v>287</v>
      </c>
      <c r="B243" s="16">
        <v>903</v>
      </c>
      <c r="C243" s="20" t="s">
        <v>279</v>
      </c>
      <c r="D243" s="20" t="s">
        <v>230</v>
      </c>
      <c r="E243" s="20" t="s">
        <v>292</v>
      </c>
      <c r="F243" s="20" t="s">
        <v>288</v>
      </c>
      <c r="G243" s="26">
        <f>G244</f>
        <v>0</v>
      </c>
      <c r="H243" s="177"/>
    </row>
    <row r="244" spans="1:9" ht="15.75" hidden="1" x14ac:dyDescent="0.25">
      <c r="A244" s="25" t="s">
        <v>289</v>
      </c>
      <c r="B244" s="16">
        <v>903</v>
      </c>
      <c r="C244" s="20" t="s">
        <v>279</v>
      </c>
      <c r="D244" s="20" t="s">
        <v>230</v>
      </c>
      <c r="E244" s="20" t="s">
        <v>292</v>
      </c>
      <c r="F244" s="20" t="s">
        <v>290</v>
      </c>
      <c r="G244" s="26">
        <v>0</v>
      </c>
      <c r="H244" s="177"/>
    </row>
    <row r="245" spans="1:9" ht="47.25" hidden="1" x14ac:dyDescent="0.25">
      <c r="A245" s="25" t="s">
        <v>293</v>
      </c>
      <c r="B245" s="16">
        <v>903</v>
      </c>
      <c r="C245" s="20" t="s">
        <v>279</v>
      </c>
      <c r="D245" s="20" t="s">
        <v>230</v>
      </c>
      <c r="E245" s="20" t="s">
        <v>294</v>
      </c>
      <c r="F245" s="20"/>
      <c r="G245" s="26">
        <f>G246</f>
        <v>0</v>
      </c>
      <c r="H245" s="177"/>
    </row>
    <row r="246" spans="1:9" ht="47.25" hidden="1" x14ac:dyDescent="0.25">
      <c r="A246" s="25" t="s">
        <v>287</v>
      </c>
      <c r="B246" s="16">
        <v>903</v>
      </c>
      <c r="C246" s="20" t="s">
        <v>279</v>
      </c>
      <c r="D246" s="20" t="s">
        <v>230</v>
      </c>
      <c r="E246" s="20" t="s">
        <v>294</v>
      </c>
      <c r="F246" s="20" t="s">
        <v>288</v>
      </c>
      <c r="G246" s="26">
        <f>G247</f>
        <v>0</v>
      </c>
      <c r="H246" s="177"/>
    </row>
    <row r="247" spans="1:9" ht="15.75" hidden="1" x14ac:dyDescent="0.25">
      <c r="A247" s="25" t="s">
        <v>289</v>
      </c>
      <c r="B247" s="16">
        <v>903</v>
      </c>
      <c r="C247" s="20" t="s">
        <v>279</v>
      </c>
      <c r="D247" s="20" t="s">
        <v>230</v>
      </c>
      <c r="E247" s="20" t="s">
        <v>294</v>
      </c>
      <c r="F247" s="20" t="s">
        <v>290</v>
      </c>
      <c r="G247" s="26">
        <v>0</v>
      </c>
      <c r="H247" s="177"/>
    </row>
    <row r="248" spans="1:9" ht="31.5" hidden="1" x14ac:dyDescent="0.25">
      <c r="A248" s="25" t="s">
        <v>295</v>
      </c>
      <c r="B248" s="16">
        <v>903</v>
      </c>
      <c r="C248" s="20" t="s">
        <v>279</v>
      </c>
      <c r="D248" s="20" t="s">
        <v>230</v>
      </c>
      <c r="E248" s="20" t="s">
        <v>296</v>
      </c>
      <c r="F248" s="20"/>
      <c r="G248" s="26">
        <f>G249</f>
        <v>0</v>
      </c>
      <c r="H248" s="177"/>
    </row>
    <row r="249" spans="1:9" ht="47.25" hidden="1" x14ac:dyDescent="0.25">
      <c r="A249" s="25" t="s">
        <v>287</v>
      </c>
      <c r="B249" s="16">
        <v>903</v>
      </c>
      <c r="C249" s="20" t="s">
        <v>279</v>
      </c>
      <c r="D249" s="20" t="s">
        <v>230</v>
      </c>
      <c r="E249" s="20" t="s">
        <v>296</v>
      </c>
      <c r="F249" s="20" t="s">
        <v>288</v>
      </c>
      <c r="G249" s="26">
        <f>G250</f>
        <v>0</v>
      </c>
      <c r="H249" s="177"/>
    </row>
    <row r="250" spans="1:9" ht="15.75" hidden="1" x14ac:dyDescent="0.25">
      <c r="A250" s="25" t="s">
        <v>289</v>
      </c>
      <c r="B250" s="16">
        <v>903</v>
      </c>
      <c r="C250" s="20" t="s">
        <v>279</v>
      </c>
      <c r="D250" s="20" t="s">
        <v>230</v>
      </c>
      <c r="E250" s="20" t="s">
        <v>296</v>
      </c>
      <c r="F250" s="20" t="s">
        <v>290</v>
      </c>
      <c r="G250" s="26">
        <v>0</v>
      </c>
      <c r="H250" s="177"/>
    </row>
    <row r="251" spans="1:9" ht="47.25" x14ac:dyDescent="0.25">
      <c r="A251" s="25" t="s">
        <v>297</v>
      </c>
      <c r="B251" s="16">
        <v>903</v>
      </c>
      <c r="C251" s="20" t="s">
        <v>279</v>
      </c>
      <c r="D251" s="20" t="s">
        <v>230</v>
      </c>
      <c r="E251" s="20" t="s">
        <v>298</v>
      </c>
      <c r="F251" s="20"/>
      <c r="G251" s="26">
        <f>G252</f>
        <v>50</v>
      </c>
      <c r="H251" s="177"/>
    </row>
    <row r="252" spans="1:9" ht="47.25" x14ac:dyDescent="0.25">
      <c r="A252" s="25" t="s">
        <v>287</v>
      </c>
      <c r="B252" s="16">
        <v>903</v>
      </c>
      <c r="C252" s="20" t="s">
        <v>279</v>
      </c>
      <c r="D252" s="20" t="s">
        <v>230</v>
      </c>
      <c r="E252" s="20" t="s">
        <v>298</v>
      </c>
      <c r="F252" s="20" t="s">
        <v>288</v>
      </c>
      <c r="G252" s="26">
        <f>G253</f>
        <v>50</v>
      </c>
      <c r="H252" s="177"/>
    </row>
    <row r="253" spans="1:9" ht="15.75" x14ac:dyDescent="0.25">
      <c r="A253" s="25" t="s">
        <v>289</v>
      </c>
      <c r="B253" s="16">
        <v>903</v>
      </c>
      <c r="C253" s="20" t="s">
        <v>279</v>
      </c>
      <c r="D253" s="20" t="s">
        <v>230</v>
      </c>
      <c r="E253" s="20" t="s">
        <v>298</v>
      </c>
      <c r="F253" s="20" t="s">
        <v>290</v>
      </c>
      <c r="G253" s="26">
        <v>50</v>
      </c>
      <c r="H253" s="177"/>
    </row>
    <row r="254" spans="1:9" ht="31.5" hidden="1" x14ac:dyDescent="0.25">
      <c r="A254" s="25" t="s">
        <v>299</v>
      </c>
      <c r="B254" s="16">
        <v>903</v>
      </c>
      <c r="C254" s="20" t="s">
        <v>279</v>
      </c>
      <c r="D254" s="20" t="s">
        <v>230</v>
      </c>
      <c r="E254" s="20" t="s">
        <v>300</v>
      </c>
      <c r="F254" s="20"/>
      <c r="G254" s="26">
        <f>G255</f>
        <v>0</v>
      </c>
      <c r="H254" s="177"/>
    </row>
    <row r="255" spans="1:9" ht="47.25" hidden="1" x14ac:dyDescent="0.25">
      <c r="A255" s="25" t="s">
        <v>287</v>
      </c>
      <c r="B255" s="16">
        <v>903</v>
      </c>
      <c r="C255" s="20" t="s">
        <v>279</v>
      </c>
      <c r="D255" s="20" t="s">
        <v>230</v>
      </c>
      <c r="E255" s="20" t="s">
        <v>301</v>
      </c>
      <c r="F255" s="20" t="s">
        <v>288</v>
      </c>
      <c r="G255" s="26">
        <f>G256</f>
        <v>0</v>
      </c>
      <c r="H255" s="177"/>
    </row>
    <row r="256" spans="1:9" ht="15.75" hidden="1" x14ac:dyDescent="0.25">
      <c r="A256" s="25" t="s">
        <v>289</v>
      </c>
      <c r="B256" s="16">
        <v>903</v>
      </c>
      <c r="C256" s="20" t="s">
        <v>279</v>
      </c>
      <c r="D256" s="20" t="s">
        <v>230</v>
      </c>
      <c r="E256" s="20" t="s">
        <v>301</v>
      </c>
      <c r="F256" s="20" t="s">
        <v>290</v>
      </c>
      <c r="G256" s="26">
        <v>0</v>
      </c>
      <c r="H256" s="177"/>
    </row>
    <row r="257" spans="1:9" ht="47.25" hidden="1" x14ac:dyDescent="0.25">
      <c r="A257" s="35" t="s">
        <v>302</v>
      </c>
      <c r="B257" s="16">
        <v>903</v>
      </c>
      <c r="C257" s="20" t="s">
        <v>279</v>
      </c>
      <c r="D257" s="20" t="s">
        <v>230</v>
      </c>
      <c r="E257" s="20" t="s">
        <v>303</v>
      </c>
      <c r="F257" s="20"/>
      <c r="G257" s="26">
        <f>G258</f>
        <v>0</v>
      </c>
      <c r="H257" s="177"/>
    </row>
    <row r="258" spans="1:9" ht="47.25" hidden="1" x14ac:dyDescent="0.25">
      <c r="A258" s="25" t="s">
        <v>287</v>
      </c>
      <c r="B258" s="16">
        <v>903</v>
      </c>
      <c r="C258" s="20" t="s">
        <v>279</v>
      </c>
      <c r="D258" s="20" t="s">
        <v>230</v>
      </c>
      <c r="E258" s="20" t="s">
        <v>303</v>
      </c>
      <c r="F258" s="20" t="s">
        <v>288</v>
      </c>
      <c r="G258" s="26">
        <f>G259</f>
        <v>0</v>
      </c>
      <c r="H258" s="177"/>
    </row>
    <row r="259" spans="1:9" ht="15.75" hidden="1" x14ac:dyDescent="0.25">
      <c r="A259" s="25" t="s">
        <v>289</v>
      </c>
      <c r="B259" s="16">
        <v>903</v>
      </c>
      <c r="C259" s="20" t="s">
        <v>279</v>
      </c>
      <c r="D259" s="20" t="s">
        <v>230</v>
      </c>
      <c r="E259" s="20" t="s">
        <v>303</v>
      </c>
      <c r="F259" s="20" t="s">
        <v>290</v>
      </c>
      <c r="G259" s="26">
        <v>0</v>
      </c>
      <c r="H259" s="177"/>
    </row>
    <row r="260" spans="1:9" ht="15.75" x14ac:dyDescent="0.25">
      <c r="A260" s="25" t="s">
        <v>136</v>
      </c>
      <c r="B260" s="16">
        <v>903</v>
      </c>
      <c r="C260" s="20" t="s">
        <v>279</v>
      </c>
      <c r="D260" s="20" t="s">
        <v>230</v>
      </c>
      <c r="E260" s="20" t="s">
        <v>137</v>
      </c>
      <c r="F260" s="20"/>
      <c r="G260" s="26">
        <f>G261</f>
        <v>1037.1000000000001</v>
      </c>
      <c r="H260" s="177"/>
    </row>
    <row r="261" spans="1:9" ht="31.5" x14ac:dyDescent="0.25">
      <c r="A261" s="25" t="s">
        <v>200</v>
      </c>
      <c r="B261" s="16">
        <v>903</v>
      </c>
      <c r="C261" s="20" t="s">
        <v>279</v>
      </c>
      <c r="D261" s="20" t="s">
        <v>230</v>
      </c>
      <c r="E261" s="20" t="s">
        <v>201</v>
      </c>
      <c r="F261" s="20"/>
      <c r="G261" s="26">
        <f>G262+G265+G268</f>
        <v>1037.1000000000001</v>
      </c>
      <c r="H261" s="177"/>
    </row>
    <row r="262" spans="1:9" ht="63" x14ac:dyDescent="0.25">
      <c r="A262" s="31" t="s">
        <v>304</v>
      </c>
      <c r="B262" s="16">
        <v>903</v>
      </c>
      <c r="C262" s="20" t="s">
        <v>279</v>
      </c>
      <c r="D262" s="20" t="s">
        <v>230</v>
      </c>
      <c r="E262" s="20" t="s">
        <v>305</v>
      </c>
      <c r="F262" s="20"/>
      <c r="G262" s="26">
        <f>G263</f>
        <v>126.69999999999999</v>
      </c>
      <c r="H262" s="177"/>
    </row>
    <row r="263" spans="1:9" ht="47.25" x14ac:dyDescent="0.25">
      <c r="A263" s="25" t="s">
        <v>287</v>
      </c>
      <c r="B263" s="16">
        <v>903</v>
      </c>
      <c r="C263" s="20" t="s">
        <v>279</v>
      </c>
      <c r="D263" s="20" t="s">
        <v>230</v>
      </c>
      <c r="E263" s="20" t="s">
        <v>305</v>
      </c>
      <c r="F263" s="20" t="s">
        <v>288</v>
      </c>
      <c r="G263" s="26">
        <f>G264</f>
        <v>126.69999999999999</v>
      </c>
      <c r="H263" s="177"/>
    </row>
    <row r="264" spans="1:9" ht="15.75" x14ac:dyDescent="0.25">
      <c r="A264" s="25" t="s">
        <v>289</v>
      </c>
      <c r="B264" s="16">
        <v>903</v>
      </c>
      <c r="C264" s="20" t="s">
        <v>279</v>
      </c>
      <c r="D264" s="20" t="s">
        <v>230</v>
      </c>
      <c r="E264" s="20" t="s">
        <v>305</v>
      </c>
      <c r="F264" s="20" t="s">
        <v>290</v>
      </c>
      <c r="G264" s="26">
        <f>162.6-35.9</f>
        <v>126.69999999999999</v>
      </c>
      <c r="H264" s="177"/>
      <c r="I264" s="115"/>
    </row>
    <row r="265" spans="1:9" ht="78.75" x14ac:dyDescent="0.25">
      <c r="A265" s="31" t="s">
        <v>306</v>
      </c>
      <c r="B265" s="16">
        <v>903</v>
      </c>
      <c r="C265" s="20" t="s">
        <v>279</v>
      </c>
      <c r="D265" s="20" t="s">
        <v>230</v>
      </c>
      <c r="E265" s="20" t="s">
        <v>307</v>
      </c>
      <c r="F265" s="20"/>
      <c r="G265" s="26">
        <f>G266</f>
        <v>310.70000000000005</v>
      </c>
      <c r="H265" s="177"/>
    </row>
    <row r="266" spans="1:9" ht="47.25" x14ac:dyDescent="0.25">
      <c r="A266" s="25" t="s">
        <v>287</v>
      </c>
      <c r="B266" s="16">
        <v>903</v>
      </c>
      <c r="C266" s="20" t="s">
        <v>279</v>
      </c>
      <c r="D266" s="20" t="s">
        <v>230</v>
      </c>
      <c r="E266" s="20" t="s">
        <v>307</v>
      </c>
      <c r="F266" s="20" t="s">
        <v>288</v>
      </c>
      <c r="G266" s="26">
        <f>G267</f>
        <v>310.70000000000005</v>
      </c>
      <c r="H266" s="177"/>
    </row>
    <row r="267" spans="1:9" ht="15.75" x14ac:dyDescent="0.25">
      <c r="A267" s="25" t="s">
        <v>289</v>
      </c>
      <c r="B267" s="16">
        <v>903</v>
      </c>
      <c r="C267" s="20" t="s">
        <v>279</v>
      </c>
      <c r="D267" s="20" t="s">
        <v>230</v>
      </c>
      <c r="E267" s="20" t="s">
        <v>307</v>
      </c>
      <c r="F267" s="20" t="s">
        <v>290</v>
      </c>
      <c r="G267" s="26">
        <f>393.3-82.6</f>
        <v>310.70000000000005</v>
      </c>
      <c r="H267" s="177"/>
      <c r="I267" s="115"/>
    </row>
    <row r="268" spans="1:9" ht="110.25" x14ac:dyDescent="0.25">
      <c r="A268" s="31" t="s">
        <v>308</v>
      </c>
      <c r="B268" s="16">
        <v>903</v>
      </c>
      <c r="C268" s="20" t="s">
        <v>279</v>
      </c>
      <c r="D268" s="20" t="s">
        <v>230</v>
      </c>
      <c r="E268" s="20" t="s">
        <v>309</v>
      </c>
      <c r="F268" s="20"/>
      <c r="G268" s="26">
        <f>G269</f>
        <v>599.70000000000005</v>
      </c>
      <c r="H268" s="177"/>
    </row>
    <row r="269" spans="1:9" ht="47.25" x14ac:dyDescent="0.25">
      <c r="A269" s="25" t="s">
        <v>287</v>
      </c>
      <c r="B269" s="16">
        <v>903</v>
      </c>
      <c r="C269" s="20" t="s">
        <v>279</v>
      </c>
      <c r="D269" s="20" t="s">
        <v>230</v>
      </c>
      <c r="E269" s="20" t="s">
        <v>309</v>
      </c>
      <c r="F269" s="20" t="s">
        <v>288</v>
      </c>
      <c r="G269" s="26">
        <f>G270</f>
        <v>599.70000000000005</v>
      </c>
      <c r="H269" s="177"/>
    </row>
    <row r="270" spans="1:9" ht="15.75" x14ac:dyDescent="0.25">
      <c r="A270" s="25" t="s">
        <v>289</v>
      </c>
      <c r="B270" s="16">
        <v>903</v>
      </c>
      <c r="C270" s="20" t="s">
        <v>279</v>
      </c>
      <c r="D270" s="20" t="s">
        <v>230</v>
      </c>
      <c r="E270" s="20" t="s">
        <v>309</v>
      </c>
      <c r="F270" s="20" t="s">
        <v>290</v>
      </c>
      <c r="G270" s="26">
        <f>600-0.3</f>
        <v>599.70000000000005</v>
      </c>
      <c r="H270" s="177"/>
      <c r="I270" s="115"/>
    </row>
    <row r="271" spans="1:9" ht="15.75" hidden="1" x14ac:dyDescent="0.25">
      <c r="A271" s="23" t="s">
        <v>310</v>
      </c>
      <c r="B271" s="19">
        <v>903</v>
      </c>
      <c r="C271" s="24" t="s">
        <v>279</v>
      </c>
      <c r="D271" s="24" t="s">
        <v>234</v>
      </c>
      <c r="E271" s="24"/>
      <c r="F271" s="24"/>
      <c r="G271" s="26">
        <f>G272</f>
        <v>0</v>
      </c>
      <c r="H271" s="177"/>
    </row>
    <row r="272" spans="1:9" ht="15.75" hidden="1" x14ac:dyDescent="0.25">
      <c r="A272" s="25" t="s">
        <v>136</v>
      </c>
      <c r="B272" s="16">
        <v>903</v>
      </c>
      <c r="C272" s="20" t="s">
        <v>279</v>
      </c>
      <c r="D272" s="20" t="s">
        <v>234</v>
      </c>
      <c r="E272" s="20" t="s">
        <v>137</v>
      </c>
      <c r="F272" s="20"/>
      <c r="G272" s="26">
        <f>G273</f>
        <v>0</v>
      </c>
      <c r="H272" s="177"/>
    </row>
    <row r="273" spans="1:12" ht="31.5" hidden="1" x14ac:dyDescent="0.25">
      <c r="A273" s="25" t="s">
        <v>200</v>
      </c>
      <c r="B273" s="16">
        <v>903</v>
      </c>
      <c r="C273" s="20" t="s">
        <v>279</v>
      </c>
      <c r="D273" s="20" t="s">
        <v>234</v>
      </c>
      <c r="E273" s="20" t="s">
        <v>201</v>
      </c>
      <c r="F273" s="20"/>
      <c r="G273" s="26">
        <f>G274</f>
        <v>0</v>
      </c>
      <c r="H273" s="177"/>
    </row>
    <row r="274" spans="1:12" ht="31.5" hidden="1" x14ac:dyDescent="0.25">
      <c r="A274" s="36" t="s">
        <v>311</v>
      </c>
      <c r="B274" s="37">
        <v>903</v>
      </c>
      <c r="C274" s="20" t="s">
        <v>279</v>
      </c>
      <c r="D274" s="20" t="s">
        <v>234</v>
      </c>
      <c r="E274" s="20" t="s">
        <v>312</v>
      </c>
      <c r="F274" s="20"/>
      <c r="G274" s="26">
        <f>G275</f>
        <v>0</v>
      </c>
      <c r="H274" s="177"/>
    </row>
    <row r="275" spans="1:12" ht="15.75" hidden="1" x14ac:dyDescent="0.25">
      <c r="A275" s="25" t="s">
        <v>150</v>
      </c>
      <c r="B275" s="16">
        <v>903</v>
      </c>
      <c r="C275" s="20" t="s">
        <v>279</v>
      </c>
      <c r="D275" s="20" t="s">
        <v>234</v>
      </c>
      <c r="E275" s="20" t="s">
        <v>312</v>
      </c>
      <c r="F275" s="20" t="s">
        <v>160</v>
      </c>
      <c r="G275" s="26">
        <f>G276</f>
        <v>0</v>
      </c>
      <c r="H275" s="177"/>
    </row>
    <row r="276" spans="1:12" ht="63" hidden="1" x14ac:dyDescent="0.25">
      <c r="A276" s="25" t="s">
        <v>199</v>
      </c>
      <c r="B276" s="16">
        <v>903</v>
      </c>
      <c r="C276" s="20" t="s">
        <v>279</v>
      </c>
      <c r="D276" s="20" t="s">
        <v>234</v>
      </c>
      <c r="E276" s="20" t="s">
        <v>312</v>
      </c>
      <c r="F276" s="20" t="s">
        <v>175</v>
      </c>
      <c r="G276" s="26"/>
      <c r="H276" s="177"/>
    </row>
    <row r="277" spans="1:12" ht="15.75" x14ac:dyDescent="0.25">
      <c r="A277" s="23" t="s">
        <v>313</v>
      </c>
      <c r="B277" s="19">
        <v>903</v>
      </c>
      <c r="C277" s="24" t="s">
        <v>314</v>
      </c>
      <c r="D277" s="24"/>
      <c r="E277" s="24"/>
      <c r="F277" s="24"/>
      <c r="G277" s="21">
        <f>G278+G358</f>
        <v>61699.8</v>
      </c>
      <c r="H277" s="177"/>
    </row>
    <row r="278" spans="1:12" ht="15.75" x14ac:dyDescent="0.25">
      <c r="A278" s="23" t="s">
        <v>315</v>
      </c>
      <c r="B278" s="19">
        <v>903</v>
      </c>
      <c r="C278" s="24" t="s">
        <v>314</v>
      </c>
      <c r="D278" s="24" t="s">
        <v>133</v>
      </c>
      <c r="E278" s="24"/>
      <c r="F278" s="24"/>
      <c r="G278" s="21">
        <f>G279+G337+G333</f>
        <v>44421.000000000007</v>
      </c>
      <c r="H278" s="177"/>
    </row>
    <row r="279" spans="1:12" ht="47.25" x14ac:dyDescent="0.25">
      <c r="A279" s="25" t="s">
        <v>281</v>
      </c>
      <c r="B279" s="16">
        <v>903</v>
      </c>
      <c r="C279" s="20" t="s">
        <v>314</v>
      </c>
      <c r="D279" s="20" t="s">
        <v>133</v>
      </c>
      <c r="E279" s="20" t="s">
        <v>282</v>
      </c>
      <c r="F279" s="20"/>
      <c r="G279" s="26">
        <f>G280+G306</f>
        <v>42083.100000000006</v>
      </c>
      <c r="H279" s="177"/>
    </row>
    <row r="280" spans="1:12" ht="63" x14ac:dyDescent="0.25">
      <c r="A280" s="25" t="s">
        <v>316</v>
      </c>
      <c r="B280" s="16">
        <v>903</v>
      </c>
      <c r="C280" s="20" t="s">
        <v>314</v>
      </c>
      <c r="D280" s="20" t="s">
        <v>133</v>
      </c>
      <c r="E280" s="20" t="s">
        <v>317</v>
      </c>
      <c r="F280" s="20"/>
      <c r="G280" s="26">
        <f>G281+G299+G284+G287+G290+G293+G296</f>
        <v>25422.5</v>
      </c>
      <c r="H280" s="177"/>
    </row>
    <row r="281" spans="1:12" ht="52.5" customHeight="1" x14ac:dyDescent="0.25">
      <c r="A281" s="25" t="s">
        <v>318</v>
      </c>
      <c r="B281" s="16">
        <v>903</v>
      </c>
      <c r="C281" s="20" t="s">
        <v>314</v>
      </c>
      <c r="D281" s="20" t="s">
        <v>133</v>
      </c>
      <c r="E281" s="20" t="s">
        <v>319</v>
      </c>
      <c r="F281" s="20"/>
      <c r="G281" s="26">
        <f>G282</f>
        <v>23654.800000000003</v>
      </c>
      <c r="H281" s="177"/>
    </row>
    <row r="282" spans="1:12" ht="47.25" x14ac:dyDescent="0.25">
      <c r="A282" s="25" t="s">
        <v>287</v>
      </c>
      <c r="B282" s="16">
        <v>903</v>
      </c>
      <c r="C282" s="20" t="s">
        <v>314</v>
      </c>
      <c r="D282" s="20" t="s">
        <v>133</v>
      </c>
      <c r="E282" s="20" t="s">
        <v>319</v>
      </c>
      <c r="F282" s="20" t="s">
        <v>288</v>
      </c>
      <c r="G282" s="26">
        <f>G283</f>
        <v>23654.800000000003</v>
      </c>
      <c r="H282" s="177"/>
    </row>
    <row r="283" spans="1:12" ht="15.75" x14ac:dyDescent="0.25">
      <c r="A283" s="25" t="s">
        <v>289</v>
      </c>
      <c r="B283" s="16">
        <v>903</v>
      </c>
      <c r="C283" s="20" t="s">
        <v>314</v>
      </c>
      <c r="D283" s="20" t="s">
        <v>133</v>
      </c>
      <c r="E283" s="20" t="s">
        <v>319</v>
      </c>
      <c r="F283" s="20" t="s">
        <v>290</v>
      </c>
      <c r="G283" s="27">
        <f>25081.9+2671.4-3136.8-961.7</f>
        <v>23654.800000000003</v>
      </c>
      <c r="H283" s="106"/>
      <c r="I283" s="125"/>
    </row>
    <row r="284" spans="1:12" ht="47.25" x14ac:dyDescent="0.25">
      <c r="A284" s="25" t="s">
        <v>722</v>
      </c>
      <c r="B284" s="16">
        <v>903</v>
      </c>
      <c r="C284" s="20" t="s">
        <v>314</v>
      </c>
      <c r="D284" s="20" t="s">
        <v>133</v>
      </c>
      <c r="E284" s="20" t="s">
        <v>320</v>
      </c>
      <c r="F284" s="20"/>
      <c r="G284" s="26">
        <f>G285</f>
        <v>96.1</v>
      </c>
      <c r="H284" s="177"/>
      <c r="L284" s="117"/>
    </row>
    <row r="285" spans="1:12" ht="47.25" x14ac:dyDescent="0.25">
      <c r="A285" s="25" t="s">
        <v>287</v>
      </c>
      <c r="B285" s="16">
        <v>903</v>
      </c>
      <c r="C285" s="20" t="s">
        <v>314</v>
      </c>
      <c r="D285" s="20" t="s">
        <v>133</v>
      </c>
      <c r="E285" s="20" t="s">
        <v>320</v>
      </c>
      <c r="F285" s="20" t="s">
        <v>288</v>
      </c>
      <c r="G285" s="26">
        <f>G286</f>
        <v>96.1</v>
      </c>
      <c r="H285" s="177"/>
    </row>
    <row r="286" spans="1:12" ht="15.75" x14ac:dyDescent="0.25">
      <c r="A286" s="25" t="s">
        <v>289</v>
      </c>
      <c r="B286" s="16">
        <v>903</v>
      </c>
      <c r="C286" s="20" t="s">
        <v>314</v>
      </c>
      <c r="D286" s="20" t="s">
        <v>133</v>
      </c>
      <c r="E286" s="20" t="s">
        <v>320</v>
      </c>
      <c r="F286" s="20" t="s">
        <v>290</v>
      </c>
      <c r="G286" s="26">
        <v>96.1</v>
      </c>
      <c r="H286" s="106"/>
    </row>
    <row r="287" spans="1:12" ht="47.25" x14ac:dyDescent="0.25">
      <c r="A287" s="25" t="s">
        <v>293</v>
      </c>
      <c r="B287" s="16">
        <v>903</v>
      </c>
      <c r="C287" s="20" t="s">
        <v>314</v>
      </c>
      <c r="D287" s="20" t="s">
        <v>133</v>
      </c>
      <c r="E287" s="20" t="s">
        <v>321</v>
      </c>
      <c r="F287" s="20"/>
      <c r="G287" s="26">
        <f>G288</f>
        <v>142.1</v>
      </c>
      <c r="H287" s="177"/>
    </row>
    <row r="288" spans="1:12" ht="47.25" x14ac:dyDescent="0.25">
      <c r="A288" s="25" t="s">
        <v>287</v>
      </c>
      <c r="B288" s="16">
        <v>903</v>
      </c>
      <c r="C288" s="20" t="s">
        <v>314</v>
      </c>
      <c r="D288" s="20" t="s">
        <v>133</v>
      </c>
      <c r="E288" s="20" t="s">
        <v>321</v>
      </c>
      <c r="F288" s="20" t="s">
        <v>288</v>
      </c>
      <c r="G288" s="26">
        <f>G289</f>
        <v>142.1</v>
      </c>
      <c r="H288" s="177"/>
    </row>
    <row r="289" spans="1:10" ht="15.75" x14ac:dyDescent="0.25">
      <c r="A289" s="25" t="s">
        <v>289</v>
      </c>
      <c r="B289" s="16">
        <v>903</v>
      </c>
      <c r="C289" s="20" t="s">
        <v>314</v>
      </c>
      <c r="D289" s="20" t="s">
        <v>133</v>
      </c>
      <c r="E289" s="20" t="s">
        <v>321</v>
      </c>
      <c r="F289" s="20" t="s">
        <v>290</v>
      </c>
      <c r="G289" s="26">
        <v>142.1</v>
      </c>
      <c r="H289" s="177"/>
      <c r="I289" s="115"/>
    </row>
    <row r="290" spans="1:10" ht="15.75" x14ac:dyDescent="0.25">
      <c r="A290" s="25" t="s">
        <v>322</v>
      </c>
      <c r="B290" s="16">
        <v>903</v>
      </c>
      <c r="C290" s="20" t="s">
        <v>314</v>
      </c>
      <c r="D290" s="20" t="s">
        <v>133</v>
      </c>
      <c r="E290" s="20" t="s">
        <v>323</v>
      </c>
      <c r="F290" s="20"/>
      <c r="G290" s="26">
        <f>G291</f>
        <v>1529.5</v>
      </c>
      <c r="H290" s="177"/>
    </row>
    <row r="291" spans="1:10" ht="47.25" x14ac:dyDescent="0.25">
      <c r="A291" s="25" t="s">
        <v>287</v>
      </c>
      <c r="B291" s="16">
        <v>903</v>
      </c>
      <c r="C291" s="20" t="s">
        <v>314</v>
      </c>
      <c r="D291" s="20" t="s">
        <v>133</v>
      </c>
      <c r="E291" s="20" t="s">
        <v>323</v>
      </c>
      <c r="F291" s="20" t="s">
        <v>288</v>
      </c>
      <c r="G291" s="26">
        <f>G292</f>
        <v>1529.5</v>
      </c>
      <c r="H291" s="177"/>
    </row>
    <row r="292" spans="1:10" ht="15.75" x14ac:dyDescent="0.25">
      <c r="A292" s="25" t="s">
        <v>289</v>
      </c>
      <c r="B292" s="16">
        <v>903</v>
      </c>
      <c r="C292" s="20" t="s">
        <v>314</v>
      </c>
      <c r="D292" s="20" t="s">
        <v>133</v>
      </c>
      <c r="E292" s="20" t="s">
        <v>323</v>
      </c>
      <c r="F292" s="20" t="s">
        <v>290</v>
      </c>
      <c r="G292" s="26">
        <f>411.9+1117.6</f>
        <v>1529.5</v>
      </c>
      <c r="H292" s="106"/>
      <c r="I292" s="125"/>
      <c r="J292" s="109"/>
    </row>
    <row r="293" spans="1:10" ht="31.5" hidden="1" x14ac:dyDescent="0.25">
      <c r="A293" s="25" t="s">
        <v>299</v>
      </c>
      <c r="B293" s="16">
        <v>903</v>
      </c>
      <c r="C293" s="20" t="s">
        <v>314</v>
      </c>
      <c r="D293" s="20" t="s">
        <v>133</v>
      </c>
      <c r="E293" s="20" t="s">
        <v>300</v>
      </c>
      <c r="F293" s="20"/>
      <c r="G293" s="26">
        <f>G294</f>
        <v>0</v>
      </c>
      <c r="H293" s="177"/>
    </row>
    <row r="294" spans="1:10" ht="47.25" hidden="1" x14ac:dyDescent="0.25">
      <c r="A294" s="25" t="s">
        <v>287</v>
      </c>
      <c r="B294" s="16">
        <v>903</v>
      </c>
      <c r="C294" s="20" t="s">
        <v>314</v>
      </c>
      <c r="D294" s="20" t="s">
        <v>133</v>
      </c>
      <c r="E294" s="20" t="s">
        <v>300</v>
      </c>
      <c r="F294" s="20" t="s">
        <v>288</v>
      </c>
      <c r="G294" s="26">
        <f>G295</f>
        <v>0</v>
      </c>
      <c r="H294" s="177"/>
    </row>
    <row r="295" spans="1:10" ht="15.75" hidden="1" x14ac:dyDescent="0.25">
      <c r="A295" s="25" t="s">
        <v>289</v>
      </c>
      <c r="B295" s="16">
        <v>903</v>
      </c>
      <c r="C295" s="20" t="s">
        <v>314</v>
      </c>
      <c r="D295" s="20" t="s">
        <v>133</v>
      </c>
      <c r="E295" s="20" t="s">
        <v>300</v>
      </c>
      <c r="F295" s="20" t="s">
        <v>290</v>
      </c>
      <c r="G295" s="26">
        <v>0</v>
      </c>
      <c r="H295" s="177"/>
    </row>
    <row r="296" spans="1:10" ht="47.25" hidden="1" x14ac:dyDescent="0.25">
      <c r="A296" s="35" t="s">
        <v>302</v>
      </c>
      <c r="B296" s="16">
        <v>903</v>
      </c>
      <c r="C296" s="20" t="s">
        <v>314</v>
      </c>
      <c r="D296" s="20" t="s">
        <v>133</v>
      </c>
      <c r="E296" s="20" t="s">
        <v>324</v>
      </c>
      <c r="F296" s="20"/>
      <c r="G296" s="26">
        <f>G297</f>
        <v>0</v>
      </c>
      <c r="H296" s="177"/>
    </row>
    <row r="297" spans="1:10" ht="47.25" hidden="1" x14ac:dyDescent="0.25">
      <c r="A297" s="25" t="s">
        <v>287</v>
      </c>
      <c r="B297" s="16">
        <v>903</v>
      </c>
      <c r="C297" s="20" t="s">
        <v>314</v>
      </c>
      <c r="D297" s="20" t="s">
        <v>133</v>
      </c>
      <c r="E297" s="20" t="s">
        <v>324</v>
      </c>
      <c r="F297" s="20" t="s">
        <v>288</v>
      </c>
      <c r="G297" s="26">
        <f>G298</f>
        <v>0</v>
      </c>
      <c r="H297" s="177"/>
    </row>
    <row r="298" spans="1:10" ht="15.75" hidden="1" x14ac:dyDescent="0.25">
      <c r="A298" s="25" t="s">
        <v>289</v>
      </c>
      <c r="B298" s="16">
        <v>903</v>
      </c>
      <c r="C298" s="20" t="s">
        <v>314</v>
      </c>
      <c r="D298" s="20" t="s">
        <v>133</v>
      </c>
      <c r="E298" s="20" t="s">
        <v>324</v>
      </c>
      <c r="F298" s="20" t="s">
        <v>290</v>
      </c>
      <c r="G298" s="26">
        <v>0</v>
      </c>
      <c r="H298" s="177"/>
    </row>
    <row r="299" spans="1:10" ht="47.25" hidden="1" customHeight="1" x14ac:dyDescent="0.25">
      <c r="A299" s="25" t="s">
        <v>325</v>
      </c>
      <c r="B299" s="16">
        <v>903</v>
      </c>
      <c r="C299" s="20" t="s">
        <v>314</v>
      </c>
      <c r="D299" s="20" t="s">
        <v>133</v>
      </c>
      <c r="E299" s="20" t="s">
        <v>326</v>
      </c>
      <c r="F299" s="20"/>
      <c r="G299" s="26">
        <f>G300+G302+G304</f>
        <v>0</v>
      </c>
      <c r="H299" s="177"/>
    </row>
    <row r="300" spans="1:10" ht="94.5" hidden="1" x14ac:dyDescent="0.25">
      <c r="A300" s="25" t="s">
        <v>142</v>
      </c>
      <c r="B300" s="16">
        <v>903</v>
      </c>
      <c r="C300" s="20" t="s">
        <v>314</v>
      </c>
      <c r="D300" s="20" t="s">
        <v>133</v>
      </c>
      <c r="E300" s="20" t="s">
        <v>326</v>
      </c>
      <c r="F300" s="20" t="s">
        <v>143</v>
      </c>
      <c r="G300" s="26">
        <f>G301</f>
        <v>0</v>
      </c>
      <c r="H300" s="177"/>
    </row>
    <row r="301" spans="1:10" ht="31.5" hidden="1" x14ac:dyDescent="0.25">
      <c r="A301" s="25" t="s">
        <v>223</v>
      </c>
      <c r="B301" s="16">
        <v>903</v>
      </c>
      <c r="C301" s="20" t="s">
        <v>314</v>
      </c>
      <c r="D301" s="20" t="s">
        <v>133</v>
      </c>
      <c r="E301" s="20" t="s">
        <v>326</v>
      </c>
      <c r="F301" s="20" t="s">
        <v>224</v>
      </c>
      <c r="G301" s="27">
        <v>0</v>
      </c>
      <c r="H301" s="177"/>
    </row>
    <row r="302" spans="1:10" ht="31.5" hidden="1" x14ac:dyDescent="0.25">
      <c r="A302" s="25" t="s">
        <v>146</v>
      </c>
      <c r="B302" s="16">
        <v>903</v>
      </c>
      <c r="C302" s="20" t="s">
        <v>314</v>
      </c>
      <c r="D302" s="20" t="s">
        <v>133</v>
      </c>
      <c r="E302" s="20" t="s">
        <v>326</v>
      </c>
      <c r="F302" s="20" t="s">
        <v>147</v>
      </c>
      <c r="G302" s="26">
        <f>G303</f>
        <v>0</v>
      </c>
      <c r="H302" s="177"/>
    </row>
    <row r="303" spans="1:10" ht="47.25" hidden="1" x14ac:dyDescent="0.25">
      <c r="A303" s="25" t="s">
        <v>148</v>
      </c>
      <c r="B303" s="16">
        <v>903</v>
      </c>
      <c r="C303" s="20" t="s">
        <v>314</v>
      </c>
      <c r="D303" s="20" t="s">
        <v>133</v>
      </c>
      <c r="E303" s="20" t="s">
        <v>326</v>
      </c>
      <c r="F303" s="20" t="s">
        <v>149</v>
      </c>
      <c r="G303" s="27">
        <v>0</v>
      </c>
      <c r="H303" s="177"/>
    </row>
    <row r="304" spans="1:10" ht="15.75" hidden="1" x14ac:dyDescent="0.25">
      <c r="A304" s="25" t="s">
        <v>150</v>
      </c>
      <c r="B304" s="16">
        <v>903</v>
      </c>
      <c r="C304" s="20" t="s">
        <v>314</v>
      </c>
      <c r="D304" s="20" t="s">
        <v>133</v>
      </c>
      <c r="E304" s="20" t="s">
        <v>326</v>
      </c>
      <c r="F304" s="20" t="s">
        <v>160</v>
      </c>
      <c r="G304" s="26">
        <f>G305</f>
        <v>0</v>
      </c>
      <c r="H304" s="177"/>
    </row>
    <row r="305" spans="1:9" ht="15.75" hidden="1" x14ac:dyDescent="0.25">
      <c r="A305" s="25" t="s">
        <v>152</v>
      </c>
      <c r="B305" s="16">
        <v>903</v>
      </c>
      <c r="C305" s="20" t="s">
        <v>314</v>
      </c>
      <c r="D305" s="20" t="s">
        <v>133</v>
      </c>
      <c r="E305" s="20" t="s">
        <v>326</v>
      </c>
      <c r="F305" s="20" t="s">
        <v>153</v>
      </c>
      <c r="G305" s="26">
        <v>0</v>
      </c>
      <c r="H305" s="177"/>
    </row>
    <row r="306" spans="1:9" ht="47.25" x14ac:dyDescent="0.25">
      <c r="A306" s="25" t="s">
        <v>327</v>
      </c>
      <c r="B306" s="16">
        <v>903</v>
      </c>
      <c r="C306" s="20" t="s">
        <v>314</v>
      </c>
      <c r="D306" s="20" t="s">
        <v>133</v>
      </c>
      <c r="E306" s="20" t="s">
        <v>328</v>
      </c>
      <c r="F306" s="20"/>
      <c r="G306" s="26">
        <f>G307+G330+G318+G321+G324+G327+G310+G315</f>
        <v>16660.600000000002</v>
      </c>
      <c r="H306" s="177"/>
    </row>
    <row r="307" spans="1:9" ht="51" customHeight="1" x14ac:dyDescent="0.25">
      <c r="A307" s="25" t="s">
        <v>318</v>
      </c>
      <c r="B307" s="16">
        <v>903</v>
      </c>
      <c r="C307" s="20" t="s">
        <v>314</v>
      </c>
      <c r="D307" s="20" t="s">
        <v>133</v>
      </c>
      <c r="E307" s="20" t="s">
        <v>329</v>
      </c>
      <c r="F307" s="20"/>
      <c r="G307" s="26">
        <f>G308</f>
        <v>16655.2</v>
      </c>
      <c r="H307" s="177"/>
    </row>
    <row r="308" spans="1:9" ht="47.25" x14ac:dyDescent="0.25">
      <c r="A308" s="25" t="s">
        <v>287</v>
      </c>
      <c r="B308" s="16">
        <v>903</v>
      </c>
      <c r="C308" s="20" t="s">
        <v>314</v>
      </c>
      <c r="D308" s="20" t="s">
        <v>133</v>
      </c>
      <c r="E308" s="20" t="s">
        <v>329</v>
      </c>
      <c r="F308" s="20" t="s">
        <v>288</v>
      </c>
      <c r="G308" s="26">
        <f>G309</f>
        <v>16655.2</v>
      </c>
      <c r="H308" s="177"/>
    </row>
    <row r="309" spans="1:9" ht="15.75" x14ac:dyDescent="0.25">
      <c r="A309" s="25" t="s">
        <v>289</v>
      </c>
      <c r="B309" s="16">
        <v>903</v>
      </c>
      <c r="C309" s="20" t="s">
        <v>314</v>
      </c>
      <c r="D309" s="20" t="s">
        <v>133</v>
      </c>
      <c r="E309" s="20" t="s">
        <v>329</v>
      </c>
      <c r="F309" s="20" t="s">
        <v>290</v>
      </c>
      <c r="G309" s="27">
        <f>18073+419.6-1705.8+78.4-210</f>
        <v>16655.2</v>
      </c>
      <c r="H309" s="106"/>
      <c r="I309" s="125"/>
    </row>
    <row r="310" spans="1:9" ht="38.25" customHeight="1" x14ac:dyDescent="0.25">
      <c r="A310" s="25" t="s">
        <v>330</v>
      </c>
      <c r="B310" s="16">
        <v>903</v>
      </c>
      <c r="C310" s="20" t="s">
        <v>314</v>
      </c>
      <c r="D310" s="20" t="s">
        <v>133</v>
      </c>
      <c r="E310" s="20" t="s">
        <v>331</v>
      </c>
      <c r="F310" s="20"/>
      <c r="G310" s="27">
        <f>G311+G313</f>
        <v>5</v>
      </c>
      <c r="H310" s="177"/>
    </row>
    <row r="311" spans="1:9" ht="31.5" hidden="1" x14ac:dyDescent="0.25">
      <c r="A311" s="25" t="s">
        <v>146</v>
      </c>
      <c r="B311" s="16">
        <v>903</v>
      </c>
      <c r="C311" s="20" t="s">
        <v>314</v>
      </c>
      <c r="D311" s="20" t="s">
        <v>133</v>
      </c>
      <c r="E311" s="20" t="s">
        <v>331</v>
      </c>
      <c r="F311" s="20" t="s">
        <v>147</v>
      </c>
      <c r="G311" s="27">
        <f>G312</f>
        <v>0</v>
      </c>
      <c r="H311" s="177"/>
    </row>
    <row r="312" spans="1:9" ht="47.25" hidden="1" x14ac:dyDescent="0.25">
      <c r="A312" s="25" t="s">
        <v>148</v>
      </c>
      <c r="B312" s="16">
        <v>903</v>
      </c>
      <c r="C312" s="20" t="s">
        <v>314</v>
      </c>
      <c r="D312" s="20" t="s">
        <v>133</v>
      </c>
      <c r="E312" s="20" t="s">
        <v>331</v>
      </c>
      <c r="F312" s="20" t="s">
        <v>149</v>
      </c>
      <c r="G312" s="27">
        <v>0</v>
      </c>
      <c r="H312" s="177"/>
    </row>
    <row r="313" spans="1:9" ht="47.25" x14ac:dyDescent="0.25">
      <c r="A313" s="25" t="s">
        <v>287</v>
      </c>
      <c r="B313" s="16">
        <v>903</v>
      </c>
      <c r="C313" s="20" t="s">
        <v>314</v>
      </c>
      <c r="D313" s="20" t="s">
        <v>133</v>
      </c>
      <c r="E313" s="20" t="s">
        <v>331</v>
      </c>
      <c r="F313" s="20" t="s">
        <v>288</v>
      </c>
      <c r="G313" s="27">
        <f>G314</f>
        <v>5</v>
      </c>
      <c r="H313" s="177"/>
    </row>
    <row r="314" spans="1:9" ht="15.75" x14ac:dyDescent="0.25">
      <c r="A314" s="25" t="s">
        <v>289</v>
      </c>
      <c r="B314" s="16">
        <v>903</v>
      </c>
      <c r="C314" s="20" t="s">
        <v>314</v>
      </c>
      <c r="D314" s="20" t="s">
        <v>133</v>
      </c>
      <c r="E314" s="20" t="s">
        <v>331</v>
      </c>
      <c r="F314" s="20" t="s">
        <v>290</v>
      </c>
      <c r="G314" s="27">
        <v>5</v>
      </c>
      <c r="H314" s="177"/>
    </row>
    <row r="315" spans="1:9" ht="15.75" x14ac:dyDescent="0.25">
      <c r="A315" s="25" t="s">
        <v>698</v>
      </c>
      <c r="B315" s="16">
        <v>903</v>
      </c>
      <c r="C315" s="20" t="s">
        <v>314</v>
      </c>
      <c r="D315" s="20" t="s">
        <v>133</v>
      </c>
      <c r="E315" s="20" t="s">
        <v>699</v>
      </c>
      <c r="F315" s="20"/>
      <c r="G315" s="27">
        <f>G316</f>
        <v>0.4</v>
      </c>
      <c r="H315" s="177"/>
    </row>
    <row r="316" spans="1:9" ht="47.25" x14ac:dyDescent="0.25">
      <c r="A316" s="25" t="s">
        <v>287</v>
      </c>
      <c r="B316" s="16">
        <v>903</v>
      </c>
      <c r="C316" s="20" t="s">
        <v>314</v>
      </c>
      <c r="D316" s="20" t="s">
        <v>133</v>
      </c>
      <c r="E316" s="20" t="s">
        <v>699</v>
      </c>
      <c r="F316" s="20" t="s">
        <v>288</v>
      </c>
      <c r="G316" s="27">
        <f>G317</f>
        <v>0.4</v>
      </c>
      <c r="H316" s="177"/>
    </row>
    <row r="317" spans="1:9" ht="15.75" x14ac:dyDescent="0.25">
      <c r="A317" s="25" t="s">
        <v>289</v>
      </c>
      <c r="B317" s="16">
        <v>903</v>
      </c>
      <c r="C317" s="20" t="s">
        <v>314</v>
      </c>
      <c r="D317" s="20" t="s">
        <v>133</v>
      </c>
      <c r="E317" s="20" t="s">
        <v>699</v>
      </c>
      <c r="F317" s="20" t="s">
        <v>290</v>
      </c>
      <c r="G317" s="27">
        <v>0.4</v>
      </c>
      <c r="H317" s="106"/>
    </row>
    <row r="318" spans="1:9" ht="47.25" hidden="1" x14ac:dyDescent="0.25">
      <c r="A318" s="25" t="s">
        <v>291</v>
      </c>
      <c r="B318" s="16">
        <v>903</v>
      </c>
      <c r="C318" s="20" t="s">
        <v>314</v>
      </c>
      <c r="D318" s="20" t="s">
        <v>133</v>
      </c>
      <c r="E318" s="20" t="s">
        <v>332</v>
      </c>
      <c r="F318" s="20"/>
      <c r="G318" s="26">
        <f>G319</f>
        <v>0</v>
      </c>
      <c r="H318" s="177"/>
    </row>
    <row r="319" spans="1:9" ht="47.25" hidden="1" x14ac:dyDescent="0.25">
      <c r="A319" s="25" t="s">
        <v>287</v>
      </c>
      <c r="B319" s="16">
        <v>903</v>
      </c>
      <c r="C319" s="20" t="s">
        <v>314</v>
      </c>
      <c r="D319" s="20" t="s">
        <v>133</v>
      </c>
      <c r="E319" s="20" t="s">
        <v>332</v>
      </c>
      <c r="F319" s="20" t="s">
        <v>288</v>
      </c>
      <c r="G319" s="26">
        <f>G320</f>
        <v>0</v>
      </c>
      <c r="H319" s="177"/>
    </row>
    <row r="320" spans="1:9" ht="15.75" hidden="1" x14ac:dyDescent="0.25">
      <c r="A320" s="25" t="s">
        <v>289</v>
      </c>
      <c r="B320" s="16">
        <v>903</v>
      </c>
      <c r="C320" s="20" t="s">
        <v>314</v>
      </c>
      <c r="D320" s="20" t="s">
        <v>133</v>
      </c>
      <c r="E320" s="20" t="s">
        <v>332</v>
      </c>
      <c r="F320" s="20" t="s">
        <v>290</v>
      </c>
      <c r="G320" s="26">
        <v>0</v>
      </c>
      <c r="H320" s="177"/>
    </row>
    <row r="321" spans="1:8" ht="47.25" hidden="1" x14ac:dyDescent="0.25">
      <c r="A321" s="25" t="s">
        <v>293</v>
      </c>
      <c r="B321" s="16">
        <v>903</v>
      </c>
      <c r="C321" s="20" t="s">
        <v>314</v>
      </c>
      <c r="D321" s="20" t="s">
        <v>133</v>
      </c>
      <c r="E321" s="20" t="s">
        <v>333</v>
      </c>
      <c r="F321" s="20"/>
      <c r="G321" s="26">
        <f>G322</f>
        <v>0</v>
      </c>
      <c r="H321" s="177"/>
    </row>
    <row r="322" spans="1:8" ht="47.25" hidden="1" x14ac:dyDescent="0.25">
      <c r="A322" s="25" t="s">
        <v>287</v>
      </c>
      <c r="B322" s="16">
        <v>903</v>
      </c>
      <c r="C322" s="20" t="s">
        <v>314</v>
      </c>
      <c r="D322" s="20" t="s">
        <v>133</v>
      </c>
      <c r="E322" s="20" t="s">
        <v>333</v>
      </c>
      <c r="F322" s="20" t="s">
        <v>288</v>
      </c>
      <c r="G322" s="26">
        <f>G323</f>
        <v>0</v>
      </c>
      <c r="H322" s="177"/>
    </row>
    <row r="323" spans="1:8" ht="15.75" hidden="1" x14ac:dyDescent="0.25">
      <c r="A323" s="25" t="s">
        <v>289</v>
      </c>
      <c r="B323" s="16">
        <v>903</v>
      </c>
      <c r="C323" s="20" t="s">
        <v>314</v>
      </c>
      <c r="D323" s="20" t="s">
        <v>133</v>
      </c>
      <c r="E323" s="20" t="s">
        <v>333</v>
      </c>
      <c r="F323" s="20" t="s">
        <v>290</v>
      </c>
      <c r="G323" s="26">
        <v>0</v>
      </c>
      <c r="H323" s="177"/>
    </row>
    <row r="324" spans="1:8" ht="31.5" hidden="1" x14ac:dyDescent="0.25">
      <c r="A324" s="25" t="s">
        <v>295</v>
      </c>
      <c r="B324" s="16">
        <v>903</v>
      </c>
      <c r="C324" s="20" t="s">
        <v>314</v>
      </c>
      <c r="D324" s="20" t="s">
        <v>133</v>
      </c>
      <c r="E324" s="20" t="s">
        <v>334</v>
      </c>
      <c r="F324" s="20"/>
      <c r="G324" s="26">
        <f>G325</f>
        <v>0</v>
      </c>
      <c r="H324" s="177"/>
    </row>
    <row r="325" spans="1:8" ht="47.25" hidden="1" x14ac:dyDescent="0.25">
      <c r="A325" s="25" t="s">
        <v>287</v>
      </c>
      <c r="B325" s="16">
        <v>903</v>
      </c>
      <c r="C325" s="20" t="s">
        <v>314</v>
      </c>
      <c r="D325" s="20" t="s">
        <v>133</v>
      </c>
      <c r="E325" s="20" t="s">
        <v>334</v>
      </c>
      <c r="F325" s="20" t="s">
        <v>288</v>
      </c>
      <c r="G325" s="26">
        <f>G326</f>
        <v>0</v>
      </c>
      <c r="H325" s="177"/>
    </row>
    <row r="326" spans="1:8" ht="15.75" hidden="1" x14ac:dyDescent="0.25">
      <c r="A326" s="25" t="s">
        <v>289</v>
      </c>
      <c r="B326" s="16">
        <v>903</v>
      </c>
      <c r="C326" s="20" t="s">
        <v>314</v>
      </c>
      <c r="D326" s="20" t="s">
        <v>133</v>
      </c>
      <c r="E326" s="20" t="s">
        <v>334</v>
      </c>
      <c r="F326" s="20" t="s">
        <v>290</v>
      </c>
      <c r="G326" s="26">
        <v>0</v>
      </c>
      <c r="H326" s="177"/>
    </row>
    <row r="327" spans="1:8" ht="31.5" hidden="1" x14ac:dyDescent="0.25">
      <c r="A327" s="25" t="s">
        <v>299</v>
      </c>
      <c r="B327" s="16">
        <v>903</v>
      </c>
      <c r="C327" s="20" t="s">
        <v>314</v>
      </c>
      <c r="D327" s="20" t="s">
        <v>133</v>
      </c>
      <c r="E327" s="20" t="s">
        <v>335</v>
      </c>
      <c r="F327" s="20"/>
      <c r="G327" s="26">
        <f>G328</f>
        <v>0</v>
      </c>
      <c r="H327" s="177"/>
    </row>
    <row r="328" spans="1:8" ht="47.25" hidden="1" x14ac:dyDescent="0.25">
      <c r="A328" s="25" t="s">
        <v>287</v>
      </c>
      <c r="B328" s="16">
        <v>903</v>
      </c>
      <c r="C328" s="20" t="s">
        <v>314</v>
      </c>
      <c r="D328" s="20" t="s">
        <v>133</v>
      </c>
      <c r="E328" s="20" t="s">
        <v>335</v>
      </c>
      <c r="F328" s="20" t="s">
        <v>288</v>
      </c>
      <c r="G328" s="26">
        <f>G329</f>
        <v>0</v>
      </c>
      <c r="H328" s="177"/>
    </row>
    <row r="329" spans="1:8" ht="15.75" hidden="1" x14ac:dyDescent="0.25">
      <c r="A329" s="25" t="s">
        <v>289</v>
      </c>
      <c r="B329" s="16">
        <v>903</v>
      </c>
      <c r="C329" s="20" t="s">
        <v>314</v>
      </c>
      <c r="D329" s="20" t="s">
        <v>133</v>
      </c>
      <c r="E329" s="20" t="s">
        <v>335</v>
      </c>
      <c r="F329" s="20" t="s">
        <v>290</v>
      </c>
      <c r="G329" s="26">
        <v>0</v>
      </c>
      <c r="H329" s="177"/>
    </row>
    <row r="330" spans="1:8" ht="47.25" hidden="1" x14ac:dyDescent="0.25">
      <c r="A330" s="35" t="s">
        <v>336</v>
      </c>
      <c r="B330" s="16">
        <v>903</v>
      </c>
      <c r="C330" s="20" t="s">
        <v>314</v>
      </c>
      <c r="D330" s="20" t="s">
        <v>133</v>
      </c>
      <c r="E330" s="20" t="s">
        <v>337</v>
      </c>
      <c r="F330" s="20"/>
      <c r="G330" s="26">
        <f>G331</f>
        <v>0</v>
      </c>
      <c r="H330" s="177"/>
    </row>
    <row r="331" spans="1:8" ht="47.25" hidden="1" x14ac:dyDescent="0.25">
      <c r="A331" s="25" t="s">
        <v>287</v>
      </c>
      <c r="B331" s="16">
        <v>903</v>
      </c>
      <c r="C331" s="20" t="s">
        <v>314</v>
      </c>
      <c r="D331" s="20" t="s">
        <v>133</v>
      </c>
      <c r="E331" s="20" t="s">
        <v>337</v>
      </c>
      <c r="F331" s="20" t="s">
        <v>288</v>
      </c>
      <c r="G331" s="26">
        <f>G332</f>
        <v>0</v>
      </c>
      <c r="H331" s="177"/>
    </row>
    <row r="332" spans="1:8" ht="15.75" hidden="1" x14ac:dyDescent="0.25">
      <c r="A332" s="25" t="s">
        <v>289</v>
      </c>
      <c r="B332" s="16">
        <v>903</v>
      </c>
      <c r="C332" s="20" t="s">
        <v>314</v>
      </c>
      <c r="D332" s="20" t="s">
        <v>133</v>
      </c>
      <c r="E332" s="20" t="s">
        <v>337</v>
      </c>
      <c r="F332" s="20" t="s">
        <v>290</v>
      </c>
      <c r="G332" s="26">
        <v>0</v>
      </c>
      <c r="H332" s="177"/>
    </row>
    <row r="333" spans="1:8" ht="78.75" x14ac:dyDescent="0.25">
      <c r="A333" s="29" t="s">
        <v>338</v>
      </c>
      <c r="B333" s="16">
        <v>903</v>
      </c>
      <c r="C333" s="20" t="s">
        <v>314</v>
      </c>
      <c r="D333" s="20" t="s">
        <v>133</v>
      </c>
      <c r="E333" s="40" t="s">
        <v>339</v>
      </c>
      <c r="F333" s="20"/>
      <c r="G333" s="26">
        <f>G334</f>
        <v>200</v>
      </c>
      <c r="H333" s="177"/>
    </row>
    <row r="334" spans="1:8" ht="47.25" x14ac:dyDescent="0.25">
      <c r="A334" s="25" t="s">
        <v>340</v>
      </c>
      <c r="B334" s="16">
        <v>903</v>
      </c>
      <c r="C334" s="20" t="s">
        <v>314</v>
      </c>
      <c r="D334" s="20" t="s">
        <v>133</v>
      </c>
      <c r="E334" s="40" t="s">
        <v>341</v>
      </c>
      <c r="F334" s="20"/>
      <c r="G334" s="26">
        <f>G335</f>
        <v>200</v>
      </c>
      <c r="H334" s="177"/>
    </row>
    <row r="335" spans="1:8" ht="47.25" x14ac:dyDescent="0.25">
      <c r="A335" s="25" t="s">
        <v>287</v>
      </c>
      <c r="B335" s="16">
        <v>903</v>
      </c>
      <c r="C335" s="20" t="s">
        <v>314</v>
      </c>
      <c r="D335" s="20" t="s">
        <v>133</v>
      </c>
      <c r="E335" s="40" t="s">
        <v>341</v>
      </c>
      <c r="F335" s="20" t="s">
        <v>288</v>
      </c>
      <c r="G335" s="26">
        <f>G336</f>
        <v>200</v>
      </c>
      <c r="H335" s="177"/>
    </row>
    <row r="336" spans="1:8" ht="15.75" x14ac:dyDescent="0.25">
      <c r="A336" s="25" t="s">
        <v>289</v>
      </c>
      <c r="B336" s="16">
        <v>903</v>
      </c>
      <c r="C336" s="20" t="s">
        <v>314</v>
      </c>
      <c r="D336" s="20" t="s">
        <v>133</v>
      </c>
      <c r="E336" s="40" t="s">
        <v>341</v>
      </c>
      <c r="F336" s="20" t="s">
        <v>290</v>
      </c>
      <c r="G336" s="26">
        <v>200</v>
      </c>
      <c r="H336" s="177"/>
    </row>
    <row r="337" spans="1:9" ht="15.75" x14ac:dyDescent="0.25">
      <c r="A337" s="25" t="s">
        <v>136</v>
      </c>
      <c r="B337" s="16">
        <v>903</v>
      </c>
      <c r="C337" s="20" t="s">
        <v>314</v>
      </c>
      <c r="D337" s="20" t="s">
        <v>133</v>
      </c>
      <c r="E337" s="20" t="s">
        <v>137</v>
      </c>
      <c r="F337" s="20"/>
      <c r="G337" s="26">
        <f>G338</f>
        <v>2137.9</v>
      </c>
      <c r="H337" s="177"/>
    </row>
    <row r="338" spans="1:9" ht="31.5" x14ac:dyDescent="0.25">
      <c r="A338" s="25" t="s">
        <v>200</v>
      </c>
      <c r="B338" s="16">
        <v>903</v>
      </c>
      <c r="C338" s="20" t="s">
        <v>314</v>
      </c>
      <c r="D338" s="20" t="s">
        <v>133</v>
      </c>
      <c r="E338" s="20" t="s">
        <v>201</v>
      </c>
      <c r="F338" s="20"/>
      <c r="G338" s="26">
        <f>G339+G344+G349+G352+G355</f>
        <v>2137.9</v>
      </c>
      <c r="H338" s="177"/>
    </row>
    <row r="339" spans="1:9" ht="31.5" hidden="1" x14ac:dyDescent="0.25">
      <c r="A339" s="36" t="s">
        <v>342</v>
      </c>
      <c r="B339" s="37">
        <v>903</v>
      </c>
      <c r="C339" s="20" t="s">
        <v>314</v>
      </c>
      <c r="D339" s="20" t="s">
        <v>133</v>
      </c>
      <c r="E339" s="20" t="s">
        <v>343</v>
      </c>
      <c r="F339" s="20"/>
      <c r="G339" s="26">
        <f>G340+G342</f>
        <v>0</v>
      </c>
      <c r="H339" s="177"/>
    </row>
    <row r="340" spans="1:9" ht="31.5" hidden="1" x14ac:dyDescent="0.25">
      <c r="A340" s="25" t="s">
        <v>146</v>
      </c>
      <c r="B340" s="37">
        <v>903</v>
      </c>
      <c r="C340" s="20" t="s">
        <v>314</v>
      </c>
      <c r="D340" s="20" t="s">
        <v>133</v>
      </c>
      <c r="E340" s="20" t="s">
        <v>343</v>
      </c>
      <c r="F340" s="20" t="s">
        <v>147</v>
      </c>
      <c r="G340" s="26">
        <f>G341</f>
        <v>0</v>
      </c>
      <c r="H340" s="177"/>
    </row>
    <row r="341" spans="1:9" ht="47.25" hidden="1" x14ac:dyDescent="0.25">
      <c r="A341" s="25" t="s">
        <v>148</v>
      </c>
      <c r="B341" s="16">
        <v>903</v>
      </c>
      <c r="C341" s="20" t="s">
        <v>314</v>
      </c>
      <c r="D341" s="20" t="s">
        <v>133</v>
      </c>
      <c r="E341" s="20" t="s">
        <v>343</v>
      </c>
      <c r="F341" s="20" t="s">
        <v>149</v>
      </c>
      <c r="G341" s="26">
        <f>1.4-1.4</f>
        <v>0</v>
      </c>
      <c r="H341" s="177"/>
      <c r="I341" s="115"/>
    </row>
    <row r="342" spans="1:9" ht="47.25" hidden="1" x14ac:dyDescent="0.25">
      <c r="A342" s="25" t="s">
        <v>287</v>
      </c>
      <c r="B342" s="16">
        <v>903</v>
      </c>
      <c r="C342" s="20" t="s">
        <v>314</v>
      </c>
      <c r="D342" s="20" t="s">
        <v>133</v>
      </c>
      <c r="E342" s="20" t="s">
        <v>343</v>
      </c>
      <c r="F342" s="20" t="s">
        <v>288</v>
      </c>
      <c r="G342" s="26">
        <f>G343</f>
        <v>0</v>
      </c>
      <c r="H342" s="177"/>
    </row>
    <row r="343" spans="1:9" ht="15.75" hidden="1" x14ac:dyDescent="0.25">
      <c r="A343" s="25" t="s">
        <v>289</v>
      </c>
      <c r="B343" s="16">
        <v>903</v>
      </c>
      <c r="C343" s="20" t="s">
        <v>314</v>
      </c>
      <c r="D343" s="20" t="s">
        <v>133</v>
      </c>
      <c r="E343" s="20" t="s">
        <v>343</v>
      </c>
      <c r="F343" s="20" t="s">
        <v>290</v>
      </c>
      <c r="G343" s="26">
        <f>2.9-2.9</f>
        <v>0</v>
      </c>
      <c r="H343" s="177"/>
      <c r="I343" s="115"/>
    </row>
    <row r="344" spans="1:9" ht="31.5" x14ac:dyDescent="0.25">
      <c r="A344" s="25" t="s">
        <v>344</v>
      </c>
      <c r="B344" s="16">
        <v>903</v>
      </c>
      <c r="C344" s="20" t="s">
        <v>314</v>
      </c>
      <c r="D344" s="20" t="s">
        <v>133</v>
      </c>
      <c r="E344" s="20" t="s">
        <v>345</v>
      </c>
      <c r="F344" s="20"/>
      <c r="G344" s="26">
        <f>G345+G347</f>
        <v>177.3</v>
      </c>
      <c r="H344" s="177"/>
    </row>
    <row r="345" spans="1:9" ht="31.5" hidden="1" x14ac:dyDescent="0.25">
      <c r="A345" s="25" t="s">
        <v>146</v>
      </c>
      <c r="B345" s="16">
        <v>903</v>
      </c>
      <c r="C345" s="20" t="s">
        <v>314</v>
      </c>
      <c r="D345" s="20" t="s">
        <v>133</v>
      </c>
      <c r="E345" s="20" t="s">
        <v>345</v>
      </c>
      <c r="F345" s="20" t="s">
        <v>147</v>
      </c>
      <c r="G345" s="26">
        <f>G346</f>
        <v>0</v>
      </c>
      <c r="H345" s="177"/>
    </row>
    <row r="346" spans="1:9" ht="47.25" hidden="1" x14ac:dyDescent="0.25">
      <c r="A346" s="25" t="s">
        <v>148</v>
      </c>
      <c r="B346" s="16">
        <v>903</v>
      </c>
      <c r="C346" s="20" t="s">
        <v>314</v>
      </c>
      <c r="D346" s="20" t="s">
        <v>133</v>
      </c>
      <c r="E346" s="20" t="s">
        <v>345</v>
      </c>
      <c r="F346" s="38">
        <v>240</v>
      </c>
      <c r="G346" s="26">
        <v>0</v>
      </c>
      <c r="H346" s="177"/>
    </row>
    <row r="347" spans="1:9" ht="47.25" x14ac:dyDescent="0.25">
      <c r="A347" s="25" t="s">
        <v>287</v>
      </c>
      <c r="B347" s="16">
        <v>903</v>
      </c>
      <c r="C347" s="20" t="s">
        <v>314</v>
      </c>
      <c r="D347" s="20" t="s">
        <v>133</v>
      </c>
      <c r="E347" s="20" t="s">
        <v>345</v>
      </c>
      <c r="F347" s="20" t="s">
        <v>288</v>
      </c>
      <c r="G347" s="26">
        <f>G348</f>
        <v>177.3</v>
      </c>
      <c r="H347" s="177"/>
    </row>
    <row r="348" spans="1:9" ht="15.75" x14ac:dyDescent="0.25">
      <c r="A348" s="25" t="s">
        <v>289</v>
      </c>
      <c r="B348" s="16">
        <v>903</v>
      </c>
      <c r="C348" s="20" t="s">
        <v>314</v>
      </c>
      <c r="D348" s="20" t="s">
        <v>133</v>
      </c>
      <c r="E348" s="20" t="s">
        <v>345</v>
      </c>
      <c r="F348" s="20" t="s">
        <v>290</v>
      </c>
      <c r="G348" s="26">
        <f>274.5-97.2</f>
        <v>177.3</v>
      </c>
      <c r="H348" s="177"/>
      <c r="I348" s="115"/>
    </row>
    <row r="349" spans="1:9" ht="78.75" x14ac:dyDescent="0.25">
      <c r="A349" s="25" t="s">
        <v>346</v>
      </c>
      <c r="B349" s="16">
        <v>903</v>
      </c>
      <c r="C349" s="20" t="s">
        <v>314</v>
      </c>
      <c r="D349" s="20" t="s">
        <v>133</v>
      </c>
      <c r="E349" s="20" t="s">
        <v>347</v>
      </c>
      <c r="F349" s="20"/>
      <c r="G349" s="26">
        <f>G350</f>
        <v>263.3</v>
      </c>
      <c r="H349" s="177"/>
    </row>
    <row r="350" spans="1:9" ht="47.25" x14ac:dyDescent="0.25">
      <c r="A350" s="25" t="s">
        <v>287</v>
      </c>
      <c r="B350" s="16">
        <v>903</v>
      </c>
      <c r="C350" s="20" t="s">
        <v>314</v>
      </c>
      <c r="D350" s="20" t="s">
        <v>133</v>
      </c>
      <c r="E350" s="20" t="s">
        <v>347</v>
      </c>
      <c r="F350" s="20" t="s">
        <v>288</v>
      </c>
      <c r="G350" s="26">
        <f>G351</f>
        <v>263.3</v>
      </c>
      <c r="H350" s="177"/>
    </row>
    <row r="351" spans="1:9" ht="15.75" x14ac:dyDescent="0.25">
      <c r="A351" s="25" t="s">
        <v>289</v>
      </c>
      <c r="B351" s="16">
        <v>903</v>
      </c>
      <c r="C351" s="20" t="s">
        <v>314</v>
      </c>
      <c r="D351" s="20" t="s">
        <v>133</v>
      </c>
      <c r="E351" s="20" t="s">
        <v>347</v>
      </c>
      <c r="F351" s="20" t="s">
        <v>290</v>
      </c>
      <c r="G351" s="26">
        <f>247.6+15.7</f>
        <v>263.3</v>
      </c>
      <c r="H351" s="177"/>
      <c r="I351" s="115"/>
    </row>
    <row r="352" spans="1:9" ht="110.25" x14ac:dyDescent="0.25">
      <c r="A352" s="31" t="s">
        <v>308</v>
      </c>
      <c r="B352" s="16">
        <v>903</v>
      </c>
      <c r="C352" s="20" t="s">
        <v>314</v>
      </c>
      <c r="D352" s="20" t="s">
        <v>133</v>
      </c>
      <c r="E352" s="20" t="s">
        <v>309</v>
      </c>
      <c r="F352" s="20"/>
      <c r="G352" s="26">
        <f>G353</f>
        <v>1693.3000000000002</v>
      </c>
      <c r="H352" s="177"/>
    </row>
    <row r="353" spans="1:9" ht="47.25" x14ac:dyDescent="0.25">
      <c r="A353" s="25" t="s">
        <v>287</v>
      </c>
      <c r="B353" s="16">
        <v>903</v>
      </c>
      <c r="C353" s="20" t="s">
        <v>314</v>
      </c>
      <c r="D353" s="20" t="s">
        <v>133</v>
      </c>
      <c r="E353" s="20" t="s">
        <v>309</v>
      </c>
      <c r="F353" s="20" t="s">
        <v>288</v>
      </c>
      <c r="G353" s="26">
        <f>G354</f>
        <v>1693.3000000000002</v>
      </c>
      <c r="H353" s="177"/>
    </row>
    <row r="354" spans="1:9" ht="15.75" x14ac:dyDescent="0.25">
      <c r="A354" s="25" t="s">
        <v>289</v>
      </c>
      <c r="B354" s="16">
        <v>903</v>
      </c>
      <c r="C354" s="20" t="s">
        <v>314</v>
      </c>
      <c r="D354" s="20" t="s">
        <v>133</v>
      </c>
      <c r="E354" s="20" t="s">
        <v>309</v>
      </c>
      <c r="F354" s="20" t="s">
        <v>290</v>
      </c>
      <c r="G354" s="26">
        <f>1929.4-236.1</f>
        <v>1693.3000000000002</v>
      </c>
      <c r="H354" s="177"/>
    </row>
    <row r="355" spans="1:9" ht="15.75" x14ac:dyDescent="0.25">
      <c r="A355" s="31" t="s">
        <v>700</v>
      </c>
      <c r="B355" s="16">
        <v>903</v>
      </c>
      <c r="C355" s="20" t="s">
        <v>314</v>
      </c>
      <c r="D355" s="20" t="s">
        <v>133</v>
      </c>
      <c r="E355" s="20" t="s">
        <v>701</v>
      </c>
      <c r="F355" s="20"/>
      <c r="G355" s="26">
        <f>G356</f>
        <v>4</v>
      </c>
      <c r="H355" s="177"/>
    </row>
    <row r="356" spans="1:9" ht="47.25" x14ac:dyDescent="0.25">
      <c r="A356" s="25" t="s">
        <v>287</v>
      </c>
      <c r="B356" s="16">
        <v>903</v>
      </c>
      <c r="C356" s="20" t="s">
        <v>314</v>
      </c>
      <c r="D356" s="20" t="s">
        <v>133</v>
      </c>
      <c r="E356" s="20" t="s">
        <v>701</v>
      </c>
      <c r="F356" s="20" t="s">
        <v>288</v>
      </c>
      <c r="G356" s="26">
        <f>G357</f>
        <v>4</v>
      </c>
      <c r="H356" s="177"/>
    </row>
    <row r="357" spans="1:9" ht="15.75" x14ac:dyDescent="0.25">
      <c r="A357" s="25" t="s">
        <v>289</v>
      </c>
      <c r="B357" s="16">
        <v>903</v>
      </c>
      <c r="C357" s="20" t="s">
        <v>314</v>
      </c>
      <c r="D357" s="20" t="s">
        <v>133</v>
      </c>
      <c r="E357" s="20" t="s">
        <v>701</v>
      </c>
      <c r="F357" s="20" t="s">
        <v>290</v>
      </c>
      <c r="G357" s="26">
        <v>4</v>
      </c>
      <c r="H357" s="106"/>
    </row>
    <row r="358" spans="1:9" ht="31.5" x14ac:dyDescent="0.25">
      <c r="A358" s="23" t="s">
        <v>348</v>
      </c>
      <c r="B358" s="19">
        <v>903</v>
      </c>
      <c r="C358" s="24" t="s">
        <v>314</v>
      </c>
      <c r="D358" s="24" t="s">
        <v>165</v>
      </c>
      <c r="E358" s="24"/>
      <c r="F358" s="24"/>
      <c r="G358" s="21">
        <f>G359+G373+G369</f>
        <v>17278.8</v>
      </c>
      <c r="H358" s="177"/>
    </row>
    <row r="359" spans="1:9" ht="47.25" x14ac:dyDescent="0.25">
      <c r="A359" s="25" t="s">
        <v>349</v>
      </c>
      <c r="B359" s="16">
        <v>903</v>
      </c>
      <c r="C359" s="20" t="s">
        <v>314</v>
      </c>
      <c r="D359" s="20" t="s">
        <v>165</v>
      </c>
      <c r="E359" s="20" t="s">
        <v>350</v>
      </c>
      <c r="F359" s="20"/>
      <c r="G359" s="26">
        <f>G360+G363+G366</f>
        <v>125</v>
      </c>
      <c r="H359" s="177"/>
      <c r="I359" s="115"/>
    </row>
    <row r="360" spans="1:9" ht="31.5" hidden="1" x14ac:dyDescent="0.25">
      <c r="A360" s="25" t="s">
        <v>351</v>
      </c>
      <c r="B360" s="16">
        <v>903</v>
      </c>
      <c r="C360" s="20" t="s">
        <v>314</v>
      </c>
      <c r="D360" s="20" t="s">
        <v>165</v>
      </c>
      <c r="E360" s="20" t="s">
        <v>352</v>
      </c>
      <c r="F360" s="20"/>
      <c r="G360" s="26">
        <f>G361</f>
        <v>0</v>
      </c>
      <c r="H360" s="177"/>
    </row>
    <row r="361" spans="1:9" ht="31.5" hidden="1" x14ac:dyDescent="0.25">
      <c r="A361" s="25" t="s">
        <v>146</v>
      </c>
      <c r="B361" s="16">
        <v>903</v>
      </c>
      <c r="C361" s="20" t="s">
        <v>314</v>
      </c>
      <c r="D361" s="20" t="s">
        <v>165</v>
      </c>
      <c r="E361" s="20" t="s">
        <v>352</v>
      </c>
      <c r="F361" s="20" t="s">
        <v>147</v>
      </c>
      <c r="G361" s="26">
        <f>G362</f>
        <v>0</v>
      </c>
      <c r="H361" s="177"/>
    </row>
    <row r="362" spans="1:9" ht="47.25" hidden="1" x14ac:dyDescent="0.25">
      <c r="A362" s="25" t="s">
        <v>148</v>
      </c>
      <c r="B362" s="16">
        <v>903</v>
      </c>
      <c r="C362" s="20" t="s">
        <v>314</v>
      </c>
      <c r="D362" s="20" t="s">
        <v>165</v>
      </c>
      <c r="E362" s="20" t="s">
        <v>352</v>
      </c>
      <c r="F362" s="20" t="s">
        <v>149</v>
      </c>
      <c r="G362" s="26">
        <v>0</v>
      </c>
      <c r="H362" s="177"/>
    </row>
    <row r="363" spans="1:9" ht="31.5" x14ac:dyDescent="0.25">
      <c r="A363" s="25" t="s">
        <v>353</v>
      </c>
      <c r="B363" s="16">
        <v>903</v>
      </c>
      <c r="C363" s="20" t="s">
        <v>314</v>
      </c>
      <c r="D363" s="20" t="s">
        <v>165</v>
      </c>
      <c r="E363" s="20" t="s">
        <v>354</v>
      </c>
      <c r="F363" s="20"/>
      <c r="G363" s="26">
        <f>G364</f>
        <v>20</v>
      </c>
      <c r="H363" s="177"/>
    </row>
    <row r="364" spans="1:9" ht="31.5" x14ac:dyDescent="0.25">
      <c r="A364" s="25" t="s">
        <v>146</v>
      </c>
      <c r="B364" s="16">
        <v>903</v>
      </c>
      <c r="C364" s="20" t="s">
        <v>314</v>
      </c>
      <c r="D364" s="20" t="s">
        <v>165</v>
      </c>
      <c r="E364" s="20" t="s">
        <v>354</v>
      </c>
      <c r="F364" s="20" t="s">
        <v>147</v>
      </c>
      <c r="G364" s="26">
        <f>G365</f>
        <v>20</v>
      </c>
      <c r="H364" s="177"/>
    </row>
    <row r="365" spans="1:9" ht="47.25" x14ac:dyDescent="0.25">
      <c r="A365" s="25" t="s">
        <v>148</v>
      </c>
      <c r="B365" s="16">
        <v>903</v>
      </c>
      <c r="C365" s="20" t="s">
        <v>314</v>
      </c>
      <c r="D365" s="20" t="s">
        <v>165</v>
      </c>
      <c r="E365" s="20" t="s">
        <v>354</v>
      </c>
      <c r="F365" s="20" t="s">
        <v>149</v>
      </c>
      <c r="G365" s="26">
        <v>20</v>
      </c>
      <c r="H365" s="177"/>
    </row>
    <row r="366" spans="1:9" ht="63" x14ac:dyDescent="0.25">
      <c r="A366" s="25" t="s">
        <v>729</v>
      </c>
      <c r="B366" s="16">
        <v>903</v>
      </c>
      <c r="C366" s="20" t="s">
        <v>314</v>
      </c>
      <c r="D366" s="20" t="s">
        <v>165</v>
      </c>
      <c r="E366" s="20" t="s">
        <v>695</v>
      </c>
      <c r="F366" s="20"/>
      <c r="G366" s="26">
        <f>G367</f>
        <v>105</v>
      </c>
      <c r="H366" s="177"/>
    </row>
    <row r="367" spans="1:9" ht="39.75" customHeight="1" x14ac:dyDescent="0.25">
      <c r="A367" s="25" t="s">
        <v>146</v>
      </c>
      <c r="B367" s="16">
        <v>903</v>
      </c>
      <c r="C367" s="20" t="s">
        <v>314</v>
      </c>
      <c r="D367" s="20" t="s">
        <v>165</v>
      </c>
      <c r="E367" s="20" t="s">
        <v>695</v>
      </c>
      <c r="F367" s="20" t="s">
        <v>147</v>
      </c>
      <c r="G367" s="26">
        <f>G368</f>
        <v>105</v>
      </c>
      <c r="H367" s="177"/>
    </row>
    <row r="368" spans="1:9" ht="47.25" x14ac:dyDescent="0.25">
      <c r="A368" s="25" t="s">
        <v>148</v>
      </c>
      <c r="B368" s="16">
        <v>903</v>
      </c>
      <c r="C368" s="20" t="s">
        <v>314</v>
      </c>
      <c r="D368" s="20" t="s">
        <v>165</v>
      </c>
      <c r="E368" s="20" t="s">
        <v>695</v>
      </c>
      <c r="F368" s="20" t="s">
        <v>149</v>
      </c>
      <c r="G368" s="26">
        <f>55+50</f>
        <v>105</v>
      </c>
      <c r="H368" s="106"/>
      <c r="I368" s="124"/>
    </row>
    <row r="369" spans="1:11" ht="63" x14ac:dyDescent="0.25">
      <c r="A369" s="29" t="s">
        <v>728</v>
      </c>
      <c r="B369" s="16">
        <v>903</v>
      </c>
      <c r="C369" s="20" t="s">
        <v>314</v>
      </c>
      <c r="D369" s="20" t="s">
        <v>165</v>
      </c>
      <c r="E369" s="20" t="s">
        <v>726</v>
      </c>
      <c r="F369" s="20"/>
      <c r="G369" s="26">
        <f>G370</f>
        <v>5</v>
      </c>
      <c r="H369" s="177"/>
    </row>
    <row r="370" spans="1:11" ht="31.5" x14ac:dyDescent="0.25">
      <c r="A370" s="25" t="s">
        <v>384</v>
      </c>
      <c r="B370" s="16">
        <v>903</v>
      </c>
      <c r="C370" s="20" t="s">
        <v>314</v>
      </c>
      <c r="D370" s="20" t="s">
        <v>165</v>
      </c>
      <c r="E370" s="20" t="s">
        <v>734</v>
      </c>
      <c r="F370" s="20"/>
      <c r="G370" s="26">
        <f>G371</f>
        <v>5</v>
      </c>
      <c r="H370" s="177"/>
    </row>
    <row r="371" spans="1:11" ht="31.5" x14ac:dyDescent="0.25">
      <c r="A371" s="25" t="s">
        <v>146</v>
      </c>
      <c r="B371" s="16">
        <v>903</v>
      </c>
      <c r="C371" s="20" t="s">
        <v>314</v>
      </c>
      <c r="D371" s="20" t="s">
        <v>165</v>
      </c>
      <c r="E371" s="20" t="s">
        <v>734</v>
      </c>
      <c r="F371" s="20" t="s">
        <v>147</v>
      </c>
      <c r="G371" s="26">
        <f>G372</f>
        <v>5</v>
      </c>
      <c r="H371" s="177"/>
    </row>
    <row r="372" spans="1:11" ht="47.25" x14ac:dyDescent="0.25">
      <c r="A372" s="25" t="s">
        <v>148</v>
      </c>
      <c r="B372" s="16">
        <v>903</v>
      </c>
      <c r="C372" s="20" t="s">
        <v>314</v>
      </c>
      <c r="D372" s="20" t="s">
        <v>165</v>
      </c>
      <c r="E372" s="20" t="s">
        <v>734</v>
      </c>
      <c r="F372" s="20" t="s">
        <v>149</v>
      </c>
      <c r="G372" s="26">
        <v>5</v>
      </c>
      <c r="H372" s="106"/>
      <c r="I372" s="124"/>
    </row>
    <row r="373" spans="1:11" ht="15.75" x14ac:dyDescent="0.25">
      <c r="A373" s="25" t="s">
        <v>136</v>
      </c>
      <c r="B373" s="16">
        <v>903</v>
      </c>
      <c r="C373" s="20" t="s">
        <v>314</v>
      </c>
      <c r="D373" s="20" t="s">
        <v>165</v>
      </c>
      <c r="E373" s="20" t="s">
        <v>137</v>
      </c>
      <c r="F373" s="20"/>
      <c r="G373" s="26">
        <f>G374+G380</f>
        <v>17148.8</v>
      </c>
      <c r="H373" s="177"/>
    </row>
    <row r="374" spans="1:11" ht="31.5" x14ac:dyDescent="0.25">
      <c r="A374" s="25" t="s">
        <v>138</v>
      </c>
      <c r="B374" s="16">
        <v>903</v>
      </c>
      <c r="C374" s="20" t="s">
        <v>314</v>
      </c>
      <c r="D374" s="20" t="s">
        <v>165</v>
      </c>
      <c r="E374" s="20" t="s">
        <v>139</v>
      </c>
      <c r="F374" s="20"/>
      <c r="G374" s="26">
        <f>G375</f>
        <v>6754.9</v>
      </c>
      <c r="H374" s="177"/>
    </row>
    <row r="375" spans="1:11" ht="47.25" x14ac:dyDescent="0.25">
      <c r="A375" s="25" t="s">
        <v>140</v>
      </c>
      <c r="B375" s="16">
        <v>903</v>
      </c>
      <c r="C375" s="20" t="s">
        <v>314</v>
      </c>
      <c r="D375" s="20" t="s">
        <v>165</v>
      </c>
      <c r="E375" s="20" t="s">
        <v>141</v>
      </c>
      <c r="F375" s="20"/>
      <c r="G375" s="26">
        <f>G376+G378</f>
        <v>6754.9</v>
      </c>
      <c r="H375" s="177"/>
    </row>
    <row r="376" spans="1:11" ht="94.5" x14ac:dyDescent="0.25">
      <c r="A376" s="25" t="s">
        <v>142</v>
      </c>
      <c r="B376" s="16">
        <v>903</v>
      </c>
      <c r="C376" s="20" t="s">
        <v>314</v>
      </c>
      <c r="D376" s="20" t="s">
        <v>165</v>
      </c>
      <c r="E376" s="20" t="s">
        <v>141</v>
      </c>
      <c r="F376" s="20" t="s">
        <v>143</v>
      </c>
      <c r="G376" s="26">
        <f>G377</f>
        <v>6754.9</v>
      </c>
      <c r="H376" s="177"/>
    </row>
    <row r="377" spans="1:11" ht="31.5" x14ac:dyDescent="0.25">
      <c r="A377" s="25" t="s">
        <v>144</v>
      </c>
      <c r="B377" s="16">
        <v>903</v>
      </c>
      <c r="C377" s="20" t="s">
        <v>314</v>
      </c>
      <c r="D377" s="20" t="s">
        <v>165</v>
      </c>
      <c r="E377" s="20" t="s">
        <v>141</v>
      </c>
      <c r="F377" s="20" t="s">
        <v>145</v>
      </c>
      <c r="G377" s="27">
        <v>6754.9</v>
      </c>
      <c r="H377" s="177"/>
    </row>
    <row r="378" spans="1:11" ht="31.5" hidden="1" x14ac:dyDescent="0.25">
      <c r="A378" s="25" t="s">
        <v>146</v>
      </c>
      <c r="B378" s="16">
        <v>903</v>
      </c>
      <c r="C378" s="20" t="s">
        <v>314</v>
      </c>
      <c r="D378" s="20" t="s">
        <v>165</v>
      </c>
      <c r="E378" s="20" t="s">
        <v>141</v>
      </c>
      <c r="F378" s="20" t="s">
        <v>147</v>
      </c>
      <c r="G378" s="26">
        <f>G379</f>
        <v>0</v>
      </c>
      <c r="H378" s="177"/>
    </row>
    <row r="379" spans="1:11" ht="47.25" hidden="1" x14ac:dyDescent="0.25">
      <c r="A379" s="25" t="s">
        <v>148</v>
      </c>
      <c r="B379" s="16">
        <v>903</v>
      </c>
      <c r="C379" s="20" t="s">
        <v>314</v>
      </c>
      <c r="D379" s="20" t="s">
        <v>165</v>
      </c>
      <c r="E379" s="20" t="s">
        <v>141</v>
      </c>
      <c r="F379" s="20" t="s">
        <v>149</v>
      </c>
      <c r="G379" s="26"/>
      <c r="H379" s="177"/>
    </row>
    <row r="380" spans="1:11" ht="15.75" x14ac:dyDescent="0.25">
      <c r="A380" s="25" t="s">
        <v>156</v>
      </c>
      <c r="B380" s="16">
        <v>903</v>
      </c>
      <c r="C380" s="20" t="s">
        <v>314</v>
      </c>
      <c r="D380" s="20" t="s">
        <v>165</v>
      </c>
      <c r="E380" s="20" t="s">
        <v>157</v>
      </c>
      <c r="F380" s="20"/>
      <c r="G380" s="26">
        <f>G381</f>
        <v>10393.9</v>
      </c>
      <c r="H380" s="177"/>
    </row>
    <row r="381" spans="1:11" ht="31.5" x14ac:dyDescent="0.25">
      <c r="A381" s="25" t="s">
        <v>355</v>
      </c>
      <c r="B381" s="16">
        <v>903</v>
      </c>
      <c r="C381" s="20" t="s">
        <v>314</v>
      </c>
      <c r="D381" s="20" t="s">
        <v>165</v>
      </c>
      <c r="E381" s="20" t="s">
        <v>356</v>
      </c>
      <c r="F381" s="20"/>
      <c r="G381" s="26">
        <f>G382+G384+G386</f>
        <v>10393.9</v>
      </c>
      <c r="H381" s="177"/>
      <c r="J381" s="417"/>
      <c r="K381" s="417"/>
    </row>
    <row r="382" spans="1:11" ht="94.5" x14ac:dyDescent="0.25">
      <c r="A382" s="25" t="s">
        <v>142</v>
      </c>
      <c r="B382" s="16">
        <v>903</v>
      </c>
      <c r="C382" s="20" t="s">
        <v>314</v>
      </c>
      <c r="D382" s="20" t="s">
        <v>165</v>
      </c>
      <c r="E382" s="20" t="s">
        <v>356</v>
      </c>
      <c r="F382" s="20" t="s">
        <v>143</v>
      </c>
      <c r="G382" s="26">
        <f>G383</f>
        <v>8721.4</v>
      </c>
      <c r="H382" s="177"/>
      <c r="J382" s="417"/>
      <c r="K382" s="417"/>
    </row>
    <row r="383" spans="1:11" ht="31.5" x14ac:dyDescent="0.25">
      <c r="A383" s="25" t="s">
        <v>357</v>
      </c>
      <c r="B383" s="16">
        <v>903</v>
      </c>
      <c r="C383" s="20" t="s">
        <v>314</v>
      </c>
      <c r="D383" s="20" t="s">
        <v>165</v>
      </c>
      <c r="E383" s="20" t="s">
        <v>356</v>
      </c>
      <c r="F383" s="20" t="s">
        <v>224</v>
      </c>
      <c r="G383" s="27">
        <f>8596.3-84.9+210</f>
        <v>8721.4</v>
      </c>
      <c r="H383" s="106"/>
      <c r="I383" s="124"/>
      <c r="J383" s="417"/>
      <c r="K383" s="417"/>
    </row>
    <row r="384" spans="1:11" ht="31.5" x14ac:dyDescent="0.25">
      <c r="A384" s="25" t="s">
        <v>146</v>
      </c>
      <c r="B384" s="16">
        <v>903</v>
      </c>
      <c r="C384" s="20" t="s">
        <v>314</v>
      </c>
      <c r="D384" s="20" t="s">
        <v>165</v>
      </c>
      <c r="E384" s="20" t="s">
        <v>356</v>
      </c>
      <c r="F384" s="20" t="s">
        <v>147</v>
      </c>
      <c r="G384" s="26">
        <f>G385</f>
        <v>1652.5</v>
      </c>
      <c r="H384" s="177"/>
      <c r="J384" s="417"/>
      <c r="K384" s="417"/>
    </row>
    <row r="385" spans="1:11" ht="47.25" x14ac:dyDescent="0.25">
      <c r="A385" s="25" t="s">
        <v>148</v>
      </c>
      <c r="B385" s="16">
        <v>903</v>
      </c>
      <c r="C385" s="20" t="s">
        <v>314</v>
      </c>
      <c r="D385" s="20" t="s">
        <v>165</v>
      </c>
      <c r="E385" s="20" t="s">
        <v>356</v>
      </c>
      <c r="F385" s="20" t="s">
        <v>149</v>
      </c>
      <c r="G385" s="27">
        <f>1663.9+135.6-147</f>
        <v>1652.5</v>
      </c>
      <c r="H385" s="106"/>
      <c r="I385" s="125"/>
      <c r="J385" s="417"/>
      <c r="K385" s="417"/>
    </row>
    <row r="386" spans="1:11" ht="15.75" x14ac:dyDescent="0.25">
      <c r="A386" s="25" t="s">
        <v>150</v>
      </c>
      <c r="B386" s="16">
        <v>903</v>
      </c>
      <c r="C386" s="20" t="s">
        <v>314</v>
      </c>
      <c r="D386" s="20" t="s">
        <v>165</v>
      </c>
      <c r="E386" s="20" t="s">
        <v>356</v>
      </c>
      <c r="F386" s="20" t="s">
        <v>160</v>
      </c>
      <c r="G386" s="26">
        <f>G387</f>
        <v>20</v>
      </c>
      <c r="H386" s="177"/>
      <c r="J386" s="417"/>
      <c r="K386" s="417"/>
    </row>
    <row r="387" spans="1:11" ht="15.75" x14ac:dyDescent="0.25">
      <c r="A387" s="25" t="s">
        <v>583</v>
      </c>
      <c r="B387" s="16">
        <v>903</v>
      </c>
      <c r="C387" s="20" t="s">
        <v>314</v>
      </c>
      <c r="D387" s="20" t="s">
        <v>165</v>
      </c>
      <c r="E387" s="20" t="s">
        <v>356</v>
      </c>
      <c r="F387" s="20" t="s">
        <v>153</v>
      </c>
      <c r="G387" s="26">
        <v>20</v>
      </c>
      <c r="H387" s="177"/>
      <c r="J387" s="417"/>
      <c r="K387" s="417"/>
    </row>
    <row r="388" spans="1:11" ht="15.75" x14ac:dyDescent="0.25">
      <c r="A388" s="23" t="s">
        <v>258</v>
      </c>
      <c r="B388" s="19">
        <v>903</v>
      </c>
      <c r="C388" s="24" t="s">
        <v>259</v>
      </c>
      <c r="D388" s="24"/>
      <c r="E388" s="24"/>
      <c r="F388" s="24"/>
      <c r="G388" s="21">
        <f>G389</f>
        <v>4625</v>
      </c>
      <c r="H388" s="177"/>
    </row>
    <row r="389" spans="1:11" ht="15.75" x14ac:dyDescent="0.25">
      <c r="A389" s="23" t="s">
        <v>267</v>
      </c>
      <c r="B389" s="19">
        <v>903</v>
      </c>
      <c r="C389" s="24" t="s">
        <v>259</v>
      </c>
      <c r="D389" s="24" t="s">
        <v>230</v>
      </c>
      <c r="E389" s="24"/>
      <c r="F389" s="24"/>
      <c r="G389" s="21">
        <f>G390+G443</f>
        <v>4625</v>
      </c>
      <c r="H389" s="177"/>
    </row>
    <row r="390" spans="1:11" ht="47.25" x14ac:dyDescent="0.25">
      <c r="A390" s="25" t="s">
        <v>358</v>
      </c>
      <c r="B390" s="16">
        <v>903</v>
      </c>
      <c r="C390" s="20" t="s">
        <v>259</v>
      </c>
      <c r="D390" s="20" t="s">
        <v>230</v>
      </c>
      <c r="E390" s="20" t="s">
        <v>359</v>
      </c>
      <c r="F390" s="20"/>
      <c r="G390" s="26">
        <f>G391+G399+G403+G407+G413+G417+G421+G439</f>
        <v>3693</v>
      </c>
      <c r="H390" s="177"/>
    </row>
    <row r="391" spans="1:11" ht="31.5" x14ac:dyDescent="0.25">
      <c r="A391" s="25" t="s">
        <v>360</v>
      </c>
      <c r="B391" s="16">
        <v>903</v>
      </c>
      <c r="C391" s="20" t="s">
        <v>259</v>
      </c>
      <c r="D391" s="20" t="s">
        <v>230</v>
      </c>
      <c r="E391" s="20" t="s">
        <v>361</v>
      </c>
      <c r="F391" s="20"/>
      <c r="G391" s="26">
        <f>G392+G396</f>
        <v>935</v>
      </c>
      <c r="H391" s="177"/>
    </row>
    <row r="392" spans="1:11" ht="31.5" x14ac:dyDescent="0.25">
      <c r="A392" s="25" t="s">
        <v>146</v>
      </c>
      <c r="B392" s="16">
        <v>903</v>
      </c>
      <c r="C392" s="20" t="s">
        <v>259</v>
      </c>
      <c r="D392" s="20" t="s">
        <v>230</v>
      </c>
      <c r="E392" s="20" t="s">
        <v>362</v>
      </c>
      <c r="F392" s="20" t="s">
        <v>147</v>
      </c>
      <c r="G392" s="26">
        <f>G393</f>
        <v>666.4</v>
      </c>
      <c r="H392" s="177"/>
    </row>
    <row r="393" spans="1:11" ht="47.25" x14ac:dyDescent="0.25">
      <c r="A393" s="25" t="s">
        <v>148</v>
      </c>
      <c r="B393" s="16">
        <v>903</v>
      </c>
      <c r="C393" s="20" t="s">
        <v>259</v>
      </c>
      <c r="D393" s="20" t="s">
        <v>230</v>
      </c>
      <c r="E393" s="20" t="s">
        <v>362</v>
      </c>
      <c r="F393" s="20" t="s">
        <v>149</v>
      </c>
      <c r="G393" s="26">
        <f>669.4-3</f>
        <v>666.4</v>
      </c>
      <c r="H393" s="177"/>
    </row>
    <row r="394" spans="1:11" ht="31.5" hidden="1" x14ac:dyDescent="0.25">
      <c r="A394" s="25" t="s">
        <v>263</v>
      </c>
      <c r="B394" s="16">
        <v>903</v>
      </c>
      <c r="C394" s="20" t="s">
        <v>259</v>
      </c>
      <c r="D394" s="20" t="s">
        <v>230</v>
      </c>
      <c r="E394" s="20" t="s">
        <v>362</v>
      </c>
      <c r="F394" s="20" t="s">
        <v>264</v>
      </c>
      <c r="G394" s="26">
        <f>G395</f>
        <v>0</v>
      </c>
      <c r="H394" s="177"/>
    </row>
    <row r="395" spans="1:11" ht="31.5" hidden="1" x14ac:dyDescent="0.25">
      <c r="A395" s="25" t="s">
        <v>363</v>
      </c>
      <c r="B395" s="16">
        <v>903</v>
      </c>
      <c r="C395" s="20" t="s">
        <v>259</v>
      </c>
      <c r="D395" s="20" t="s">
        <v>230</v>
      </c>
      <c r="E395" s="20" t="s">
        <v>362</v>
      </c>
      <c r="F395" s="20" t="s">
        <v>364</v>
      </c>
      <c r="G395" s="26">
        <v>0</v>
      </c>
      <c r="H395" s="177"/>
    </row>
    <row r="396" spans="1:11" ht="31.5" x14ac:dyDescent="0.25">
      <c r="A396" s="25" t="s">
        <v>365</v>
      </c>
      <c r="B396" s="16">
        <v>903</v>
      </c>
      <c r="C396" s="20" t="s">
        <v>259</v>
      </c>
      <c r="D396" s="20" t="s">
        <v>230</v>
      </c>
      <c r="E396" s="20" t="s">
        <v>366</v>
      </c>
      <c r="F396" s="20"/>
      <c r="G396" s="26">
        <f>G397</f>
        <v>268.60000000000002</v>
      </c>
      <c r="H396" s="177"/>
    </row>
    <row r="397" spans="1:11" ht="47.25" x14ac:dyDescent="0.25">
      <c r="A397" s="25" t="s">
        <v>287</v>
      </c>
      <c r="B397" s="16">
        <v>903</v>
      </c>
      <c r="C397" s="20" t="s">
        <v>259</v>
      </c>
      <c r="D397" s="20" t="s">
        <v>230</v>
      </c>
      <c r="E397" s="20" t="s">
        <v>366</v>
      </c>
      <c r="F397" s="20" t="s">
        <v>288</v>
      </c>
      <c r="G397" s="26">
        <f>G398</f>
        <v>268.60000000000002</v>
      </c>
      <c r="H397" s="177"/>
    </row>
    <row r="398" spans="1:11" ht="15.75" x14ac:dyDescent="0.25">
      <c r="A398" s="25" t="s">
        <v>289</v>
      </c>
      <c r="B398" s="16">
        <v>903</v>
      </c>
      <c r="C398" s="20" t="s">
        <v>259</v>
      </c>
      <c r="D398" s="20" t="s">
        <v>230</v>
      </c>
      <c r="E398" s="20" t="s">
        <v>366</v>
      </c>
      <c r="F398" s="20" t="s">
        <v>290</v>
      </c>
      <c r="G398" s="26">
        <f>160.5+108.1</f>
        <v>268.60000000000002</v>
      </c>
      <c r="H398" s="106"/>
    </row>
    <row r="399" spans="1:11" ht="31.5" x14ac:dyDescent="0.25">
      <c r="A399" s="25" t="s">
        <v>367</v>
      </c>
      <c r="B399" s="16">
        <v>903</v>
      </c>
      <c r="C399" s="20" t="s">
        <v>259</v>
      </c>
      <c r="D399" s="20" t="s">
        <v>230</v>
      </c>
      <c r="E399" s="20" t="s">
        <v>368</v>
      </c>
      <c r="F399" s="20"/>
      <c r="G399" s="26">
        <f>G400</f>
        <v>63</v>
      </c>
      <c r="H399" s="177"/>
    </row>
    <row r="400" spans="1:11" ht="31.5" x14ac:dyDescent="0.25">
      <c r="A400" s="25" t="s">
        <v>172</v>
      </c>
      <c r="B400" s="16">
        <v>903</v>
      </c>
      <c r="C400" s="20" t="s">
        <v>259</v>
      </c>
      <c r="D400" s="20" t="s">
        <v>230</v>
      </c>
      <c r="E400" s="20" t="s">
        <v>369</v>
      </c>
      <c r="F400" s="20"/>
      <c r="G400" s="26">
        <f>G401</f>
        <v>63</v>
      </c>
      <c r="H400" s="177"/>
    </row>
    <row r="401" spans="1:8" ht="31.5" x14ac:dyDescent="0.25">
      <c r="A401" s="25" t="s">
        <v>263</v>
      </c>
      <c r="B401" s="16">
        <v>903</v>
      </c>
      <c r="C401" s="20" t="s">
        <v>259</v>
      </c>
      <c r="D401" s="20" t="s">
        <v>230</v>
      </c>
      <c r="E401" s="20" t="s">
        <v>369</v>
      </c>
      <c r="F401" s="20" t="s">
        <v>264</v>
      </c>
      <c r="G401" s="26">
        <f>G402</f>
        <v>63</v>
      </c>
      <c r="H401" s="177"/>
    </row>
    <row r="402" spans="1:8" ht="31.5" x14ac:dyDescent="0.25">
      <c r="A402" s="25" t="s">
        <v>265</v>
      </c>
      <c r="B402" s="16">
        <v>903</v>
      </c>
      <c r="C402" s="20" t="s">
        <v>259</v>
      </c>
      <c r="D402" s="20" t="s">
        <v>230</v>
      </c>
      <c r="E402" s="20" t="s">
        <v>369</v>
      </c>
      <c r="F402" s="20" t="s">
        <v>266</v>
      </c>
      <c r="G402" s="26">
        <f>60+3</f>
        <v>63</v>
      </c>
      <c r="H402" s="177"/>
    </row>
    <row r="403" spans="1:8" ht="31.5" x14ac:dyDescent="0.25">
      <c r="A403" s="25" t="s">
        <v>370</v>
      </c>
      <c r="B403" s="16">
        <v>903</v>
      </c>
      <c r="C403" s="16">
        <v>10</v>
      </c>
      <c r="D403" s="20" t="s">
        <v>230</v>
      </c>
      <c r="E403" s="20" t="s">
        <v>371</v>
      </c>
      <c r="F403" s="20"/>
      <c r="G403" s="26">
        <f>G404</f>
        <v>420</v>
      </c>
      <c r="H403" s="177"/>
    </row>
    <row r="404" spans="1:8" ht="31.5" x14ac:dyDescent="0.25">
      <c r="A404" s="25" t="s">
        <v>172</v>
      </c>
      <c r="B404" s="16">
        <v>903</v>
      </c>
      <c r="C404" s="20" t="s">
        <v>259</v>
      </c>
      <c r="D404" s="20" t="s">
        <v>230</v>
      </c>
      <c r="E404" s="20" t="s">
        <v>372</v>
      </c>
      <c r="F404" s="20"/>
      <c r="G404" s="26">
        <f>G405</f>
        <v>420</v>
      </c>
      <c r="H404" s="177"/>
    </row>
    <row r="405" spans="1:8" ht="31.5" x14ac:dyDescent="0.25">
      <c r="A405" s="25" t="s">
        <v>263</v>
      </c>
      <c r="B405" s="16">
        <v>903</v>
      </c>
      <c r="C405" s="20" t="s">
        <v>259</v>
      </c>
      <c r="D405" s="20" t="s">
        <v>230</v>
      </c>
      <c r="E405" s="20" t="s">
        <v>372</v>
      </c>
      <c r="F405" s="20" t="s">
        <v>264</v>
      </c>
      <c r="G405" s="26">
        <f>G406</f>
        <v>420</v>
      </c>
      <c r="H405" s="177"/>
    </row>
    <row r="406" spans="1:8" ht="31.5" x14ac:dyDescent="0.25">
      <c r="A406" s="25" t="s">
        <v>363</v>
      </c>
      <c r="B406" s="16">
        <v>903</v>
      </c>
      <c r="C406" s="20" t="s">
        <v>259</v>
      </c>
      <c r="D406" s="20" t="s">
        <v>230</v>
      </c>
      <c r="E406" s="20" t="s">
        <v>372</v>
      </c>
      <c r="F406" s="20" t="s">
        <v>364</v>
      </c>
      <c r="G406" s="26">
        <v>420</v>
      </c>
      <c r="H406" s="177"/>
    </row>
    <row r="407" spans="1:8" ht="15.75" x14ac:dyDescent="0.25">
      <c r="A407" s="25" t="s">
        <v>373</v>
      </c>
      <c r="B407" s="16">
        <v>903</v>
      </c>
      <c r="C407" s="16">
        <v>10</v>
      </c>
      <c r="D407" s="20" t="s">
        <v>230</v>
      </c>
      <c r="E407" s="20" t="s">
        <v>374</v>
      </c>
      <c r="F407" s="20"/>
      <c r="G407" s="26">
        <f>G408</f>
        <v>1595</v>
      </c>
      <c r="H407" s="177"/>
    </row>
    <row r="408" spans="1:8" ht="31.5" x14ac:dyDescent="0.25">
      <c r="A408" s="25" t="s">
        <v>172</v>
      </c>
      <c r="B408" s="16">
        <v>903</v>
      </c>
      <c r="C408" s="20" t="s">
        <v>259</v>
      </c>
      <c r="D408" s="20" t="s">
        <v>230</v>
      </c>
      <c r="E408" s="20" t="s">
        <v>375</v>
      </c>
      <c r="F408" s="20"/>
      <c r="G408" s="26">
        <f>G409+G411</f>
        <v>1595</v>
      </c>
      <c r="H408" s="177"/>
    </row>
    <row r="409" spans="1:8" ht="31.5" x14ac:dyDescent="0.25">
      <c r="A409" s="25" t="s">
        <v>146</v>
      </c>
      <c r="B409" s="16">
        <v>903</v>
      </c>
      <c r="C409" s="20" t="s">
        <v>259</v>
      </c>
      <c r="D409" s="20" t="s">
        <v>230</v>
      </c>
      <c r="E409" s="20" t="s">
        <v>375</v>
      </c>
      <c r="F409" s="20" t="s">
        <v>147</v>
      </c>
      <c r="G409" s="26">
        <f>G410</f>
        <v>547</v>
      </c>
      <c r="H409" s="177"/>
    </row>
    <row r="410" spans="1:8" ht="47.25" x14ac:dyDescent="0.25">
      <c r="A410" s="25" t="s">
        <v>148</v>
      </c>
      <c r="B410" s="16">
        <v>903</v>
      </c>
      <c r="C410" s="20" t="s">
        <v>259</v>
      </c>
      <c r="D410" s="20" t="s">
        <v>230</v>
      </c>
      <c r="E410" s="20" t="s">
        <v>375</v>
      </c>
      <c r="F410" s="20" t="s">
        <v>149</v>
      </c>
      <c r="G410" s="162">
        <f>552-50+45</f>
        <v>547</v>
      </c>
      <c r="H410" s="157" t="s">
        <v>769</v>
      </c>
    </row>
    <row r="411" spans="1:8" ht="31.5" x14ac:dyDescent="0.25">
      <c r="A411" s="25" t="s">
        <v>263</v>
      </c>
      <c r="B411" s="16">
        <v>903</v>
      </c>
      <c r="C411" s="20" t="s">
        <v>259</v>
      </c>
      <c r="D411" s="20" t="s">
        <v>230</v>
      </c>
      <c r="E411" s="20" t="s">
        <v>375</v>
      </c>
      <c r="F411" s="20" t="s">
        <v>264</v>
      </c>
      <c r="G411" s="26">
        <f>G412</f>
        <v>1048</v>
      </c>
      <c r="H411" s="177"/>
    </row>
    <row r="412" spans="1:8" ht="31.5" x14ac:dyDescent="0.25">
      <c r="A412" s="25" t="s">
        <v>363</v>
      </c>
      <c r="B412" s="16">
        <v>903</v>
      </c>
      <c r="C412" s="20" t="s">
        <v>259</v>
      </c>
      <c r="D412" s="20" t="s">
        <v>230</v>
      </c>
      <c r="E412" s="20" t="s">
        <v>375</v>
      </c>
      <c r="F412" s="20" t="s">
        <v>364</v>
      </c>
      <c r="G412" s="26">
        <v>1048</v>
      </c>
      <c r="H412" s="177"/>
    </row>
    <row r="413" spans="1:8" ht="47.25" x14ac:dyDescent="0.25">
      <c r="A413" s="25" t="s">
        <v>376</v>
      </c>
      <c r="B413" s="16">
        <v>903</v>
      </c>
      <c r="C413" s="20" t="s">
        <v>259</v>
      </c>
      <c r="D413" s="20" t="s">
        <v>230</v>
      </c>
      <c r="E413" s="20" t="s">
        <v>377</v>
      </c>
      <c r="F413" s="20"/>
      <c r="G413" s="26">
        <f>G414</f>
        <v>335</v>
      </c>
      <c r="H413" s="177"/>
    </row>
    <row r="414" spans="1:8" ht="31.5" x14ac:dyDescent="0.25">
      <c r="A414" s="25" t="s">
        <v>172</v>
      </c>
      <c r="B414" s="16">
        <v>903</v>
      </c>
      <c r="C414" s="20" t="s">
        <v>259</v>
      </c>
      <c r="D414" s="20" t="s">
        <v>230</v>
      </c>
      <c r="E414" s="20" t="s">
        <v>378</v>
      </c>
      <c r="F414" s="20"/>
      <c r="G414" s="26">
        <f>G415</f>
        <v>335</v>
      </c>
      <c r="H414" s="177"/>
    </row>
    <row r="415" spans="1:8" ht="31.5" x14ac:dyDescent="0.25">
      <c r="A415" s="25" t="s">
        <v>263</v>
      </c>
      <c r="B415" s="16">
        <v>903</v>
      </c>
      <c r="C415" s="20" t="s">
        <v>259</v>
      </c>
      <c r="D415" s="20" t="s">
        <v>230</v>
      </c>
      <c r="E415" s="20" t="s">
        <v>378</v>
      </c>
      <c r="F415" s="20" t="s">
        <v>264</v>
      </c>
      <c r="G415" s="26">
        <f>G416</f>
        <v>335</v>
      </c>
      <c r="H415" s="177"/>
    </row>
    <row r="416" spans="1:8" ht="31.5" x14ac:dyDescent="0.25">
      <c r="A416" s="25" t="s">
        <v>363</v>
      </c>
      <c r="B416" s="16">
        <v>903</v>
      </c>
      <c r="C416" s="20" t="s">
        <v>259</v>
      </c>
      <c r="D416" s="20" t="s">
        <v>230</v>
      </c>
      <c r="E416" s="20" t="s">
        <v>378</v>
      </c>
      <c r="F416" s="20" t="s">
        <v>364</v>
      </c>
      <c r="G416" s="26">
        <f>400-65</f>
        <v>335</v>
      </c>
      <c r="H416" s="177"/>
    </row>
    <row r="417" spans="1:8" ht="63" x14ac:dyDescent="0.25">
      <c r="A417" s="25" t="s">
        <v>379</v>
      </c>
      <c r="B417" s="16">
        <v>903</v>
      </c>
      <c r="C417" s="20" t="s">
        <v>259</v>
      </c>
      <c r="D417" s="20" t="s">
        <v>230</v>
      </c>
      <c r="E417" s="20" t="s">
        <v>380</v>
      </c>
      <c r="F417" s="20"/>
      <c r="G417" s="26">
        <f>G418</f>
        <v>210</v>
      </c>
      <c r="H417" s="177"/>
    </row>
    <row r="418" spans="1:8" ht="31.5" x14ac:dyDescent="0.25">
      <c r="A418" s="25" t="s">
        <v>172</v>
      </c>
      <c r="B418" s="16">
        <v>903</v>
      </c>
      <c r="C418" s="20" t="s">
        <v>259</v>
      </c>
      <c r="D418" s="20" t="s">
        <v>230</v>
      </c>
      <c r="E418" s="20" t="s">
        <v>381</v>
      </c>
      <c r="F418" s="20"/>
      <c r="G418" s="26">
        <f>G419</f>
        <v>210</v>
      </c>
      <c r="H418" s="177"/>
    </row>
    <row r="419" spans="1:8" ht="31.5" x14ac:dyDescent="0.25">
      <c r="A419" s="25" t="s">
        <v>146</v>
      </c>
      <c r="B419" s="16">
        <v>903</v>
      </c>
      <c r="C419" s="20" t="s">
        <v>259</v>
      </c>
      <c r="D419" s="20" t="s">
        <v>230</v>
      </c>
      <c r="E419" s="20" t="s">
        <v>381</v>
      </c>
      <c r="F419" s="20" t="s">
        <v>147</v>
      </c>
      <c r="G419" s="26">
        <f>G420</f>
        <v>210</v>
      </c>
      <c r="H419" s="177"/>
    </row>
    <row r="420" spans="1:8" ht="47.25" x14ac:dyDescent="0.25">
      <c r="A420" s="25" t="s">
        <v>148</v>
      </c>
      <c r="B420" s="16">
        <v>903</v>
      </c>
      <c r="C420" s="20" t="s">
        <v>259</v>
      </c>
      <c r="D420" s="20" t="s">
        <v>230</v>
      </c>
      <c r="E420" s="20" t="s">
        <v>381</v>
      </c>
      <c r="F420" s="20" t="s">
        <v>149</v>
      </c>
      <c r="G420" s="26">
        <f>150+60</f>
        <v>210</v>
      </c>
      <c r="H420" s="177"/>
    </row>
    <row r="421" spans="1:8" ht="63" x14ac:dyDescent="0.25">
      <c r="A421" s="25" t="s">
        <v>382</v>
      </c>
      <c r="B421" s="16">
        <v>903</v>
      </c>
      <c r="C421" s="20" t="s">
        <v>259</v>
      </c>
      <c r="D421" s="20" t="s">
        <v>230</v>
      </c>
      <c r="E421" s="20" t="s">
        <v>383</v>
      </c>
      <c r="F421" s="20"/>
      <c r="G421" s="26">
        <f>G422+G434+G428+G431</f>
        <v>30</v>
      </c>
      <c r="H421" s="177"/>
    </row>
    <row r="422" spans="1:8" ht="47.25" customHeight="1" x14ac:dyDescent="0.25">
      <c r="A422" s="25" t="s">
        <v>384</v>
      </c>
      <c r="B422" s="16">
        <v>903</v>
      </c>
      <c r="C422" s="20" t="s">
        <v>259</v>
      </c>
      <c r="D422" s="20" t="s">
        <v>230</v>
      </c>
      <c r="E422" s="20" t="s">
        <v>385</v>
      </c>
      <c r="F422" s="20"/>
      <c r="G422" s="26">
        <f>G423</f>
        <v>20</v>
      </c>
      <c r="H422" s="177"/>
    </row>
    <row r="423" spans="1:8" ht="47.25" x14ac:dyDescent="0.25">
      <c r="A423" s="25" t="s">
        <v>287</v>
      </c>
      <c r="B423" s="16">
        <v>903</v>
      </c>
      <c r="C423" s="20" t="s">
        <v>259</v>
      </c>
      <c r="D423" s="20" t="s">
        <v>230</v>
      </c>
      <c r="E423" s="20" t="s">
        <v>385</v>
      </c>
      <c r="F423" s="20" t="s">
        <v>288</v>
      </c>
      <c r="G423" s="26">
        <f>G424</f>
        <v>20</v>
      </c>
      <c r="H423" s="177"/>
    </row>
    <row r="424" spans="1:8" ht="63" x14ac:dyDescent="0.25">
      <c r="A424" s="39" t="s">
        <v>386</v>
      </c>
      <c r="B424" s="16">
        <v>903</v>
      </c>
      <c r="C424" s="20" t="s">
        <v>259</v>
      </c>
      <c r="D424" s="20" t="s">
        <v>230</v>
      </c>
      <c r="E424" s="20" t="s">
        <v>385</v>
      </c>
      <c r="F424" s="20" t="s">
        <v>387</v>
      </c>
      <c r="G424" s="26">
        <f>30-10</f>
        <v>20</v>
      </c>
      <c r="H424" s="106"/>
    </row>
    <row r="425" spans="1:8" ht="15.75" hidden="1" x14ac:dyDescent="0.25">
      <c r="A425" s="39"/>
      <c r="B425" s="16"/>
      <c r="C425" s="20"/>
      <c r="D425" s="20"/>
      <c r="E425" s="20"/>
      <c r="F425" s="20"/>
      <c r="G425" s="26"/>
      <c r="H425" s="108"/>
    </row>
    <row r="426" spans="1:8" ht="15.75" hidden="1" x14ac:dyDescent="0.25">
      <c r="A426" s="39"/>
      <c r="B426" s="16"/>
      <c r="C426" s="20"/>
      <c r="D426" s="20"/>
      <c r="E426" s="20"/>
      <c r="F426" s="20"/>
      <c r="G426" s="26"/>
      <c r="H426" s="108"/>
    </row>
    <row r="427" spans="1:8" ht="15.75" hidden="1" x14ac:dyDescent="0.25">
      <c r="A427" s="39"/>
      <c r="B427" s="16"/>
      <c r="C427" s="20"/>
      <c r="D427" s="20"/>
      <c r="E427" s="20"/>
      <c r="F427" s="20"/>
      <c r="G427" s="26"/>
      <c r="H427" s="108"/>
    </row>
    <row r="428" spans="1:8" ht="126" hidden="1" x14ac:dyDescent="0.25">
      <c r="A428" s="25" t="s">
        <v>388</v>
      </c>
      <c r="B428" s="16">
        <v>903</v>
      </c>
      <c r="C428" s="20" t="s">
        <v>259</v>
      </c>
      <c r="D428" s="20" t="s">
        <v>230</v>
      </c>
      <c r="E428" s="20" t="s">
        <v>389</v>
      </c>
      <c r="F428" s="20"/>
      <c r="G428" s="26">
        <f>G429</f>
        <v>0</v>
      </c>
      <c r="H428" s="177"/>
    </row>
    <row r="429" spans="1:8" ht="15.75" hidden="1" x14ac:dyDescent="0.25">
      <c r="A429" s="25" t="s">
        <v>150</v>
      </c>
      <c r="B429" s="16">
        <v>903</v>
      </c>
      <c r="C429" s="20" t="s">
        <v>259</v>
      </c>
      <c r="D429" s="20" t="s">
        <v>230</v>
      </c>
      <c r="E429" s="20" t="s">
        <v>389</v>
      </c>
      <c r="F429" s="20" t="s">
        <v>160</v>
      </c>
      <c r="G429" s="26">
        <f>G430</f>
        <v>0</v>
      </c>
      <c r="H429" s="177"/>
    </row>
    <row r="430" spans="1:8" ht="63" hidden="1" x14ac:dyDescent="0.25">
      <c r="A430" s="25" t="s">
        <v>199</v>
      </c>
      <c r="B430" s="16">
        <v>903</v>
      </c>
      <c r="C430" s="20" t="s">
        <v>259</v>
      </c>
      <c r="D430" s="20" t="s">
        <v>230</v>
      </c>
      <c r="E430" s="20" t="s">
        <v>389</v>
      </c>
      <c r="F430" s="20" t="s">
        <v>175</v>
      </c>
      <c r="G430" s="26">
        <v>0</v>
      </c>
      <c r="H430" s="177"/>
    </row>
    <row r="431" spans="1:8" ht="63" x14ac:dyDescent="0.25">
      <c r="A431" s="25" t="s">
        <v>390</v>
      </c>
      <c r="B431" s="16">
        <v>903</v>
      </c>
      <c r="C431" s="20" t="s">
        <v>259</v>
      </c>
      <c r="D431" s="20" t="s">
        <v>230</v>
      </c>
      <c r="E431" s="20" t="s">
        <v>391</v>
      </c>
      <c r="F431" s="20"/>
      <c r="G431" s="26">
        <f>G432</f>
        <v>10</v>
      </c>
      <c r="H431" s="177"/>
    </row>
    <row r="432" spans="1:8" ht="31.5" x14ac:dyDescent="0.25">
      <c r="A432" s="25" t="s">
        <v>263</v>
      </c>
      <c r="B432" s="16">
        <v>903</v>
      </c>
      <c r="C432" s="20" t="s">
        <v>259</v>
      </c>
      <c r="D432" s="20" t="s">
        <v>230</v>
      </c>
      <c r="E432" s="20" t="s">
        <v>391</v>
      </c>
      <c r="F432" s="20" t="s">
        <v>264</v>
      </c>
      <c r="G432" s="26">
        <f>G433</f>
        <v>10</v>
      </c>
      <c r="H432" s="177"/>
    </row>
    <row r="433" spans="1:10" ht="31.5" x14ac:dyDescent="0.25">
      <c r="A433" s="25" t="s">
        <v>265</v>
      </c>
      <c r="B433" s="16">
        <v>903</v>
      </c>
      <c r="C433" s="20" t="s">
        <v>259</v>
      </c>
      <c r="D433" s="20" t="s">
        <v>230</v>
      </c>
      <c r="E433" s="20" t="s">
        <v>391</v>
      </c>
      <c r="F433" s="20" t="s">
        <v>266</v>
      </c>
      <c r="G433" s="26">
        <v>10</v>
      </c>
      <c r="H433" s="106"/>
    </row>
    <row r="434" spans="1:10" ht="31.5" hidden="1" x14ac:dyDescent="0.25">
      <c r="A434" s="25" t="s">
        <v>392</v>
      </c>
      <c r="B434" s="16">
        <v>903</v>
      </c>
      <c r="C434" s="20" t="s">
        <v>259</v>
      </c>
      <c r="D434" s="20" t="s">
        <v>230</v>
      </c>
      <c r="E434" s="20" t="s">
        <v>393</v>
      </c>
      <c r="F434" s="20"/>
      <c r="G434" s="26">
        <f>G435+G437</f>
        <v>0</v>
      </c>
      <c r="H434" s="177"/>
    </row>
    <row r="435" spans="1:10" ht="31.5" hidden="1" x14ac:dyDescent="0.25">
      <c r="A435" s="25" t="s">
        <v>146</v>
      </c>
      <c r="B435" s="16">
        <v>903</v>
      </c>
      <c r="C435" s="20" t="s">
        <v>259</v>
      </c>
      <c r="D435" s="20" t="s">
        <v>230</v>
      </c>
      <c r="E435" s="20" t="s">
        <v>393</v>
      </c>
      <c r="F435" s="20" t="s">
        <v>147</v>
      </c>
      <c r="G435" s="26">
        <f>G436</f>
        <v>0</v>
      </c>
      <c r="H435" s="177"/>
    </row>
    <row r="436" spans="1:10" ht="47.25" hidden="1" x14ac:dyDescent="0.25">
      <c r="A436" s="25" t="s">
        <v>148</v>
      </c>
      <c r="B436" s="16">
        <v>903</v>
      </c>
      <c r="C436" s="20" t="s">
        <v>259</v>
      </c>
      <c r="D436" s="20" t="s">
        <v>230</v>
      </c>
      <c r="E436" s="20" t="s">
        <v>393</v>
      </c>
      <c r="F436" s="20" t="s">
        <v>149</v>
      </c>
      <c r="G436" s="26">
        <v>0</v>
      </c>
      <c r="H436" s="177"/>
    </row>
    <row r="437" spans="1:10" ht="15.75" hidden="1" x14ac:dyDescent="0.25">
      <c r="A437" s="25" t="s">
        <v>150</v>
      </c>
      <c r="B437" s="16">
        <v>903</v>
      </c>
      <c r="C437" s="20" t="s">
        <v>259</v>
      </c>
      <c r="D437" s="20" t="s">
        <v>230</v>
      </c>
      <c r="E437" s="20" t="s">
        <v>394</v>
      </c>
      <c r="F437" s="20" t="s">
        <v>160</v>
      </c>
      <c r="G437" s="26">
        <f>G438</f>
        <v>0</v>
      </c>
      <c r="H437" s="177"/>
    </row>
    <row r="438" spans="1:10" ht="63" hidden="1" x14ac:dyDescent="0.25">
      <c r="A438" s="25" t="s">
        <v>199</v>
      </c>
      <c r="B438" s="16">
        <v>903</v>
      </c>
      <c r="C438" s="20" t="s">
        <v>259</v>
      </c>
      <c r="D438" s="20" t="s">
        <v>230</v>
      </c>
      <c r="E438" s="20" t="s">
        <v>394</v>
      </c>
      <c r="F438" s="20" t="s">
        <v>175</v>
      </c>
      <c r="G438" s="26">
        <v>0</v>
      </c>
      <c r="H438" s="177"/>
    </row>
    <row r="439" spans="1:10" ht="94.5" x14ac:dyDescent="0.25">
      <c r="A439" s="29" t="s">
        <v>395</v>
      </c>
      <c r="B439" s="16">
        <v>903</v>
      </c>
      <c r="C439" s="40" t="s">
        <v>259</v>
      </c>
      <c r="D439" s="40" t="s">
        <v>230</v>
      </c>
      <c r="E439" s="40" t="s">
        <v>396</v>
      </c>
      <c r="F439" s="40"/>
      <c r="G439" s="26">
        <f>G440</f>
        <v>105</v>
      </c>
      <c r="H439" s="177"/>
    </row>
    <row r="440" spans="1:10" ht="31.5" x14ac:dyDescent="0.25">
      <c r="A440" s="29" t="s">
        <v>172</v>
      </c>
      <c r="B440" s="16">
        <v>903</v>
      </c>
      <c r="C440" s="40" t="s">
        <v>259</v>
      </c>
      <c r="D440" s="40" t="s">
        <v>230</v>
      </c>
      <c r="E440" s="40" t="s">
        <v>397</v>
      </c>
      <c r="F440" s="40"/>
      <c r="G440" s="26">
        <f>G441</f>
        <v>105</v>
      </c>
      <c r="H440" s="177"/>
    </row>
    <row r="441" spans="1:10" ht="31.5" x14ac:dyDescent="0.25">
      <c r="A441" s="29" t="s">
        <v>146</v>
      </c>
      <c r="B441" s="16">
        <v>903</v>
      </c>
      <c r="C441" s="40" t="s">
        <v>259</v>
      </c>
      <c r="D441" s="40" t="s">
        <v>230</v>
      </c>
      <c r="E441" s="40" t="s">
        <v>397</v>
      </c>
      <c r="F441" s="40" t="s">
        <v>147</v>
      </c>
      <c r="G441" s="26">
        <f>G442</f>
        <v>105</v>
      </c>
      <c r="H441" s="177"/>
    </row>
    <row r="442" spans="1:10" ht="47.25" x14ac:dyDescent="0.25">
      <c r="A442" s="29" t="s">
        <v>148</v>
      </c>
      <c r="B442" s="16">
        <v>903</v>
      </c>
      <c r="C442" s="40" t="s">
        <v>259</v>
      </c>
      <c r="D442" s="40" t="s">
        <v>230</v>
      </c>
      <c r="E442" s="40" t="s">
        <v>397</v>
      </c>
      <c r="F442" s="40" t="s">
        <v>149</v>
      </c>
      <c r="G442" s="26">
        <f>50+55</f>
        <v>105</v>
      </c>
      <c r="H442" s="177"/>
    </row>
    <row r="443" spans="1:10" ht="15.75" x14ac:dyDescent="0.25">
      <c r="A443" s="25" t="s">
        <v>136</v>
      </c>
      <c r="B443" s="16">
        <v>903</v>
      </c>
      <c r="C443" s="20" t="s">
        <v>259</v>
      </c>
      <c r="D443" s="20" t="s">
        <v>230</v>
      </c>
      <c r="E443" s="20" t="s">
        <v>137</v>
      </c>
      <c r="F443" s="20"/>
      <c r="G443" s="26">
        <f>G444+G455</f>
        <v>932</v>
      </c>
      <c r="H443" s="177"/>
    </row>
    <row r="444" spans="1:10" ht="31.5" x14ac:dyDescent="0.25">
      <c r="A444" s="25" t="s">
        <v>200</v>
      </c>
      <c r="B444" s="16">
        <v>903</v>
      </c>
      <c r="C444" s="20" t="s">
        <v>259</v>
      </c>
      <c r="D444" s="20" t="s">
        <v>230</v>
      </c>
      <c r="E444" s="20" t="s">
        <v>201</v>
      </c>
      <c r="F444" s="20"/>
      <c r="G444" s="26">
        <f>G451+G445+G448</f>
        <v>932</v>
      </c>
      <c r="H444" s="177"/>
    </row>
    <row r="445" spans="1:10" ht="15.75" x14ac:dyDescent="0.25">
      <c r="A445" s="25" t="s">
        <v>398</v>
      </c>
      <c r="B445" s="16">
        <v>903</v>
      </c>
      <c r="C445" s="20" t="s">
        <v>259</v>
      </c>
      <c r="D445" s="20" t="s">
        <v>230</v>
      </c>
      <c r="E445" s="20" t="s">
        <v>399</v>
      </c>
      <c r="F445" s="20"/>
      <c r="G445" s="26">
        <f>G446</f>
        <v>372.6</v>
      </c>
      <c r="H445" s="177"/>
    </row>
    <row r="446" spans="1:10" ht="31.5" x14ac:dyDescent="0.25">
      <c r="A446" s="25" t="s">
        <v>263</v>
      </c>
      <c r="B446" s="16">
        <v>903</v>
      </c>
      <c r="C446" s="20" t="s">
        <v>259</v>
      </c>
      <c r="D446" s="20" t="s">
        <v>230</v>
      </c>
      <c r="E446" s="20" t="s">
        <v>399</v>
      </c>
      <c r="F446" s="20" t="s">
        <v>264</v>
      </c>
      <c r="G446" s="26">
        <f>G447</f>
        <v>372.6</v>
      </c>
      <c r="H446" s="177"/>
    </row>
    <row r="447" spans="1:10" ht="31.5" x14ac:dyDescent="0.25">
      <c r="A447" s="25" t="s">
        <v>265</v>
      </c>
      <c r="B447" s="16">
        <v>903</v>
      </c>
      <c r="C447" s="20" t="s">
        <v>259</v>
      </c>
      <c r="D447" s="20" t="s">
        <v>230</v>
      </c>
      <c r="E447" s="20" t="s">
        <v>399</v>
      </c>
      <c r="F447" s="20" t="s">
        <v>266</v>
      </c>
      <c r="G447" s="26">
        <v>372.6</v>
      </c>
      <c r="H447" s="106"/>
      <c r="I447" s="124"/>
    </row>
    <row r="448" spans="1:10" ht="63" x14ac:dyDescent="0.25">
      <c r="A448" s="25" t="s">
        <v>390</v>
      </c>
      <c r="B448" s="16">
        <v>903</v>
      </c>
      <c r="C448" s="20" t="s">
        <v>259</v>
      </c>
      <c r="D448" s="20" t="s">
        <v>230</v>
      </c>
      <c r="E448" s="20" t="s">
        <v>400</v>
      </c>
      <c r="F448" s="20"/>
      <c r="G448" s="26">
        <f>G449</f>
        <v>500</v>
      </c>
      <c r="H448" s="177"/>
      <c r="J448" s="109"/>
    </row>
    <row r="449" spans="1:10" ht="31.5" x14ac:dyDescent="0.25">
      <c r="A449" s="25" t="s">
        <v>263</v>
      </c>
      <c r="B449" s="16">
        <v>903</v>
      </c>
      <c r="C449" s="20" t="s">
        <v>259</v>
      </c>
      <c r="D449" s="20" t="s">
        <v>230</v>
      </c>
      <c r="E449" s="20" t="s">
        <v>400</v>
      </c>
      <c r="F449" s="20" t="s">
        <v>264</v>
      </c>
      <c r="G449" s="26">
        <f>G450</f>
        <v>500</v>
      </c>
      <c r="H449" s="177"/>
      <c r="J449" s="109"/>
    </row>
    <row r="450" spans="1:10" ht="31.5" x14ac:dyDescent="0.25">
      <c r="A450" s="25" t="s">
        <v>265</v>
      </c>
      <c r="B450" s="16">
        <v>903</v>
      </c>
      <c r="C450" s="20" t="s">
        <v>259</v>
      </c>
      <c r="D450" s="20" t="s">
        <v>230</v>
      </c>
      <c r="E450" s="20" t="s">
        <v>400</v>
      </c>
      <c r="F450" s="20" t="s">
        <v>266</v>
      </c>
      <c r="G450" s="26">
        <v>500</v>
      </c>
      <c r="H450" s="106"/>
      <c r="J450" s="109"/>
    </row>
    <row r="451" spans="1:10" ht="54" customHeight="1" x14ac:dyDescent="0.25">
      <c r="A451" s="164" t="s">
        <v>757</v>
      </c>
      <c r="B451" s="16">
        <v>903</v>
      </c>
      <c r="C451" s="20" t="s">
        <v>259</v>
      </c>
      <c r="D451" s="20" t="s">
        <v>230</v>
      </c>
      <c r="E451" s="20" t="s">
        <v>401</v>
      </c>
      <c r="F451" s="20"/>
      <c r="G451" s="26">
        <f>G452</f>
        <v>59.4</v>
      </c>
      <c r="H451" s="177"/>
      <c r="J451" s="109"/>
    </row>
    <row r="452" spans="1:10" ht="31.5" x14ac:dyDescent="0.25">
      <c r="A452" s="25" t="s">
        <v>263</v>
      </c>
      <c r="B452" s="16">
        <v>903</v>
      </c>
      <c r="C452" s="20" t="s">
        <v>259</v>
      </c>
      <c r="D452" s="20" t="s">
        <v>230</v>
      </c>
      <c r="E452" s="20" t="s">
        <v>401</v>
      </c>
      <c r="F452" s="20" t="s">
        <v>264</v>
      </c>
      <c r="G452" s="26">
        <f>G453+G454</f>
        <v>59.4</v>
      </c>
      <c r="H452" s="177"/>
      <c r="J452" s="109"/>
    </row>
    <row r="453" spans="1:10" ht="31.5" x14ac:dyDescent="0.25">
      <c r="A453" s="25" t="s">
        <v>363</v>
      </c>
      <c r="B453" s="16">
        <v>903</v>
      </c>
      <c r="C453" s="20" t="s">
        <v>259</v>
      </c>
      <c r="D453" s="20" t="s">
        <v>230</v>
      </c>
      <c r="E453" s="20" t="s">
        <v>401</v>
      </c>
      <c r="F453" s="20" t="s">
        <v>364</v>
      </c>
      <c r="G453" s="162">
        <v>59.4</v>
      </c>
      <c r="H453" s="157" t="s">
        <v>747</v>
      </c>
      <c r="J453" s="109"/>
    </row>
    <row r="454" spans="1:10" ht="31.5" x14ac:dyDescent="0.25">
      <c r="A454" s="25" t="s">
        <v>265</v>
      </c>
      <c r="B454" s="16">
        <v>903</v>
      </c>
      <c r="C454" s="20" t="s">
        <v>259</v>
      </c>
      <c r="D454" s="20" t="s">
        <v>230</v>
      </c>
      <c r="E454" s="20" t="s">
        <v>401</v>
      </c>
      <c r="F454" s="20" t="s">
        <v>266</v>
      </c>
      <c r="G454" s="26"/>
      <c r="H454" s="177"/>
    </row>
    <row r="455" spans="1:10" ht="15.75" x14ac:dyDescent="0.25">
      <c r="A455" s="25" t="s">
        <v>156</v>
      </c>
      <c r="B455" s="16">
        <v>903</v>
      </c>
      <c r="C455" s="20" t="s">
        <v>259</v>
      </c>
      <c r="D455" s="20" t="s">
        <v>230</v>
      </c>
      <c r="E455" s="20" t="s">
        <v>157</v>
      </c>
      <c r="F455" s="20"/>
      <c r="G455" s="26">
        <f>G456</f>
        <v>0</v>
      </c>
      <c r="H455" s="177"/>
    </row>
    <row r="456" spans="1:10" ht="15.75" x14ac:dyDescent="0.25">
      <c r="A456" s="25" t="s">
        <v>216</v>
      </c>
      <c r="B456" s="16">
        <v>903</v>
      </c>
      <c r="C456" s="20" t="s">
        <v>259</v>
      </c>
      <c r="D456" s="20" t="s">
        <v>230</v>
      </c>
      <c r="E456" s="20" t="s">
        <v>217</v>
      </c>
      <c r="F456" s="20"/>
      <c r="G456" s="26">
        <f>G457</f>
        <v>0</v>
      </c>
      <c r="H456" s="177"/>
    </row>
    <row r="457" spans="1:10" ht="31.5" x14ac:dyDescent="0.25">
      <c r="A457" s="25" t="s">
        <v>263</v>
      </c>
      <c r="B457" s="16">
        <v>903</v>
      </c>
      <c r="C457" s="20" t="s">
        <v>259</v>
      </c>
      <c r="D457" s="20" t="s">
        <v>230</v>
      </c>
      <c r="E457" s="20" t="s">
        <v>217</v>
      </c>
      <c r="F457" s="20" t="s">
        <v>264</v>
      </c>
      <c r="G457" s="26">
        <f>G458</f>
        <v>0</v>
      </c>
      <c r="H457" s="177"/>
    </row>
    <row r="458" spans="1:10" ht="31.5" x14ac:dyDescent="0.25">
      <c r="A458" s="25" t="s">
        <v>363</v>
      </c>
      <c r="B458" s="16">
        <v>903</v>
      </c>
      <c r="C458" s="20" t="s">
        <v>259</v>
      </c>
      <c r="D458" s="20" t="s">
        <v>230</v>
      </c>
      <c r="E458" s="20" t="s">
        <v>217</v>
      </c>
      <c r="F458" s="20" t="s">
        <v>364</v>
      </c>
      <c r="G458" s="26">
        <v>0</v>
      </c>
      <c r="H458" s="177"/>
    </row>
    <row r="459" spans="1:10" ht="47.25" x14ac:dyDescent="0.25">
      <c r="A459" s="19" t="s">
        <v>402</v>
      </c>
      <c r="B459" s="19">
        <v>905</v>
      </c>
      <c r="C459" s="20"/>
      <c r="D459" s="20"/>
      <c r="E459" s="20"/>
      <c r="F459" s="20"/>
      <c r="G459" s="21">
        <f>G460+G477+G492</f>
        <v>15801.74</v>
      </c>
      <c r="H459" s="177"/>
    </row>
    <row r="460" spans="1:10" ht="15.75" x14ac:dyDescent="0.25">
      <c r="A460" s="23" t="s">
        <v>132</v>
      </c>
      <c r="B460" s="19">
        <v>905</v>
      </c>
      <c r="C460" s="24" t="s">
        <v>133</v>
      </c>
      <c r="D460" s="20"/>
      <c r="E460" s="20"/>
      <c r="F460" s="20"/>
      <c r="G460" s="21">
        <f>G461+G471</f>
        <v>14701.94</v>
      </c>
      <c r="H460" s="177"/>
    </row>
    <row r="461" spans="1:10" ht="78.75" x14ac:dyDescent="0.25">
      <c r="A461" s="23" t="s">
        <v>164</v>
      </c>
      <c r="B461" s="19">
        <v>905</v>
      </c>
      <c r="C461" s="24" t="s">
        <v>133</v>
      </c>
      <c r="D461" s="24" t="s">
        <v>165</v>
      </c>
      <c r="E461" s="24"/>
      <c r="F461" s="24"/>
      <c r="G461" s="21">
        <f>G462</f>
        <v>11089</v>
      </c>
      <c r="H461" s="177"/>
    </row>
    <row r="462" spans="1:10" ht="15.75" x14ac:dyDescent="0.25">
      <c r="A462" s="25" t="s">
        <v>136</v>
      </c>
      <c r="B462" s="16">
        <v>905</v>
      </c>
      <c r="C462" s="20" t="s">
        <v>133</v>
      </c>
      <c r="D462" s="20" t="s">
        <v>165</v>
      </c>
      <c r="E462" s="20" t="s">
        <v>137</v>
      </c>
      <c r="F462" s="20"/>
      <c r="G462" s="26">
        <f>G463</f>
        <v>11089</v>
      </c>
      <c r="H462" s="177"/>
    </row>
    <row r="463" spans="1:10" ht="31.5" x14ac:dyDescent="0.25">
      <c r="A463" s="25" t="s">
        <v>138</v>
      </c>
      <c r="B463" s="16">
        <v>905</v>
      </c>
      <c r="C463" s="20" t="s">
        <v>133</v>
      </c>
      <c r="D463" s="20" t="s">
        <v>165</v>
      </c>
      <c r="E463" s="20" t="s">
        <v>139</v>
      </c>
      <c r="F463" s="20"/>
      <c r="G463" s="26">
        <f>G464</f>
        <v>11089</v>
      </c>
      <c r="H463" s="177"/>
    </row>
    <row r="464" spans="1:10" ht="47.25" x14ac:dyDescent="0.25">
      <c r="A464" s="25" t="s">
        <v>140</v>
      </c>
      <c r="B464" s="16">
        <v>905</v>
      </c>
      <c r="C464" s="20" t="s">
        <v>133</v>
      </c>
      <c r="D464" s="20" t="s">
        <v>165</v>
      </c>
      <c r="E464" s="20" t="s">
        <v>141</v>
      </c>
      <c r="F464" s="20"/>
      <c r="G464" s="26">
        <f>G465+G467+G469</f>
        <v>11089</v>
      </c>
      <c r="H464" s="177"/>
    </row>
    <row r="465" spans="1:9" ht="94.5" x14ac:dyDescent="0.25">
      <c r="A465" s="25" t="s">
        <v>142</v>
      </c>
      <c r="B465" s="16">
        <v>905</v>
      </c>
      <c r="C465" s="20" t="s">
        <v>133</v>
      </c>
      <c r="D465" s="20" t="s">
        <v>165</v>
      </c>
      <c r="E465" s="20" t="s">
        <v>141</v>
      </c>
      <c r="F465" s="20" t="s">
        <v>143</v>
      </c>
      <c r="G465" s="26">
        <f>G466</f>
        <v>10200.700000000001</v>
      </c>
      <c r="H465" s="177"/>
    </row>
    <row r="466" spans="1:9" ht="31.5" x14ac:dyDescent="0.25">
      <c r="A466" s="25" t="s">
        <v>144</v>
      </c>
      <c r="B466" s="16">
        <v>905</v>
      </c>
      <c r="C466" s="20" t="s">
        <v>133</v>
      </c>
      <c r="D466" s="20" t="s">
        <v>165</v>
      </c>
      <c r="E466" s="20" t="s">
        <v>141</v>
      </c>
      <c r="F466" s="20" t="s">
        <v>145</v>
      </c>
      <c r="G466" s="27">
        <v>10200.700000000001</v>
      </c>
      <c r="H466" s="177"/>
    </row>
    <row r="467" spans="1:9" ht="31.5" x14ac:dyDescent="0.25">
      <c r="A467" s="25" t="s">
        <v>146</v>
      </c>
      <c r="B467" s="16">
        <v>905</v>
      </c>
      <c r="C467" s="20" t="s">
        <v>133</v>
      </c>
      <c r="D467" s="20" t="s">
        <v>165</v>
      </c>
      <c r="E467" s="20" t="s">
        <v>141</v>
      </c>
      <c r="F467" s="20" t="s">
        <v>147</v>
      </c>
      <c r="G467" s="26">
        <f>G468</f>
        <v>811.8</v>
      </c>
      <c r="H467" s="177"/>
    </row>
    <row r="468" spans="1:9" ht="47.25" x14ac:dyDescent="0.25">
      <c r="A468" s="25" t="s">
        <v>148</v>
      </c>
      <c r="B468" s="16">
        <v>905</v>
      </c>
      <c r="C468" s="20" t="s">
        <v>133</v>
      </c>
      <c r="D468" s="20" t="s">
        <v>165</v>
      </c>
      <c r="E468" s="20" t="s">
        <v>141</v>
      </c>
      <c r="F468" s="20" t="s">
        <v>149</v>
      </c>
      <c r="G468" s="156">
        <f>885.8-74</f>
        <v>811.8</v>
      </c>
      <c r="H468" s="157" t="s">
        <v>742</v>
      </c>
    </row>
    <row r="469" spans="1:9" ht="15.75" x14ac:dyDescent="0.25">
      <c r="A469" s="25" t="s">
        <v>150</v>
      </c>
      <c r="B469" s="16">
        <v>905</v>
      </c>
      <c r="C469" s="20" t="s">
        <v>133</v>
      </c>
      <c r="D469" s="20" t="s">
        <v>165</v>
      </c>
      <c r="E469" s="20" t="s">
        <v>141</v>
      </c>
      <c r="F469" s="20" t="s">
        <v>160</v>
      </c>
      <c r="G469" s="26">
        <f>G470</f>
        <v>76.5</v>
      </c>
      <c r="H469" s="177"/>
    </row>
    <row r="470" spans="1:9" ht="15.75" x14ac:dyDescent="0.25">
      <c r="A470" s="25" t="s">
        <v>583</v>
      </c>
      <c r="B470" s="16">
        <v>905</v>
      </c>
      <c r="C470" s="20" t="s">
        <v>133</v>
      </c>
      <c r="D470" s="20" t="s">
        <v>165</v>
      </c>
      <c r="E470" s="20" t="s">
        <v>141</v>
      </c>
      <c r="F470" s="20" t="s">
        <v>153</v>
      </c>
      <c r="G470" s="158">
        <f>2.5+74</f>
        <v>76.5</v>
      </c>
      <c r="H470" s="157" t="s">
        <v>743</v>
      </c>
    </row>
    <row r="471" spans="1:9" ht="15.75" x14ac:dyDescent="0.25">
      <c r="A471" s="23" t="s">
        <v>154</v>
      </c>
      <c r="B471" s="19">
        <v>905</v>
      </c>
      <c r="C471" s="24" t="s">
        <v>133</v>
      </c>
      <c r="D471" s="24" t="s">
        <v>155</v>
      </c>
      <c r="E471" s="24"/>
      <c r="F471" s="24"/>
      <c r="G471" s="21">
        <f>G472</f>
        <v>3612.94</v>
      </c>
      <c r="H471" s="177"/>
    </row>
    <row r="472" spans="1:9" ht="15.75" x14ac:dyDescent="0.25">
      <c r="A472" s="25" t="s">
        <v>136</v>
      </c>
      <c r="B472" s="16">
        <v>905</v>
      </c>
      <c r="C472" s="20" t="s">
        <v>133</v>
      </c>
      <c r="D472" s="20" t="s">
        <v>155</v>
      </c>
      <c r="E472" s="20" t="s">
        <v>137</v>
      </c>
      <c r="F472" s="20"/>
      <c r="G472" s="26">
        <f>G473</f>
        <v>3612.94</v>
      </c>
      <c r="H472" s="177"/>
    </row>
    <row r="473" spans="1:9" ht="15.75" x14ac:dyDescent="0.25">
      <c r="A473" s="25" t="s">
        <v>156</v>
      </c>
      <c r="B473" s="16">
        <v>905</v>
      </c>
      <c r="C473" s="20" t="s">
        <v>133</v>
      </c>
      <c r="D473" s="20" t="s">
        <v>155</v>
      </c>
      <c r="E473" s="20" t="s">
        <v>157</v>
      </c>
      <c r="F473" s="20"/>
      <c r="G473" s="26">
        <f>G474</f>
        <v>3612.94</v>
      </c>
      <c r="H473" s="177"/>
    </row>
    <row r="474" spans="1:9" ht="47.25" x14ac:dyDescent="0.25">
      <c r="A474" s="25" t="s">
        <v>403</v>
      </c>
      <c r="B474" s="16">
        <v>905</v>
      </c>
      <c r="C474" s="20" t="s">
        <v>133</v>
      </c>
      <c r="D474" s="20" t="s">
        <v>155</v>
      </c>
      <c r="E474" s="20" t="s">
        <v>404</v>
      </c>
      <c r="F474" s="20"/>
      <c r="G474" s="26">
        <f>G475</f>
        <v>3612.94</v>
      </c>
      <c r="H474" s="177"/>
    </row>
    <row r="475" spans="1:9" ht="31.5" x14ac:dyDescent="0.25">
      <c r="A475" s="25" t="s">
        <v>146</v>
      </c>
      <c r="B475" s="16">
        <v>905</v>
      </c>
      <c r="C475" s="20" t="s">
        <v>133</v>
      </c>
      <c r="D475" s="20" t="s">
        <v>155</v>
      </c>
      <c r="E475" s="20" t="s">
        <v>404</v>
      </c>
      <c r="F475" s="20" t="s">
        <v>147</v>
      </c>
      <c r="G475" s="26">
        <f>G476</f>
        <v>3612.94</v>
      </c>
      <c r="H475" s="177"/>
    </row>
    <row r="476" spans="1:9" ht="47.25" x14ac:dyDescent="0.25">
      <c r="A476" s="25" t="s">
        <v>148</v>
      </c>
      <c r="B476" s="16">
        <v>905</v>
      </c>
      <c r="C476" s="20" t="s">
        <v>133</v>
      </c>
      <c r="D476" s="20" t="s">
        <v>155</v>
      </c>
      <c r="E476" s="20" t="s">
        <v>404</v>
      </c>
      <c r="F476" s="20" t="s">
        <v>149</v>
      </c>
      <c r="G476" s="162">
        <f>1961.14+1251.8+400</f>
        <v>3612.94</v>
      </c>
      <c r="H476" s="106" t="s">
        <v>760</v>
      </c>
      <c r="I476" s="124"/>
    </row>
    <row r="477" spans="1:9" ht="15.75" x14ac:dyDescent="0.25">
      <c r="A477" s="41" t="s">
        <v>405</v>
      </c>
      <c r="B477" s="19">
        <v>905</v>
      </c>
      <c r="C477" s="24" t="s">
        <v>249</v>
      </c>
      <c r="D477" s="24"/>
      <c r="E477" s="24"/>
      <c r="F477" s="24"/>
      <c r="G477" s="21">
        <f>G478</f>
        <v>1099.8</v>
      </c>
      <c r="H477" s="177"/>
    </row>
    <row r="478" spans="1:9" ht="15.75" x14ac:dyDescent="0.25">
      <c r="A478" s="41" t="s">
        <v>406</v>
      </c>
      <c r="B478" s="19">
        <v>905</v>
      </c>
      <c r="C478" s="24" t="s">
        <v>249</v>
      </c>
      <c r="D478" s="24" t="s">
        <v>133</v>
      </c>
      <c r="E478" s="24"/>
      <c r="F478" s="24"/>
      <c r="G478" s="26">
        <f>G479</f>
        <v>1099.8</v>
      </c>
      <c r="H478" s="177"/>
    </row>
    <row r="479" spans="1:9" ht="15.75" x14ac:dyDescent="0.25">
      <c r="A479" s="29" t="s">
        <v>136</v>
      </c>
      <c r="B479" s="16">
        <v>905</v>
      </c>
      <c r="C479" s="20" t="s">
        <v>249</v>
      </c>
      <c r="D479" s="20" t="s">
        <v>133</v>
      </c>
      <c r="E479" s="20" t="s">
        <v>137</v>
      </c>
      <c r="F479" s="20"/>
      <c r="G479" s="26">
        <f>G485+G480</f>
        <v>1099.8</v>
      </c>
      <c r="H479" s="177"/>
    </row>
    <row r="480" spans="1:9" ht="31.5" hidden="1" x14ac:dyDescent="0.25">
      <c r="A480" s="25" t="s">
        <v>200</v>
      </c>
      <c r="B480" s="37">
        <v>905</v>
      </c>
      <c r="C480" s="20" t="s">
        <v>249</v>
      </c>
      <c r="D480" s="20" t="s">
        <v>133</v>
      </c>
      <c r="E480" s="20" t="s">
        <v>201</v>
      </c>
      <c r="F480" s="20"/>
      <c r="G480" s="26">
        <f>G481</f>
        <v>0</v>
      </c>
      <c r="H480" s="177"/>
    </row>
    <row r="481" spans="1:9" ht="47.25" hidden="1" x14ac:dyDescent="0.25">
      <c r="A481" s="36" t="s">
        <v>407</v>
      </c>
      <c r="B481" s="37">
        <v>905</v>
      </c>
      <c r="C481" s="20" t="s">
        <v>249</v>
      </c>
      <c r="D481" s="20" t="s">
        <v>133</v>
      </c>
      <c r="E481" s="20" t="s">
        <v>408</v>
      </c>
      <c r="F481" s="20"/>
      <c r="G481" s="26">
        <f>G482</f>
        <v>0</v>
      </c>
      <c r="H481" s="177"/>
    </row>
    <row r="482" spans="1:9" ht="31.5" hidden="1" x14ac:dyDescent="0.25">
      <c r="A482" s="42" t="s">
        <v>409</v>
      </c>
      <c r="B482" s="37">
        <v>905</v>
      </c>
      <c r="C482" s="20" t="s">
        <v>249</v>
      </c>
      <c r="D482" s="20" t="s">
        <v>133</v>
      </c>
      <c r="E482" s="20" t="s">
        <v>410</v>
      </c>
      <c r="F482" s="20"/>
      <c r="G482" s="26">
        <f>G483</f>
        <v>0</v>
      </c>
      <c r="H482" s="177"/>
    </row>
    <row r="483" spans="1:9" ht="31.5" hidden="1" x14ac:dyDescent="0.25">
      <c r="A483" s="25" t="s">
        <v>146</v>
      </c>
      <c r="B483" s="16">
        <v>905</v>
      </c>
      <c r="C483" s="20" t="s">
        <v>249</v>
      </c>
      <c r="D483" s="20" t="s">
        <v>133</v>
      </c>
      <c r="E483" s="20" t="s">
        <v>410</v>
      </c>
      <c r="F483" s="20" t="s">
        <v>147</v>
      </c>
      <c r="G483" s="26">
        <f>G484</f>
        <v>0</v>
      </c>
      <c r="H483" s="177"/>
    </row>
    <row r="484" spans="1:9" ht="47.25" hidden="1" x14ac:dyDescent="0.25">
      <c r="A484" s="25" t="s">
        <v>148</v>
      </c>
      <c r="B484" s="16">
        <v>905</v>
      </c>
      <c r="C484" s="20" t="s">
        <v>249</v>
      </c>
      <c r="D484" s="20" t="s">
        <v>133</v>
      </c>
      <c r="E484" s="20" t="s">
        <v>410</v>
      </c>
      <c r="F484" s="20" t="s">
        <v>149</v>
      </c>
      <c r="G484" s="26"/>
      <c r="H484" s="177"/>
    </row>
    <row r="485" spans="1:9" ht="15.75" x14ac:dyDescent="0.25">
      <c r="A485" s="29" t="s">
        <v>156</v>
      </c>
      <c r="B485" s="16">
        <v>905</v>
      </c>
      <c r="C485" s="20" t="s">
        <v>249</v>
      </c>
      <c r="D485" s="20" t="s">
        <v>133</v>
      </c>
      <c r="E485" s="20" t="s">
        <v>157</v>
      </c>
      <c r="F485" s="20"/>
      <c r="G485" s="26">
        <f>G486+G489</f>
        <v>1099.8</v>
      </c>
      <c r="H485" s="177"/>
    </row>
    <row r="486" spans="1:9" ht="31.5" x14ac:dyDescent="0.25">
      <c r="A486" s="29" t="s">
        <v>413</v>
      </c>
      <c r="B486" s="16">
        <v>905</v>
      </c>
      <c r="C486" s="20" t="s">
        <v>249</v>
      </c>
      <c r="D486" s="20" t="s">
        <v>133</v>
      </c>
      <c r="E486" s="20" t="s">
        <v>414</v>
      </c>
      <c r="F486" s="20"/>
      <c r="G486" s="26">
        <f>G487</f>
        <v>260.8</v>
      </c>
      <c r="H486" s="177"/>
    </row>
    <row r="487" spans="1:9" ht="31.5" x14ac:dyDescent="0.25">
      <c r="A487" s="25" t="s">
        <v>146</v>
      </c>
      <c r="B487" s="16">
        <v>905</v>
      </c>
      <c r="C487" s="20" t="s">
        <v>249</v>
      </c>
      <c r="D487" s="20" t="s">
        <v>133</v>
      </c>
      <c r="E487" s="20" t="s">
        <v>414</v>
      </c>
      <c r="F487" s="20" t="s">
        <v>147</v>
      </c>
      <c r="G487" s="26">
        <f>G488</f>
        <v>260.8</v>
      </c>
      <c r="H487" s="177"/>
    </row>
    <row r="488" spans="1:9" ht="47.25" x14ac:dyDescent="0.25">
      <c r="A488" s="25" t="s">
        <v>148</v>
      </c>
      <c r="B488" s="16">
        <v>905</v>
      </c>
      <c r="C488" s="20" t="s">
        <v>249</v>
      </c>
      <c r="D488" s="20" t="s">
        <v>133</v>
      </c>
      <c r="E488" s="20" t="s">
        <v>414</v>
      </c>
      <c r="F488" s="20" t="s">
        <v>149</v>
      </c>
      <c r="G488" s="26">
        <v>260.8</v>
      </c>
      <c r="H488" s="177"/>
    </row>
    <row r="489" spans="1:9" ht="15.75" x14ac:dyDescent="0.25">
      <c r="A489" s="29" t="s">
        <v>411</v>
      </c>
      <c r="B489" s="16">
        <v>905</v>
      </c>
      <c r="C489" s="20" t="s">
        <v>249</v>
      </c>
      <c r="D489" s="20" t="s">
        <v>133</v>
      </c>
      <c r="E489" s="20" t="s">
        <v>412</v>
      </c>
      <c r="F489" s="20"/>
      <c r="G489" s="26">
        <f>G490</f>
        <v>839</v>
      </c>
      <c r="H489" s="177"/>
    </row>
    <row r="490" spans="1:9" ht="31.5" x14ac:dyDescent="0.25">
      <c r="A490" s="25" t="s">
        <v>146</v>
      </c>
      <c r="B490" s="16">
        <v>905</v>
      </c>
      <c r="C490" s="20" t="s">
        <v>249</v>
      </c>
      <c r="D490" s="20" t="s">
        <v>133</v>
      </c>
      <c r="E490" s="20" t="s">
        <v>412</v>
      </c>
      <c r="F490" s="20" t="s">
        <v>147</v>
      </c>
      <c r="G490" s="26">
        <f>G491</f>
        <v>839</v>
      </c>
      <c r="H490" s="177"/>
    </row>
    <row r="491" spans="1:9" ht="47.25" x14ac:dyDescent="0.25">
      <c r="A491" s="25" t="s">
        <v>148</v>
      </c>
      <c r="B491" s="16">
        <v>905</v>
      </c>
      <c r="C491" s="20" t="s">
        <v>249</v>
      </c>
      <c r="D491" s="20" t="s">
        <v>133</v>
      </c>
      <c r="E491" s="20" t="s">
        <v>412</v>
      </c>
      <c r="F491" s="20" t="s">
        <v>149</v>
      </c>
      <c r="G491" s="26">
        <v>839</v>
      </c>
      <c r="H491" s="177"/>
      <c r="I491" s="115"/>
    </row>
    <row r="492" spans="1:9" ht="15.75" hidden="1" x14ac:dyDescent="0.25">
      <c r="A492" s="43" t="s">
        <v>258</v>
      </c>
      <c r="B492" s="19">
        <v>905</v>
      </c>
      <c r="C492" s="24" t="s">
        <v>259</v>
      </c>
      <c r="D492" s="24"/>
      <c r="E492" s="24"/>
      <c r="F492" s="24"/>
      <c r="G492" s="21">
        <f>G493</f>
        <v>0</v>
      </c>
      <c r="H492" s="177"/>
    </row>
    <row r="493" spans="1:9" ht="15.75" hidden="1" x14ac:dyDescent="0.25">
      <c r="A493" s="23" t="s">
        <v>415</v>
      </c>
      <c r="B493" s="19">
        <v>905</v>
      </c>
      <c r="C493" s="24" t="s">
        <v>259</v>
      </c>
      <c r="D493" s="24" t="s">
        <v>165</v>
      </c>
      <c r="E493" s="24"/>
      <c r="F493" s="24"/>
      <c r="G493" s="21">
        <f>G494</f>
        <v>0</v>
      </c>
      <c r="H493" s="177"/>
    </row>
    <row r="494" spans="1:9" ht="31.5" hidden="1" x14ac:dyDescent="0.25">
      <c r="A494" s="25" t="s">
        <v>200</v>
      </c>
      <c r="B494" s="16">
        <v>905</v>
      </c>
      <c r="C494" s="20" t="s">
        <v>259</v>
      </c>
      <c r="D494" s="20" t="s">
        <v>165</v>
      </c>
      <c r="E494" s="20" t="s">
        <v>201</v>
      </c>
      <c r="F494" s="20"/>
      <c r="G494" s="26">
        <f>G495</f>
        <v>0</v>
      </c>
      <c r="H494" s="177"/>
    </row>
    <row r="495" spans="1:9" ht="47.25" hidden="1" x14ac:dyDescent="0.25">
      <c r="A495" s="31" t="s">
        <v>416</v>
      </c>
      <c r="B495" s="16">
        <v>905</v>
      </c>
      <c r="C495" s="20" t="s">
        <v>259</v>
      </c>
      <c r="D495" s="20" t="s">
        <v>165</v>
      </c>
      <c r="E495" s="20" t="s">
        <v>417</v>
      </c>
      <c r="F495" s="20"/>
      <c r="G495" s="26">
        <f>G496</f>
        <v>0</v>
      </c>
      <c r="H495" s="177"/>
    </row>
    <row r="496" spans="1:9" ht="31.5" hidden="1" x14ac:dyDescent="0.25">
      <c r="A496" s="25" t="s">
        <v>146</v>
      </c>
      <c r="B496" s="16">
        <v>905</v>
      </c>
      <c r="C496" s="20" t="s">
        <v>259</v>
      </c>
      <c r="D496" s="20" t="s">
        <v>165</v>
      </c>
      <c r="E496" s="20" t="s">
        <v>417</v>
      </c>
      <c r="F496" s="20" t="s">
        <v>147</v>
      </c>
      <c r="G496" s="26">
        <f>G497</f>
        <v>0</v>
      </c>
      <c r="H496" s="177"/>
    </row>
    <row r="497" spans="1:12" ht="47.25" hidden="1" x14ac:dyDescent="0.25">
      <c r="A497" s="25" t="s">
        <v>148</v>
      </c>
      <c r="B497" s="16">
        <v>905</v>
      </c>
      <c r="C497" s="20" t="s">
        <v>259</v>
      </c>
      <c r="D497" s="20" t="s">
        <v>165</v>
      </c>
      <c r="E497" s="20" t="s">
        <v>417</v>
      </c>
      <c r="F497" s="20" t="s">
        <v>149</v>
      </c>
      <c r="G497" s="26">
        <f>1330-1330</f>
        <v>0</v>
      </c>
      <c r="H497" s="177"/>
      <c r="I497" s="115"/>
    </row>
    <row r="498" spans="1:12" ht="31.5" x14ac:dyDescent="0.25">
      <c r="A498" s="19" t="s">
        <v>418</v>
      </c>
      <c r="B498" s="19">
        <v>906</v>
      </c>
      <c r="C498" s="24"/>
      <c r="D498" s="24"/>
      <c r="E498" s="24"/>
      <c r="F498" s="24"/>
      <c r="G498" s="21">
        <f>G506+G499</f>
        <v>261521.80000000002</v>
      </c>
      <c r="H498" s="177"/>
      <c r="L498" s="116"/>
    </row>
    <row r="499" spans="1:12" ht="15.75" x14ac:dyDescent="0.25">
      <c r="A499" s="23" t="s">
        <v>132</v>
      </c>
      <c r="B499" s="19">
        <v>906</v>
      </c>
      <c r="C499" s="24" t="s">
        <v>133</v>
      </c>
      <c r="D499" s="24"/>
      <c r="E499" s="24"/>
      <c r="F499" s="24"/>
      <c r="G499" s="21">
        <f t="shared" ref="G499:G504" si="2">G500</f>
        <v>5</v>
      </c>
      <c r="H499" s="177"/>
    </row>
    <row r="500" spans="1:12" ht="15.75" x14ac:dyDescent="0.25">
      <c r="A500" s="34" t="s">
        <v>154</v>
      </c>
      <c r="B500" s="19">
        <v>906</v>
      </c>
      <c r="C500" s="24" t="s">
        <v>133</v>
      </c>
      <c r="D500" s="24" t="s">
        <v>155</v>
      </c>
      <c r="E500" s="24"/>
      <c r="F500" s="24"/>
      <c r="G500" s="21">
        <f t="shared" si="2"/>
        <v>5</v>
      </c>
      <c r="H500" s="177"/>
    </row>
    <row r="501" spans="1:12" ht="18" customHeight="1" x14ac:dyDescent="0.25">
      <c r="A501" s="31" t="s">
        <v>136</v>
      </c>
      <c r="B501" s="16">
        <v>906</v>
      </c>
      <c r="C501" s="20" t="s">
        <v>133</v>
      </c>
      <c r="D501" s="20" t="s">
        <v>155</v>
      </c>
      <c r="E501" s="20" t="s">
        <v>137</v>
      </c>
      <c r="F501" s="20"/>
      <c r="G501" s="26">
        <f t="shared" si="2"/>
        <v>5</v>
      </c>
      <c r="H501" s="177"/>
    </row>
    <row r="502" spans="1:12" ht="15.75" x14ac:dyDescent="0.25">
      <c r="A502" s="31" t="s">
        <v>156</v>
      </c>
      <c r="B502" s="16">
        <v>906</v>
      </c>
      <c r="C502" s="20" t="s">
        <v>133</v>
      </c>
      <c r="D502" s="20" t="s">
        <v>155</v>
      </c>
      <c r="E502" s="20" t="s">
        <v>157</v>
      </c>
      <c r="F502" s="20"/>
      <c r="G502" s="26">
        <f t="shared" si="2"/>
        <v>5</v>
      </c>
      <c r="H502" s="177"/>
    </row>
    <row r="503" spans="1:12" ht="15.75" x14ac:dyDescent="0.25">
      <c r="A503" s="25" t="s">
        <v>194</v>
      </c>
      <c r="B503" s="16">
        <v>906</v>
      </c>
      <c r="C503" s="20" t="s">
        <v>133</v>
      </c>
      <c r="D503" s="20" t="s">
        <v>155</v>
      </c>
      <c r="E503" s="20" t="s">
        <v>220</v>
      </c>
      <c r="F503" s="20"/>
      <c r="G503" s="26">
        <f t="shared" si="2"/>
        <v>5</v>
      </c>
      <c r="H503" s="177"/>
    </row>
    <row r="504" spans="1:12" ht="31.5" x14ac:dyDescent="0.25">
      <c r="A504" s="25" t="s">
        <v>146</v>
      </c>
      <c r="B504" s="16">
        <v>906</v>
      </c>
      <c r="C504" s="20" t="s">
        <v>133</v>
      </c>
      <c r="D504" s="20" t="s">
        <v>155</v>
      </c>
      <c r="E504" s="20" t="s">
        <v>220</v>
      </c>
      <c r="F504" s="20" t="s">
        <v>147</v>
      </c>
      <c r="G504" s="26">
        <f t="shared" si="2"/>
        <v>5</v>
      </c>
      <c r="H504" s="177"/>
    </row>
    <row r="505" spans="1:12" ht="47.25" x14ac:dyDescent="0.25">
      <c r="A505" s="25" t="s">
        <v>148</v>
      </c>
      <c r="B505" s="16">
        <v>906</v>
      </c>
      <c r="C505" s="20" t="s">
        <v>133</v>
      </c>
      <c r="D505" s="20" t="s">
        <v>155</v>
      </c>
      <c r="E505" s="20" t="s">
        <v>220</v>
      </c>
      <c r="F505" s="20" t="s">
        <v>149</v>
      </c>
      <c r="G505" s="26">
        <v>5</v>
      </c>
      <c r="H505" s="177"/>
    </row>
    <row r="506" spans="1:12" ht="15.75" x14ac:dyDescent="0.25">
      <c r="A506" s="23" t="s">
        <v>278</v>
      </c>
      <c r="B506" s="19">
        <v>906</v>
      </c>
      <c r="C506" s="24" t="s">
        <v>279</v>
      </c>
      <c r="D506" s="24"/>
      <c r="E506" s="24"/>
      <c r="F506" s="24"/>
      <c r="G506" s="21">
        <f>G507+G546+G633+G645+G612</f>
        <v>261516.80000000002</v>
      </c>
      <c r="H506" s="177"/>
    </row>
    <row r="507" spans="1:12" ht="15.75" x14ac:dyDescent="0.25">
      <c r="A507" s="23" t="s">
        <v>419</v>
      </c>
      <c r="B507" s="19">
        <v>906</v>
      </c>
      <c r="C507" s="24" t="s">
        <v>279</v>
      </c>
      <c r="D507" s="24" t="s">
        <v>133</v>
      </c>
      <c r="E507" s="24"/>
      <c r="F507" s="24"/>
      <c r="G507" s="21">
        <f>G508+G526</f>
        <v>84659.4</v>
      </c>
      <c r="H507" s="177"/>
    </row>
    <row r="508" spans="1:12" ht="47.25" x14ac:dyDescent="0.25">
      <c r="A508" s="25" t="s">
        <v>420</v>
      </c>
      <c r="B508" s="16">
        <v>906</v>
      </c>
      <c r="C508" s="20" t="s">
        <v>279</v>
      </c>
      <c r="D508" s="20" t="s">
        <v>133</v>
      </c>
      <c r="E508" s="20" t="s">
        <v>421</v>
      </c>
      <c r="F508" s="20"/>
      <c r="G508" s="26">
        <f>G509+G513</f>
        <v>23453.4</v>
      </c>
      <c r="H508" s="177"/>
    </row>
    <row r="509" spans="1:12" ht="47.25" x14ac:dyDescent="0.25">
      <c r="A509" s="25" t="s">
        <v>422</v>
      </c>
      <c r="B509" s="16">
        <v>906</v>
      </c>
      <c r="C509" s="20" t="s">
        <v>279</v>
      </c>
      <c r="D509" s="20" t="s">
        <v>133</v>
      </c>
      <c r="E509" s="20" t="s">
        <v>423</v>
      </c>
      <c r="F509" s="20"/>
      <c r="G509" s="26">
        <f>G510</f>
        <v>15578.400000000001</v>
      </c>
      <c r="H509" s="177"/>
    </row>
    <row r="510" spans="1:12" ht="47.25" x14ac:dyDescent="0.25">
      <c r="A510" s="25" t="s">
        <v>424</v>
      </c>
      <c r="B510" s="16">
        <v>906</v>
      </c>
      <c r="C510" s="20" t="s">
        <v>279</v>
      </c>
      <c r="D510" s="20" t="s">
        <v>133</v>
      </c>
      <c r="E510" s="20" t="s">
        <v>425</v>
      </c>
      <c r="F510" s="20"/>
      <c r="G510" s="26">
        <f>G511</f>
        <v>15578.400000000001</v>
      </c>
      <c r="H510" s="177"/>
    </row>
    <row r="511" spans="1:12" ht="47.25" x14ac:dyDescent="0.25">
      <c r="A511" s="25" t="s">
        <v>287</v>
      </c>
      <c r="B511" s="16">
        <v>906</v>
      </c>
      <c r="C511" s="20" t="s">
        <v>279</v>
      </c>
      <c r="D511" s="20" t="s">
        <v>133</v>
      </c>
      <c r="E511" s="20" t="s">
        <v>425</v>
      </c>
      <c r="F511" s="20" t="s">
        <v>288</v>
      </c>
      <c r="G511" s="26">
        <f>G512</f>
        <v>15578.400000000001</v>
      </c>
      <c r="H511" s="177"/>
    </row>
    <row r="512" spans="1:12" ht="15.75" x14ac:dyDescent="0.25">
      <c r="A512" s="25" t="s">
        <v>289</v>
      </c>
      <c r="B512" s="16">
        <v>906</v>
      </c>
      <c r="C512" s="20" t="s">
        <v>279</v>
      </c>
      <c r="D512" s="20" t="s">
        <v>133</v>
      </c>
      <c r="E512" s="20" t="s">
        <v>425</v>
      </c>
      <c r="F512" s="20" t="s">
        <v>290</v>
      </c>
      <c r="G512" s="27">
        <f>17368.2+6858.7-6314-1360.2-974.3</f>
        <v>15578.400000000001</v>
      </c>
      <c r="H512" s="179"/>
      <c r="I512" s="125"/>
    </row>
    <row r="513" spans="1:8" ht="47.25" x14ac:dyDescent="0.25">
      <c r="A513" s="25" t="s">
        <v>426</v>
      </c>
      <c r="B513" s="16">
        <v>906</v>
      </c>
      <c r="C513" s="20" t="s">
        <v>279</v>
      </c>
      <c r="D513" s="20" t="s">
        <v>133</v>
      </c>
      <c r="E513" s="20" t="s">
        <v>427</v>
      </c>
      <c r="F513" s="20"/>
      <c r="G513" s="26">
        <f>G514+G517+G520+G523</f>
        <v>7875</v>
      </c>
      <c r="H513" s="177"/>
    </row>
    <row r="514" spans="1:8" ht="47.25" hidden="1" x14ac:dyDescent="0.25">
      <c r="A514" s="25" t="s">
        <v>293</v>
      </c>
      <c r="B514" s="16">
        <v>906</v>
      </c>
      <c r="C514" s="20" t="s">
        <v>279</v>
      </c>
      <c r="D514" s="20" t="s">
        <v>133</v>
      </c>
      <c r="E514" s="20" t="s">
        <v>428</v>
      </c>
      <c r="F514" s="20"/>
      <c r="G514" s="26">
        <f>G515</f>
        <v>0</v>
      </c>
      <c r="H514" s="177"/>
    </row>
    <row r="515" spans="1:8" ht="47.25" hidden="1" x14ac:dyDescent="0.25">
      <c r="A515" s="25" t="s">
        <v>287</v>
      </c>
      <c r="B515" s="16">
        <v>906</v>
      </c>
      <c r="C515" s="20" t="s">
        <v>279</v>
      </c>
      <c r="D515" s="20" t="s">
        <v>133</v>
      </c>
      <c r="E515" s="20" t="s">
        <v>428</v>
      </c>
      <c r="F515" s="20" t="s">
        <v>288</v>
      </c>
      <c r="G515" s="26">
        <f>G516</f>
        <v>0</v>
      </c>
      <c r="H515" s="177"/>
    </row>
    <row r="516" spans="1:8" ht="15.75" hidden="1" x14ac:dyDescent="0.25">
      <c r="A516" s="25" t="s">
        <v>289</v>
      </c>
      <c r="B516" s="16">
        <v>906</v>
      </c>
      <c r="C516" s="20" t="s">
        <v>279</v>
      </c>
      <c r="D516" s="20" t="s">
        <v>133</v>
      </c>
      <c r="E516" s="20" t="s">
        <v>428</v>
      </c>
      <c r="F516" s="20" t="s">
        <v>290</v>
      </c>
      <c r="G516" s="26">
        <v>0</v>
      </c>
      <c r="H516" s="177"/>
    </row>
    <row r="517" spans="1:8" ht="31.5" x14ac:dyDescent="0.25">
      <c r="A517" s="25" t="s">
        <v>295</v>
      </c>
      <c r="B517" s="16">
        <v>906</v>
      </c>
      <c r="C517" s="20" t="s">
        <v>279</v>
      </c>
      <c r="D517" s="20" t="s">
        <v>133</v>
      </c>
      <c r="E517" s="20" t="s">
        <v>429</v>
      </c>
      <c r="F517" s="20"/>
      <c r="G517" s="26">
        <f>G518</f>
        <v>1145</v>
      </c>
      <c r="H517" s="177"/>
    </row>
    <row r="518" spans="1:8" ht="47.25" x14ac:dyDescent="0.25">
      <c r="A518" s="25" t="s">
        <v>287</v>
      </c>
      <c r="B518" s="16">
        <v>906</v>
      </c>
      <c r="C518" s="20" t="s">
        <v>279</v>
      </c>
      <c r="D518" s="20" t="s">
        <v>133</v>
      </c>
      <c r="E518" s="20" t="s">
        <v>429</v>
      </c>
      <c r="F518" s="20" t="s">
        <v>288</v>
      </c>
      <c r="G518" s="26">
        <f>G519</f>
        <v>1145</v>
      </c>
      <c r="H518" s="177"/>
    </row>
    <row r="519" spans="1:8" ht="15.75" x14ac:dyDescent="0.25">
      <c r="A519" s="25" t="s">
        <v>289</v>
      </c>
      <c r="B519" s="16">
        <v>906</v>
      </c>
      <c r="C519" s="20" t="s">
        <v>279</v>
      </c>
      <c r="D519" s="20" t="s">
        <v>133</v>
      </c>
      <c r="E519" s="20" t="s">
        <v>429</v>
      </c>
      <c r="F519" s="20" t="s">
        <v>290</v>
      </c>
      <c r="G519" s="158">
        <f>800+300+45</f>
        <v>1145</v>
      </c>
      <c r="H519" s="165" t="s">
        <v>762</v>
      </c>
    </row>
    <row r="520" spans="1:8" ht="47.25" x14ac:dyDescent="0.25">
      <c r="A520" s="25" t="s">
        <v>430</v>
      </c>
      <c r="B520" s="16">
        <v>906</v>
      </c>
      <c r="C520" s="20" t="s">
        <v>279</v>
      </c>
      <c r="D520" s="20" t="s">
        <v>133</v>
      </c>
      <c r="E520" s="20" t="s">
        <v>431</v>
      </c>
      <c r="F520" s="20"/>
      <c r="G520" s="26">
        <f>G521</f>
        <v>6730</v>
      </c>
      <c r="H520" s="177"/>
    </row>
    <row r="521" spans="1:8" ht="47.25" x14ac:dyDescent="0.25">
      <c r="A521" s="25" t="s">
        <v>287</v>
      </c>
      <c r="B521" s="16">
        <v>906</v>
      </c>
      <c r="C521" s="20" t="s">
        <v>279</v>
      </c>
      <c r="D521" s="20" t="s">
        <v>133</v>
      </c>
      <c r="E521" s="20" t="s">
        <v>431</v>
      </c>
      <c r="F521" s="20" t="s">
        <v>288</v>
      </c>
      <c r="G521" s="26">
        <f>G522</f>
        <v>6730</v>
      </c>
      <c r="H521" s="177"/>
    </row>
    <row r="522" spans="1:8" ht="15.75" x14ac:dyDescent="0.25">
      <c r="A522" s="25" t="s">
        <v>289</v>
      </c>
      <c r="B522" s="16">
        <v>906</v>
      </c>
      <c r="C522" s="20" t="s">
        <v>279</v>
      </c>
      <c r="D522" s="20" t="s">
        <v>133</v>
      </c>
      <c r="E522" s="20" t="s">
        <v>431</v>
      </c>
      <c r="F522" s="20" t="s">
        <v>290</v>
      </c>
      <c r="G522" s="27">
        <v>6730</v>
      </c>
      <c r="H522" s="177"/>
    </row>
    <row r="523" spans="1:8" ht="31.5" hidden="1" x14ac:dyDescent="0.25">
      <c r="A523" s="25" t="s">
        <v>299</v>
      </c>
      <c r="B523" s="16">
        <v>906</v>
      </c>
      <c r="C523" s="20" t="s">
        <v>279</v>
      </c>
      <c r="D523" s="20" t="s">
        <v>133</v>
      </c>
      <c r="E523" s="20" t="s">
        <v>432</v>
      </c>
      <c r="F523" s="20"/>
      <c r="G523" s="26">
        <f>G524</f>
        <v>0</v>
      </c>
      <c r="H523" s="177"/>
    </row>
    <row r="524" spans="1:8" ht="47.25" hidden="1" x14ac:dyDescent="0.25">
      <c r="A524" s="25" t="s">
        <v>287</v>
      </c>
      <c r="B524" s="16">
        <v>906</v>
      </c>
      <c r="C524" s="20" t="s">
        <v>279</v>
      </c>
      <c r="D524" s="20" t="s">
        <v>133</v>
      </c>
      <c r="E524" s="20" t="s">
        <v>432</v>
      </c>
      <c r="F524" s="20" t="s">
        <v>288</v>
      </c>
      <c r="G524" s="26">
        <f>G525</f>
        <v>0</v>
      </c>
      <c r="H524" s="177"/>
    </row>
    <row r="525" spans="1:8" ht="15.75" hidden="1" x14ac:dyDescent="0.25">
      <c r="A525" s="25" t="s">
        <v>289</v>
      </c>
      <c r="B525" s="16">
        <v>906</v>
      </c>
      <c r="C525" s="20" t="s">
        <v>279</v>
      </c>
      <c r="D525" s="20" t="s">
        <v>133</v>
      </c>
      <c r="E525" s="20" t="s">
        <v>432</v>
      </c>
      <c r="F525" s="20" t="s">
        <v>290</v>
      </c>
      <c r="G525" s="26">
        <v>0</v>
      </c>
      <c r="H525" s="177"/>
    </row>
    <row r="526" spans="1:8" ht="15.75" x14ac:dyDescent="0.25">
      <c r="A526" s="25" t="s">
        <v>136</v>
      </c>
      <c r="B526" s="16">
        <v>906</v>
      </c>
      <c r="C526" s="20" t="s">
        <v>279</v>
      </c>
      <c r="D526" s="20" t="s">
        <v>133</v>
      </c>
      <c r="E526" s="20" t="s">
        <v>137</v>
      </c>
      <c r="F526" s="20"/>
      <c r="G526" s="26">
        <f>G527</f>
        <v>61206</v>
      </c>
      <c r="H526" s="177"/>
    </row>
    <row r="527" spans="1:8" ht="31.5" x14ac:dyDescent="0.25">
      <c r="A527" s="25" t="s">
        <v>200</v>
      </c>
      <c r="B527" s="16">
        <v>906</v>
      </c>
      <c r="C527" s="20" t="s">
        <v>279</v>
      </c>
      <c r="D527" s="20" t="s">
        <v>133</v>
      </c>
      <c r="E527" s="20" t="s">
        <v>201</v>
      </c>
      <c r="F527" s="20"/>
      <c r="G527" s="26">
        <f>G528+G531+G534+G537+G540+G543</f>
        <v>61206</v>
      </c>
      <c r="H527" s="177"/>
    </row>
    <row r="528" spans="1:8" ht="31.5" hidden="1" x14ac:dyDescent="0.25">
      <c r="A528" s="25" t="s">
        <v>433</v>
      </c>
      <c r="B528" s="16">
        <v>906</v>
      </c>
      <c r="C528" s="20" t="s">
        <v>279</v>
      </c>
      <c r="D528" s="20" t="s">
        <v>133</v>
      </c>
      <c r="E528" s="20" t="s">
        <v>434</v>
      </c>
      <c r="F528" s="20"/>
      <c r="G528" s="26">
        <f>G529</f>
        <v>0</v>
      </c>
      <c r="H528" s="177"/>
    </row>
    <row r="529" spans="1:9" ht="47.25" hidden="1" x14ac:dyDescent="0.25">
      <c r="A529" s="25" t="s">
        <v>287</v>
      </c>
      <c r="B529" s="16">
        <v>906</v>
      </c>
      <c r="C529" s="20" t="s">
        <v>279</v>
      </c>
      <c r="D529" s="20" t="s">
        <v>133</v>
      </c>
      <c r="E529" s="20" t="s">
        <v>434</v>
      </c>
      <c r="F529" s="20" t="s">
        <v>288</v>
      </c>
      <c r="G529" s="26">
        <f>G530</f>
        <v>0</v>
      </c>
      <c r="H529" s="177"/>
    </row>
    <row r="530" spans="1:9" ht="15.75" hidden="1" x14ac:dyDescent="0.25">
      <c r="A530" s="25" t="s">
        <v>289</v>
      </c>
      <c r="B530" s="16">
        <v>906</v>
      </c>
      <c r="C530" s="20" t="s">
        <v>279</v>
      </c>
      <c r="D530" s="20" t="s">
        <v>133</v>
      </c>
      <c r="E530" s="20" t="s">
        <v>434</v>
      </c>
      <c r="F530" s="20" t="s">
        <v>290</v>
      </c>
      <c r="G530" s="26"/>
      <c r="H530" s="177"/>
    </row>
    <row r="531" spans="1:9" ht="63" x14ac:dyDescent="0.25">
      <c r="A531" s="31" t="s">
        <v>304</v>
      </c>
      <c r="B531" s="16">
        <v>906</v>
      </c>
      <c r="C531" s="20" t="s">
        <v>279</v>
      </c>
      <c r="D531" s="20" t="s">
        <v>133</v>
      </c>
      <c r="E531" s="20" t="s">
        <v>305</v>
      </c>
      <c r="F531" s="20"/>
      <c r="G531" s="26">
        <f>G532</f>
        <v>310.2</v>
      </c>
      <c r="H531" s="177"/>
    </row>
    <row r="532" spans="1:9" ht="47.25" x14ac:dyDescent="0.25">
      <c r="A532" s="25" t="s">
        <v>287</v>
      </c>
      <c r="B532" s="16">
        <v>906</v>
      </c>
      <c r="C532" s="20" t="s">
        <v>279</v>
      </c>
      <c r="D532" s="20" t="s">
        <v>133</v>
      </c>
      <c r="E532" s="20" t="s">
        <v>305</v>
      </c>
      <c r="F532" s="20" t="s">
        <v>288</v>
      </c>
      <c r="G532" s="26">
        <f>G533</f>
        <v>310.2</v>
      </c>
      <c r="H532" s="177"/>
    </row>
    <row r="533" spans="1:9" ht="15.75" x14ac:dyDescent="0.25">
      <c r="A533" s="25" t="s">
        <v>289</v>
      </c>
      <c r="B533" s="16">
        <v>906</v>
      </c>
      <c r="C533" s="20" t="s">
        <v>279</v>
      </c>
      <c r="D533" s="20" t="s">
        <v>133</v>
      </c>
      <c r="E533" s="20" t="s">
        <v>305</v>
      </c>
      <c r="F533" s="20" t="s">
        <v>290</v>
      </c>
      <c r="G533" s="26">
        <f>416.2-106</f>
        <v>310.2</v>
      </c>
      <c r="H533" s="177"/>
      <c r="I533" s="115"/>
    </row>
    <row r="534" spans="1:9" ht="78.75" x14ac:dyDescent="0.25">
      <c r="A534" s="31" t="s">
        <v>435</v>
      </c>
      <c r="B534" s="16">
        <v>906</v>
      </c>
      <c r="C534" s="20" t="s">
        <v>279</v>
      </c>
      <c r="D534" s="20" t="s">
        <v>133</v>
      </c>
      <c r="E534" s="20" t="s">
        <v>307</v>
      </c>
      <c r="F534" s="20"/>
      <c r="G534" s="26">
        <f>G535</f>
        <v>1696.8</v>
      </c>
      <c r="H534" s="177"/>
    </row>
    <row r="535" spans="1:9" ht="47.25" x14ac:dyDescent="0.25">
      <c r="A535" s="25" t="s">
        <v>287</v>
      </c>
      <c r="B535" s="16">
        <v>906</v>
      </c>
      <c r="C535" s="20" t="s">
        <v>279</v>
      </c>
      <c r="D535" s="20" t="s">
        <v>133</v>
      </c>
      <c r="E535" s="20" t="s">
        <v>307</v>
      </c>
      <c r="F535" s="20" t="s">
        <v>288</v>
      </c>
      <c r="G535" s="26">
        <f>G536</f>
        <v>1696.8</v>
      </c>
      <c r="H535" s="177"/>
    </row>
    <row r="536" spans="1:9" ht="15.75" x14ac:dyDescent="0.25">
      <c r="A536" s="25" t="s">
        <v>289</v>
      </c>
      <c r="B536" s="16">
        <v>906</v>
      </c>
      <c r="C536" s="20" t="s">
        <v>279</v>
      </c>
      <c r="D536" s="20" t="s">
        <v>133</v>
      </c>
      <c r="E536" s="20" t="s">
        <v>307</v>
      </c>
      <c r="F536" s="20" t="s">
        <v>290</v>
      </c>
      <c r="G536" s="26">
        <f>1900-203.2</f>
        <v>1696.8</v>
      </c>
      <c r="H536" s="177"/>
      <c r="I536" s="115"/>
    </row>
    <row r="537" spans="1:9" ht="94.5" x14ac:dyDescent="0.25">
      <c r="A537" s="31" t="s">
        <v>436</v>
      </c>
      <c r="B537" s="16">
        <v>906</v>
      </c>
      <c r="C537" s="20" t="s">
        <v>279</v>
      </c>
      <c r="D537" s="20" t="s">
        <v>133</v>
      </c>
      <c r="E537" s="20" t="s">
        <v>437</v>
      </c>
      <c r="F537" s="20"/>
      <c r="G537" s="26">
        <f>G538</f>
        <v>56320</v>
      </c>
      <c r="H537" s="177"/>
    </row>
    <row r="538" spans="1:9" ht="47.25" x14ac:dyDescent="0.25">
      <c r="A538" s="25" t="s">
        <v>287</v>
      </c>
      <c r="B538" s="16">
        <v>906</v>
      </c>
      <c r="C538" s="20" t="s">
        <v>279</v>
      </c>
      <c r="D538" s="20" t="s">
        <v>133</v>
      </c>
      <c r="E538" s="20" t="s">
        <v>437</v>
      </c>
      <c r="F538" s="20" t="s">
        <v>288</v>
      </c>
      <c r="G538" s="26">
        <f>G539</f>
        <v>56320</v>
      </c>
      <c r="H538" s="177"/>
    </row>
    <row r="539" spans="1:9" ht="15.75" x14ac:dyDescent="0.25">
      <c r="A539" s="25" t="s">
        <v>289</v>
      </c>
      <c r="B539" s="16">
        <v>906</v>
      </c>
      <c r="C539" s="20" t="s">
        <v>279</v>
      </c>
      <c r="D539" s="20" t="s">
        <v>133</v>
      </c>
      <c r="E539" s="20" t="s">
        <v>437</v>
      </c>
      <c r="F539" s="20" t="s">
        <v>290</v>
      </c>
      <c r="G539" s="27">
        <f>66162.2-7643.6-2198.6</f>
        <v>56320</v>
      </c>
      <c r="H539" s="106"/>
      <c r="I539" s="115"/>
    </row>
    <row r="540" spans="1:9" ht="110.25" x14ac:dyDescent="0.25">
      <c r="A540" s="31" t="s">
        <v>308</v>
      </c>
      <c r="B540" s="16">
        <v>906</v>
      </c>
      <c r="C540" s="20" t="s">
        <v>279</v>
      </c>
      <c r="D540" s="20" t="s">
        <v>133</v>
      </c>
      <c r="E540" s="20" t="s">
        <v>309</v>
      </c>
      <c r="F540" s="20"/>
      <c r="G540" s="26">
        <f>G541</f>
        <v>2879</v>
      </c>
      <c r="H540" s="177"/>
    </row>
    <row r="541" spans="1:9" ht="47.25" x14ac:dyDescent="0.25">
      <c r="A541" s="25" t="s">
        <v>287</v>
      </c>
      <c r="B541" s="16">
        <v>906</v>
      </c>
      <c r="C541" s="20" t="s">
        <v>279</v>
      </c>
      <c r="D541" s="20" t="s">
        <v>133</v>
      </c>
      <c r="E541" s="20" t="s">
        <v>309</v>
      </c>
      <c r="F541" s="20" t="s">
        <v>288</v>
      </c>
      <c r="G541" s="26">
        <f>G542</f>
        <v>2879</v>
      </c>
      <c r="H541" s="177"/>
    </row>
    <row r="542" spans="1:9" ht="15.75" x14ac:dyDescent="0.25">
      <c r="A542" s="25" t="s">
        <v>289</v>
      </c>
      <c r="B542" s="16">
        <v>906</v>
      </c>
      <c r="C542" s="20" t="s">
        <v>279</v>
      </c>
      <c r="D542" s="20" t="s">
        <v>133</v>
      </c>
      <c r="E542" s="20" t="s">
        <v>309</v>
      </c>
      <c r="F542" s="20" t="s">
        <v>290</v>
      </c>
      <c r="G542" s="27">
        <f>2937.2-58.2</f>
        <v>2879</v>
      </c>
      <c r="H542" s="177"/>
      <c r="I542" s="115"/>
    </row>
    <row r="543" spans="1:9" ht="157.5" hidden="1" x14ac:dyDescent="0.25">
      <c r="A543" s="25" t="s">
        <v>438</v>
      </c>
      <c r="B543" s="16">
        <v>906</v>
      </c>
      <c r="C543" s="20" t="s">
        <v>279</v>
      </c>
      <c r="D543" s="20" t="s">
        <v>133</v>
      </c>
      <c r="E543" s="20" t="s">
        <v>439</v>
      </c>
      <c r="F543" s="20"/>
      <c r="G543" s="27">
        <f>G544</f>
        <v>0</v>
      </c>
      <c r="H543" s="177"/>
    </row>
    <row r="544" spans="1:9" ht="47.25" hidden="1" x14ac:dyDescent="0.25">
      <c r="A544" s="25" t="s">
        <v>287</v>
      </c>
      <c r="B544" s="16">
        <v>906</v>
      </c>
      <c r="C544" s="20" t="s">
        <v>279</v>
      </c>
      <c r="D544" s="20" t="s">
        <v>133</v>
      </c>
      <c r="E544" s="20" t="s">
        <v>439</v>
      </c>
      <c r="F544" s="20" t="s">
        <v>288</v>
      </c>
      <c r="G544" s="27">
        <f>G545</f>
        <v>0</v>
      </c>
      <c r="H544" s="177"/>
    </row>
    <row r="545" spans="1:9" ht="15.75" hidden="1" x14ac:dyDescent="0.25">
      <c r="A545" s="25" t="s">
        <v>289</v>
      </c>
      <c r="B545" s="16">
        <v>906</v>
      </c>
      <c r="C545" s="20" t="s">
        <v>279</v>
      </c>
      <c r="D545" s="20" t="s">
        <v>133</v>
      </c>
      <c r="E545" s="20" t="s">
        <v>439</v>
      </c>
      <c r="F545" s="20" t="s">
        <v>290</v>
      </c>
      <c r="G545" s="27">
        <f>276.5-276.5</f>
        <v>0</v>
      </c>
      <c r="H545" s="177"/>
      <c r="I545" s="115"/>
    </row>
    <row r="546" spans="1:9" ht="15.75" x14ac:dyDescent="0.25">
      <c r="A546" s="23" t="s">
        <v>440</v>
      </c>
      <c r="B546" s="19">
        <v>906</v>
      </c>
      <c r="C546" s="24" t="s">
        <v>279</v>
      </c>
      <c r="D546" s="24" t="s">
        <v>228</v>
      </c>
      <c r="E546" s="24"/>
      <c r="F546" s="24"/>
      <c r="G546" s="21">
        <f>G547+G580</f>
        <v>130684.4</v>
      </c>
      <c r="H546" s="177"/>
    </row>
    <row r="547" spans="1:9" ht="47.25" x14ac:dyDescent="0.25">
      <c r="A547" s="25" t="s">
        <v>441</v>
      </c>
      <c r="B547" s="16">
        <v>906</v>
      </c>
      <c r="C547" s="20" t="s">
        <v>279</v>
      </c>
      <c r="D547" s="20" t="s">
        <v>228</v>
      </c>
      <c r="E547" s="20" t="s">
        <v>421</v>
      </c>
      <c r="F547" s="20"/>
      <c r="G547" s="26">
        <f>G548+G552</f>
        <v>40826.6</v>
      </c>
      <c r="H547" s="177"/>
    </row>
    <row r="548" spans="1:9" ht="47.25" x14ac:dyDescent="0.25">
      <c r="A548" s="25" t="s">
        <v>422</v>
      </c>
      <c r="B548" s="16">
        <v>906</v>
      </c>
      <c r="C548" s="20" t="s">
        <v>279</v>
      </c>
      <c r="D548" s="20" t="s">
        <v>228</v>
      </c>
      <c r="E548" s="20" t="s">
        <v>423</v>
      </c>
      <c r="F548" s="20"/>
      <c r="G548" s="26">
        <f>G549</f>
        <v>34151.199999999997</v>
      </c>
      <c r="H548" s="177"/>
    </row>
    <row r="549" spans="1:9" ht="47.25" x14ac:dyDescent="0.25">
      <c r="A549" s="25" t="s">
        <v>442</v>
      </c>
      <c r="B549" s="16">
        <v>906</v>
      </c>
      <c r="C549" s="20" t="s">
        <v>279</v>
      </c>
      <c r="D549" s="20" t="s">
        <v>228</v>
      </c>
      <c r="E549" s="20" t="s">
        <v>443</v>
      </c>
      <c r="F549" s="20"/>
      <c r="G549" s="26">
        <f>G550</f>
        <v>34151.199999999997</v>
      </c>
      <c r="H549" s="177"/>
    </row>
    <row r="550" spans="1:9" ht="47.25" x14ac:dyDescent="0.25">
      <c r="A550" s="25" t="s">
        <v>287</v>
      </c>
      <c r="B550" s="16">
        <v>906</v>
      </c>
      <c r="C550" s="20" t="s">
        <v>279</v>
      </c>
      <c r="D550" s="20" t="s">
        <v>228</v>
      </c>
      <c r="E550" s="20" t="s">
        <v>443</v>
      </c>
      <c r="F550" s="20" t="s">
        <v>288</v>
      </c>
      <c r="G550" s="26">
        <f>G551</f>
        <v>34151.199999999997</v>
      </c>
      <c r="H550" s="177"/>
    </row>
    <row r="551" spans="1:9" ht="15.75" x14ac:dyDescent="0.25">
      <c r="A551" s="25" t="s">
        <v>289</v>
      </c>
      <c r="B551" s="16">
        <v>906</v>
      </c>
      <c r="C551" s="20" t="s">
        <v>279</v>
      </c>
      <c r="D551" s="20" t="s">
        <v>228</v>
      </c>
      <c r="E551" s="20" t="s">
        <v>443</v>
      </c>
      <c r="F551" s="20" t="s">
        <v>290</v>
      </c>
      <c r="G551" s="27">
        <f>21817.5+13206.2-481.7+562.6-953.4</f>
        <v>34151.199999999997</v>
      </c>
      <c r="H551" s="179"/>
      <c r="I551" s="125"/>
    </row>
    <row r="552" spans="1:9" ht="31.5" x14ac:dyDescent="0.25">
      <c r="A552" s="25" t="s">
        <v>445</v>
      </c>
      <c r="B552" s="16">
        <v>906</v>
      </c>
      <c r="C552" s="20" t="s">
        <v>279</v>
      </c>
      <c r="D552" s="20" t="s">
        <v>228</v>
      </c>
      <c r="E552" s="20" t="s">
        <v>446</v>
      </c>
      <c r="F552" s="20"/>
      <c r="G552" s="26">
        <f>G558+G574+G571+G577+G568+G553+G559+G562+G565</f>
        <v>6675.4</v>
      </c>
      <c r="H552" s="177"/>
    </row>
    <row r="553" spans="1:9" ht="63" hidden="1" x14ac:dyDescent="0.25">
      <c r="A553" s="25" t="s">
        <v>447</v>
      </c>
      <c r="B553" s="16">
        <v>906</v>
      </c>
      <c r="C553" s="20" t="s">
        <v>279</v>
      </c>
      <c r="D553" s="20" t="s">
        <v>228</v>
      </c>
      <c r="E553" s="20" t="s">
        <v>448</v>
      </c>
      <c r="F553" s="20"/>
      <c r="G553" s="26">
        <f>G554</f>
        <v>0</v>
      </c>
      <c r="H553" s="177"/>
    </row>
    <row r="554" spans="1:9" ht="47.25" hidden="1" x14ac:dyDescent="0.25">
      <c r="A554" s="25" t="s">
        <v>287</v>
      </c>
      <c r="B554" s="16">
        <v>906</v>
      </c>
      <c r="C554" s="20" t="s">
        <v>279</v>
      </c>
      <c r="D554" s="20" t="s">
        <v>228</v>
      </c>
      <c r="E554" s="20" t="s">
        <v>448</v>
      </c>
      <c r="F554" s="20" t="s">
        <v>288</v>
      </c>
      <c r="G554" s="26">
        <f>G555</f>
        <v>0</v>
      </c>
      <c r="H554" s="177"/>
    </row>
    <row r="555" spans="1:9" ht="15.75" hidden="1" x14ac:dyDescent="0.25">
      <c r="A555" s="25" t="s">
        <v>289</v>
      </c>
      <c r="B555" s="16">
        <v>906</v>
      </c>
      <c r="C555" s="20" t="s">
        <v>279</v>
      </c>
      <c r="D555" s="20" t="s">
        <v>228</v>
      </c>
      <c r="E555" s="20" t="s">
        <v>448</v>
      </c>
      <c r="F555" s="20" t="s">
        <v>290</v>
      </c>
      <c r="G555" s="26">
        <v>0</v>
      </c>
      <c r="H555" s="177"/>
    </row>
    <row r="556" spans="1:9" ht="48.75" hidden="1" customHeight="1" x14ac:dyDescent="0.25">
      <c r="A556" s="25" t="s">
        <v>449</v>
      </c>
      <c r="B556" s="16">
        <v>906</v>
      </c>
      <c r="C556" s="20" t="s">
        <v>279</v>
      </c>
      <c r="D556" s="20" t="s">
        <v>228</v>
      </c>
      <c r="E556" s="20" t="s">
        <v>450</v>
      </c>
      <c r="F556" s="20"/>
      <c r="G556" s="26">
        <f>G557</f>
        <v>0</v>
      </c>
      <c r="H556" s="177"/>
    </row>
    <row r="557" spans="1:9" ht="47.25" hidden="1" x14ac:dyDescent="0.25">
      <c r="A557" s="25" t="s">
        <v>287</v>
      </c>
      <c r="B557" s="16">
        <v>906</v>
      </c>
      <c r="C557" s="20" t="s">
        <v>279</v>
      </c>
      <c r="D557" s="20" t="s">
        <v>228</v>
      </c>
      <c r="E557" s="20" t="s">
        <v>450</v>
      </c>
      <c r="F557" s="20" t="s">
        <v>288</v>
      </c>
      <c r="G557" s="26">
        <f>G558</f>
        <v>0</v>
      </c>
      <c r="H557" s="177"/>
    </row>
    <row r="558" spans="1:9" ht="15.75" hidden="1" x14ac:dyDescent="0.25">
      <c r="A558" s="25" t="s">
        <v>289</v>
      </c>
      <c r="B558" s="16">
        <v>906</v>
      </c>
      <c r="C558" s="20" t="s">
        <v>279</v>
      </c>
      <c r="D558" s="20" t="s">
        <v>228</v>
      </c>
      <c r="E558" s="20" t="s">
        <v>450</v>
      </c>
      <c r="F558" s="20" t="s">
        <v>290</v>
      </c>
      <c r="G558" s="26">
        <v>0</v>
      </c>
      <c r="H558" s="177"/>
    </row>
    <row r="559" spans="1:9" ht="63" x14ac:dyDescent="0.25">
      <c r="A559" s="25" t="s">
        <v>451</v>
      </c>
      <c r="B559" s="16">
        <v>906</v>
      </c>
      <c r="C559" s="20" t="s">
        <v>279</v>
      </c>
      <c r="D559" s="20" t="s">
        <v>228</v>
      </c>
      <c r="E559" s="20" t="s">
        <v>452</v>
      </c>
      <c r="F559" s="20"/>
      <c r="G559" s="26">
        <f>G560</f>
        <v>2690</v>
      </c>
      <c r="H559" s="177"/>
    </row>
    <row r="560" spans="1:9" ht="47.25" x14ac:dyDescent="0.25">
      <c r="A560" s="25" t="s">
        <v>287</v>
      </c>
      <c r="B560" s="16">
        <v>906</v>
      </c>
      <c r="C560" s="20" t="s">
        <v>279</v>
      </c>
      <c r="D560" s="20" t="s">
        <v>228</v>
      </c>
      <c r="E560" s="20" t="s">
        <v>452</v>
      </c>
      <c r="F560" s="20" t="s">
        <v>288</v>
      </c>
      <c r="G560" s="26">
        <f>G561</f>
        <v>2690</v>
      </c>
      <c r="H560" s="177"/>
    </row>
    <row r="561" spans="1:8" ht="15.75" x14ac:dyDescent="0.25">
      <c r="A561" s="25" t="s">
        <v>289</v>
      </c>
      <c r="B561" s="16">
        <v>906</v>
      </c>
      <c r="C561" s="20" t="s">
        <v>279</v>
      </c>
      <c r="D561" s="20" t="s">
        <v>228</v>
      </c>
      <c r="E561" s="20" t="s">
        <v>452</v>
      </c>
      <c r="F561" s="20" t="s">
        <v>290</v>
      </c>
      <c r="G561" s="27">
        <f>3010-320</f>
        <v>2690</v>
      </c>
      <c r="H561" s="177"/>
    </row>
    <row r="562" spans="1:8" ht="63" x14ac:dyDescent="0.25">
      <c r="A562" s="25" t="s">
        <v>453</v>
      </c>
      <c r="B562" s="16">
        <v>906</v>
      </c>
      <c r="C562" s="20" t="s">
        <v>279</v>
      </c>
      <c r="D562" s="20" t="s">
        <v>228</v>
      </c>
      <c r="E562" s="20" t="s">
        <v>454</v>
      </c>
      <c r="F562" s="20"/>
      <c r="G562" s="26">
        <f>G563</f>
        <v>320</v>
      </c>
      <c r="H562" s="177"/>
    </row>
    <row r="563" spans="1:8" ht="47.25" x14ac:dyDescent="0.25">
      <c r="A563" s="25" t="s">
        <v>287</v>
      </c>
      <c r="B563" s="16">
        <v>906</v>
      </c>
      <c r="C563" s="20" t="s">
        <v>279</v>
      </c>
      <c r="D563" s="20" t="s">
        <v>228</v>
      </c>
      <c r="E563" s="20" t="s">
        <v>454</v>
      </c>
      <c r="F563" s="20" t="s">
        <v>288</v>
      </c>
      <c r="G563" s="26">
        <f>G564</f>
        <v>320</v>
      </c>
      <c r="H563" s="177"/>
    </row>
    <row r="564" spans="1:8" ht="15.75" x14ac:dyDescent="0.25">
      <c r="A564" s="25" t="s">
        <v>289</v>
      </c>
      <c r="B564" s="16">
        <v>906</v>
      </c>
      <c r="C564" s="20" t="s">
        <v>279</v>
      </c>
      <c r="D564" s="20" t="s">
        <v>228</v>
      </c>
      <c r="E564" s="20" t="s">
        <v>454</v>
      </c>
      <c r="F564" s="20" t="s">
        <v>290</v>
      </c>
      <c r="G564" s="26">
        <v>320</v>
      </c>
      <c r="H564" s="177"/>
    </row>
    <row r="565" spans="1:8" ht="47.25" hidden="1" x14ac:dyDescent="0.25">
      <c r="A565" s="25" t="s">
        <v>455</v>
      </c>
      <c r="B565" s="16">
        <v>906</v>
      </c>
      <c r="C565" s="20" t="s">
        <v>279</v>
      </c>
      <c r="D565" s="20" t="s">
        <v>228</v>
      </c>
      <c r="E565" s="20" t="s">
        <v>456</v>
      </c>
      <c r="F565" s="20"/>
      <c r="G565" s="26">
        <f>G566</f>
        <v>0</v>
      </c>
      <c r="H565" s="177"/>
    </row>
    <row r="566" spans="1:8" ht="47.25" hidden="1" x14ac:dyDescent="0.25">
      <c r="A566" s="25" t="s">
        <v>287</v>
      </c>
      <c r="B566" s="16">
        <v>906</v>
      </c>
      <c r="C566" s="20" t="s">
        <v>279</v>
      </c>
      <c r="D566" s="20" t="s">
        <v>228</v>
      </c>
      <c r="E566" s="20" t="s">
        <v>456</v>
      </c>
      <c r="F566" s="20" t="s">
        <v>288</v>
      </c>
      <c r="G566" s="26">
        <f>G567</f>
        <v>0</v>
      </c>
      <c r="H566" s="177"/>
    </row>
    <row r="567" spans="1:8" ht="15.75" hidden="1" x14ac:dyDescent="0.25">
      <c r="A567" s="25" t="s">
        <v>289</v>
      </c>
      <c r="B567" s="16">
        <v>906</v>
      </c>
      <c r="C567" s="20" t="s">
        <v>279</v>
      </c>
      <c r="D567" s="20" t="s">
        <v>228</v>
      </c>
      <c r="E567" s="20" t="s">
        <v>456</v>
      </c>
      <c r="F567" s="20" t="s">
        <v>290</v>
      </c>
      <c r="G567" s="26">
        <v>0</v>
      </c>
      <c r="H567" s="177"/>
    </row>
    <row r="568" spans="1:8" ht="47.25" x14ac:dyDescent="0.25">
      <c r="A568" s="25" t="s">
        <v>293</v>
      </c>
      <c r="B568" s="16">
        <v>906</v>
      </c>
      <c r="C568" s="20" t="s">
        <v>279</v>
      </c>
      <c r="D568" s="20" t="s">
        <v>228</v>
      </c>
      <c r="E568" s="20" t="s">
        <v>457</v>
      </c>
      <c r="F568" s="20"/>
      <c r="G568" s="26">
        <f>G569</f>
        <v>3309</v>
      </c>
      <c r="H568" s="177"/>
    </row>
    <row r="569" spans="1:8" ht="47.25" x14ac:dyDescent="0.25">
      <c r="A569" s="25" t="s">
        <v>287</v>
      </c>
      <c r="B569" s="16">
        <v>906</v>
      </c>
      <c r="C569" s="20" t="s">
        <v>279</v>
      </c>
      <c r="D569" s="20" t="s">
        <v>228</v>
      </c>
      <c r="E569" s="20" t="s">
        <v>457</v>
      </c>
      <c r="F569" s="20" t="s">
        <v>288</v>
      </c>
      <c r="G569" s="26">
        <f>G570</f>
        <v>3309</v>
      </c>
      <c r="H569" s="177"/>
    </row>
    <row r="570" spans="1:8" ht="15.75" x14ac:dyDescent="0.25">
      <c r="A570" s="25" t="s">
        <v>289</v>
      </c>
      <c r="B570" s="16">
        <v>906</v>
      </c>
      <c r="C570" s="20" t="s">
        <v>279</v>
      </c>
      <c r="D570" s="20" t="s">
        <v>228</v>
      </c>
      <c r="E570" s="20" t="s">
        <v>457</v>
      </c>
      <c r="F570" s="20" t="s">
        <v>290</v>
      </c>
      <c r="G570" s="26">
        <f>341+2968</f>
        <v>3309</v>
      </c>
      <c r="H570" s="120"/>
    </row>
    <row r="571" spans="1:8" ht="31.5" hidden="1" x14ac:dyDescent="0.25">
      <c r="A571" s="25" t="s">
        <v>295</v>
      </c>
      <c r="B571" s="16">
        <v>906</v>
      </c>
      <c r="C571" s="20" t="s">
        <v>279</v>
      </c>
      <c r="D571" s="20" t="s">
        <v>228</v>
      </c>
      <c r="E571" s="20" t="s">
        <v>458</v>
      </c>
      <c r="F571" s="20"/>
      <c r="G571" s="26">
        <f>G572</f>
        <v>0</v>
      </c>
      <c r="H571" s="177"/>
    </row>
    <row r="572" spans="1:8" ht="47.25" hidden="1" x14ac:dyDescent="0.25">
      <c r="A572" s="25" t="s">
        <v>287</v>
      </c>
      <c r="B572" s="16">
        <v>906</v>
      </c>
      <c r="C572" s="20" t="s">
        <v>279</v>
      </c>
      <c r="D572" s="20" t="s">
        <v>228</v>
      </c>
      <c r="E572" s="20" t="s">
        <v>458</v>
      </c>
      <c r="F572" s="20" t="s">
        <v>288</v>
      </c>
      <c r="G572" s="26">
        <f>G573</f>
        <v>0</v>
      </c>
      <c r="H572" s="177"/>
    </row>
    <row r="573" spans="1:8" ht="15.75" hidden="1" x14ac:dyDescent="0.25">
      <c r="A573" s="25" t="s">
        <v>289</v>
      </c>
      <c r="B573" s="16">
        <v>906</v>
      </c>
      <c r="C573" s="20" t="s">
        <v>279</v>
      </c>
      <c r="D573" s="20" t="s">
        <v>228</v>
      </c>
      <c r="E573" s="20" t="s">
        <v>458</v>
      </c>
      <c r="F573" s="20" t="s">
        <v>290</v>
      </c>
      <c r="G573" s="26">
        <v>0</v>
      </c>
      <c r="H573" s="177"/>
    </row>
    <row r="574" spans="1:8" ht="47.25" x14ac:dyDescent="0.25">
      <c r="A574" s="25" t="s">
        <v>297</v>
      </c>
      <c r="B574" s="16">
        <v>906</v>
      </c>
      <c r="C574" s="20" t="s">
        <v>279</v>
      </c>
      <c r="D574" s="20" t="s">
        <v>228</v>
      </c>
      <c r="E574" s="20" t="s">
        <v>459</v>
      </c>
      <c r="F574" s="20"/>
      <c r="G574" s="26">
        <f>G575</f>
        <v>127</v>
      </c>
      <c r="H574" s="177"/>
    </row>
    <row r="575" spans="1:8" ht="47.25" x14ac:dyDescent="0.25">
      <c r="A575" s="25" t="s">
        <v>287</v>
      </c>
      <c r="B575" s="16">
        <v>906</v>
      </c>
      <c r="C575" s="20" t="s">
        <v>279</v>
      </c>
      <c r="D575" s="20" t="s">
        <v>228</v>
      </c>
      <c r="E575" s="20" t="s">
        <v>459</v>
      </c>
      <c r="F575" s="20" t="s">
        <v>288</v>
      </c>
      <c r="G575" s="26">
        <f>G576</f>
        <v>127</v>
      </c>
      <c r="H575" s="177"/>
    </row>
    <row r="576" spans="1:8" ht="15.75" x14ac:dyDescent="0.25">
      <c r="A576" s="25" t="s">
        <v>289</v>
      </c>
      <c r="B576" s="16">
        <v>906</v>
      </c>
      <c r="C576" s="20" t="s">
        <v>279</v>
      </c>
      <c r="D576" s="20" t="s">
        <v>228</v>
      </c>
      <c r="E576" s="20" t="s">
        <v>459</v>
      </c>
      <c r="F576" s="20" t="s">
        <v>290</v>
      </c>
      <c r="G576" s="26">
        <v>127</v>
      </c>
      <c r="H576" s="177"/>
    </row>
    <row r="577" spans="1:12" ht="31.5" x14ac:dyDescent="0.25">
      <c r="A577" s="25" t="s">
        <v>299</v>
      </c>
      <c r="B577" s="16">
        <v>906</v>
      </c>
      <c r="C577" s="20" t="s">
        <v>279</v>
      </c>
      <c r="D577" s="20" t="s">
        <v>228</v>
      </c>
      <c r="E577" s="20" t="s">
        <v>460</v>
      </c>
      <c r="F577" s="20"/>
      <c r="G577" s="26">
        <f>G578</f>
        <v>229.4</v>
      </c>
      <c r="H577" s="177"/>
    </row>
    <row r="578" spans="1:12" ht="47.25" x14ac:dyDescent="0.25">
      <c r="A578" s="25" t="s">
        <v>287</v>
      </c>
      <c r="B578" s="16">
        <v>906</v>
      </c>
      <c r="C578" s="20" t="s">
        <v>279</v>
      </c>
      <c r="D578" s="20" t="s">
        <v>228</v>
      </c>
      <c r="E578" s="20" t="s">
        <v>460</v>
      </c>
      <c r="F578" s="20" t="s">
        <v>288</v>
      </c>
      <c r="G578" s="26">
        <f>G579</f>
        <v>229.4</v>
      </c>
      <c r="H578" s="177"/>
    </row>
    <row r="579" spans="1:12" ht="15.75" x14ac:dyDescent="0.25">
      <c r="A579" s="25" t="s">
        <v>289</v>
      </c>
      <c r="B579" s="16">
        <v>906</v>
      </c>
      <c r="C579" s="20" t="s">
        <v>279</v>
      </c>
      <c r="D579" s="20" t="s">
        <v>228</v>
      </c>
      <c r="E579" s="20" t="s">
        <v>460</v>
      </c>
      <c r="F579" s="20" t="s">
        <v>290</v>
      </c>
      <c r="G579" s="26">
        <v>229.4</v>
      </c>
      <c r="H579" s="106"/>
      <c r="I579" s="124"/>
    </row>
    <row r="580" spans="1:12" ht="15.75" x14ac:dyDescent="0.25">
      <c r="A580" s="25" t="s">
        <v>136</v>
      </c>
      <c r="B580" s="16">
        <v>906</v>
      </c>
      <c r="C580" s="20" t="s">
        <v>279</v>
      </c>
      <c r="D580" s="20" t="s">
        <v>228</v>
      </c>
      <c r="E580" s="20" t="s">
        <v>137</v>
      </c>
      <c r="F580" s="20"/>
      <c r="G580" s="26">
        <f>G581</f>
        <v>89857.8</v>
      </c>
      <c r="H580" s="177"/>
    </row>
    <row r="581" spans="1:12" ht="31.5" x14ac:dyDescent="0.25">
      <c r="A581" s="25" t="s">
        <v>200</v>
      </c>
      <c r="B581" s="16">
        <v>906</v>
      </c>
      <c r="C581" s="20" t="s">
        <v>279</v>
      </c>
      <c r="D581" s="20" t="s">
        <v>228</v>
      </c>
      <c r="E581" s="20" t="s">
        <v>201</v>
      </c>
      <c r="F581" s="20"/>
      <c r="G581" s="26">
        <f>G588+G591+G597+G600+G603+G606+G582+G585+G609+G594</f>
        <v>89857.8</v>
      </c>
      <c r="H581" s="177"/>
    </row>
    <row r="582" spans="1:12" ht="47.25" hidden="1" x14ac:dyDescent="0.25">
      <c r="A582" s="25" t="s">
        <v>465</v>
      </c>
      <c r="B582" s="16">
        <v>906</v>
      </c>
      <c r="C582" s="20" t="s">
        <v>279</v>
      </c>
      <c r="D582" s="20" t="s">
        <v>228</v>
      </c>
      <c r="E582" s="20" t="s">
        <v>466</v>
      </c>
      <c r="F582" s="20"/>
      <c r="G582" s="26">
        <f>G583</f>
        <v>0</v>
      </c>
      <c r="H582" s="177"/>
    </row>
    <row r="583" spans="1:12" ht="47.25" hidden="1" x14ac:dyDescent="0.25">
      <c r="A583" s="25" t="s">
        <v>287</v>
      </c>
      <c r="B583" s="16">
        <v>906</v>
      </c>
      <c r="C583" s="20" t="s">
        <v>279</v>
      </c>
      <c r="D583" s="20" t="s">
        <v>228</v>
      </c>
      <c r="E583" s="20" t="s">
        <v>466</v>
      </c>
      <c r="F583" s="20" t="s">
        <v>288</v>
      </c>
      <c r="G583" s="26">
        <f>G584</f>
        <v>0</v>
      </c>
      <c r="H583" s="177"/>
    </row>
    <row r="584" spans="1:12" ht="15.75" hidden="1" x14ac:dyDescent="0.25">
      <c r="A584" s="25" t="s">
        <v>289</v>
      </c>
      <c r="B584" s="16">
        <v>906</v>
      </c>
      <c r="C584" s="20" t="s">
        <v>279</v>
      </c>
      <c r="D584" s="20" t="s">
        <v>228</v>
      </c>
      <c r="E584" s="20" t="s">
        <v>466</v>
      </c>
      <c r="F584" s="20" t="s">
        <v>290</v>
      </c>
      <c r="G584" s="26">
        <v>0</v>
      </c>
      <c r="H584" s="177"/>
    </row>
    <row r="585" spans="1:12" ht="15.75" hidden="1" x14ac:dyDescent="0.25">
      <c r="A585" s="25" t="s">
        <v>467</v>
      </c>
      <c r="B585" s="16">
        <v>906</v>
      </c>
      <c r="C585" s="20" t="s">
        <v>279</v>
      </c>
      <c r="D585" s="20" t="s">
        <v>228</v>
      </c>
      <c r="E585" s="20" t="s">
        <v>468</v>
      </c>
      <c r="F585" s="20"/>
      <c r="G585" s="26">
        <f>G586</f>
        <v>0</v>
      </c>
      <c r="H585" s="177"/>
    </row>
    <row r="586" spans="1:12" ht="47.25" hidden="1" x14ac:dyDescent="0.25">
      <c r="A586" s="25" t="s">
        <v>287</v>
      </c>
      <c r="B586" s="16">
        <v>906</v>
      </c>
      <c r="C586" s="20" t="s">
        <v>279</v>
      </c>
      <c r="D586" s="20" t="s">
        <v>228</v>
      </c>
      <c r="E586" s="20" t="s">
        <v>468</v>
      </c>
      <c r="F586" s="20" t="s">
        <v>288</v>
      </c>
      <c r="G586" s="26">
        <f>G587</f>
        <v>0</v>
      </c>
      <c r="H586" s="177"/>
    </row>
    <row r="587" spans="1:12" ht="15.75" hidden="1" x14ac:dyDescent="0.25">
      <c r="A587" s="25" t="s">
        <v>289</v>
      </c>
      <c r="B587" s="16">
        <v>906</v>
      </c>
      <c r="C587" s="20" t="s">
        <v>279</v>
      </c>
      <c r="D587" s="20" t="s">
        <v>228</v>
      </c>
      <c r="E587" s="20" t="s">
        <v>468</v>
      </c>
      <c r="F587" s="20" t="s">
        <v>290</v>
      </c>
      <c r="G587" s="27">
        <v>0</v>
      </c>
      <c r="H587" s="177"/>
    </row>
    <row r="588" spans="1:12" ht="31.5" hidden="1" x14ac:dyDescent="0.25">
      <c r="A588" s="25" t="s">
        <v>469</v>
      </c>
      <c r="B588" s="16">
        <v>906</v>
      </c>
      <c r="C588" s="20" t="s">
        <v>279</v>
      </c>
      <c r="D588" s="20" t="s">
        <v>228</v>
      </c>
      <c r="E588" s="20" t="s">
        <v>470</v>
      </c>
      <c r="F588" s="20"/>
      <c r="G588" s="26">
        <f>G589</f>
        <v>0</v>
      </c>
      <c r="H588" s="177"/>
    </row>
    <row r="589" spans="1:12" ht="47.25" hidden="1" x14ac:dyDescent="0.25">
      <c r="A589" s="25" t="s">
        <v>287</v>
      </c>
      <c r="B589" s="16">
        <v>906</v>
      </c>
      <c r="C589" s="20" t="s">
        <v>279</v>
      </c>
      <c r="D589" s="20" t="s">
        <v>228</v>
      </c>
      <c r="E589" s="20" t="s">
        <v>470</v>
      </c>
      <c r="F589" s="20" t="s">
        <v>288</v>
      </c>
      <c r="G589" s="26">
        <f>G590</f>
        <v>0</v>
      </c>
      <c r="H589" s="177"/>
    </row>
    <row r="590" spans="1:12" ht="15.75" hidden="1" x14ac:dyDescent="0.25">
      <c r="A590" s="25" t="s">
        <v>289</v>
      </c>
      <c r="B590" s="16">
        <v>906</v>
      </c>
      <c r="C590" s="20" t="s">
        <v>279</v>
      </c>
      <c r="D590" s="20" t="s">
        <v>228</v>
      </c>
      <c r="E590" s="20" t="s">
        <v>470</v>
      </c>
      <c r="F590" s="20" t="s">
        <v>290</v>
      </c>
      <c r="G590" s="26">
        <f>157.3-157.3</f>
        <v>0</v>
      </c>
      <c r="H590" s="177"/>
      <c r="I590" s="115"/>
    </row>
    <row r="591" spans="1:12" ht="31.5" x14ac:dyDescent="0.25">
      <c r="A591" s="25" t="s">
        <v>471</v>
      </c>
      <c r="B591" s="16">
        <v>906</v>
      </c>
      <c r="C591" s="20" t="s">
        <v>279</v>
      </c>
      <c r="D591" s="20" t="s">
        <v>228</v>
      </c>
      <c r="E591" s="20" t="s">
        <v>472</v>
      </c>
      <c r="F591" s="20"/>
      <c r="G591" s="26">
        <f>G592</f>
        <v>1293.5999999999999</v>
      </c>
      <c r="H591" s="177"/>
    </row>
    <row r="592" spans="1:12" ht="47.25" x14ac:dyDescent="0.25">
      <c r="A592" s="25" t="s">
        <v>287</v>
      </c>
      <c r="B592" s="16">
        <v>906</v>
      </c>
      <c r="C592" s="20" t="s">
        <v>279</v>
      </c>
      <c r="D592" s="20" t="s">
        <v>228</v>
      </c>
      <c r="E592" s="20" t="s">
        <v>472</v>
      </c>
      <c r="F592" s="20" t="s">
        <v>288</v>
      </c>
      <c r="G592" s="26">
        <f>G593</f>
        <v>1293.5999999999999</v>
      </c>
      <c r="H592" s="177"/>
      <c r="L592" s="116"/>
    </row>
    <row r="593" spans="1:9" ht="15.75" x14ac:dyDescent="0.25">
      <c r="A593" s="25" t="s">
        <v>289</v>
      </c>
      <c r="B593" s="16">
        <v>906</v>
      </c>
      <c r="C593" s="20" t="s">
        <v>279</v>
      </c>
      <c r="D593" s="20" t="s">
        <v>228</v>
      </c>
      <c r="E593" s="20" t="s">
        <v>472</v>
      </c>
      <c r="F593" s="20" t="s">
        <v>290</v>
      </c>
      <c r="G593" s="27">
        <f>1572.5-278.9</f>
        <v>1293.5999999999999</v>
      </c>
      <c r="H593" s="177"/>
      <c r="I593" s="115"/>
    </row>
    <row r="594" spans="1:9" ht="47.25" x14ac:dyDescent="0.25">
      <c r="A594" s="25" t="s">
        <v>473</v>
      </c>
      <c r="B594" s="16">
        <v>906</v>
      </c>
      <c r="C594" s="20" t="s">
        <v>279</v>
      </c>
      <c r="D594" s="20" t="s">
        <v>228</v>
      </c>
      <c r="E594" s="20" t="s">
        <v>474</v>
      </c>
      <c r="F594" s="20"/>
      <c r="G594" s="27">
        <f>G595</f>
        <v>488.7</v>
      </c>
      <c r="H594" s="177"/>
    </row>
    <row r="595" spans="1:9" ht="47.25" x14ac:dyDescent="0.25">
      <c r="A595" s="25" t="s">
        <v>287</v>
      </c>
      <c r="B595" s="16">
        <v>906</v>
      </c>
      <c r="C595" s="20" t="s">
        <v>279</v>
      </c>
      <c r="D595" s="20" t="s">
        <v>228</v>
      </c>
      <c r="E595" s="20" t="s">
        <v>474</v>
      </c>
      <c r="F595" s="20" t="s">
        <v>288</v>
      </c>
      <c r="G595" s="27">
        <f>G596</f>
        <v>488.7</v>
      </c>
      <c r="H595" s="177"/>
    </row>
    <row r="596" spans="1:9" ht="15.75" x14ac:dyDescent="0.25">
      <c r="A596" s="25" t="s">
        <v>289</v>
      </c>
      <c r="B596" s="16">
        <v>906</v>
      </c>
      <c r="C596" s="20" t="s">
        <v>279</v>
      </c>
      <c r="D596" s="20" t="s">
        <v>228</v>
      </c>
      <c r="E596" s="20" t="s">
        <v>474</v>
      </c>
      <c r="F596" s="20" t="s">
        <v>290</v>
      </c>
      <c r="G596" s="27">
        <f>733.5-244.8</f>
        <v>488.7</v>
      </c>
      <c r="H596" s="177"/>
      <c r="I596" s="115"/>
    </row>
    <row r="597" spans="1:9" ht="94.5" x14ac:dyDescent="0.25">
      <c r="A597" s="31" t="s">
        <v>475</v>
      </c>
      <c r="B597" s="16">
        <v>906</v>
      </c>
      <c r="C597" s="20" t="s">
        <v>279</v>
      </c>
      <c r="D597" s="20" t="s">
        <v>228</v>
      </c>
      <c r="E597" s="20" t="s">
        <v>476</v>
      </c>
      <c r="F597" s="20"/>
      <c r="G597" s="26">
        <f>G598</f>
        <v>79753.600000000006</v>
      </c>
      <c r="H597" s="177"/>
    </row>
    <row r="598" spans="1:9" ht="47.25" x14ac:dyDescent="0.25">
      <c r="A598" s="25" t="s">
        <v>287</v>
      </c>
      <c r="B598" s="16">
        <v>906</v>
      </c>
      <c r="C598" s="20" t="s">
        <v>279</v>
      </c>
      <c r="D598" s="20" t="s">
        <v>228</v>
      </c>
      <c r="E598" s="20" t="s">
        <v>476</v>
      </c>
      <c r="F598" s="20" t="s">
        <v>288</v>
      </c>
      <c r="G598" s="26">
        <f>G599</f>
        <v>79753.600000000006</v>
      </c>
      <c r="H598" s="177"/>
    </row>
    <row r="599" spans="1:9" ht="15.75" x14ac:dyDescent="0.25">
      <c r="A599" s="25" t="s">
        <v>289</v>
      </c>
      <c r="B599" s="16">
        <v>906</v>
      </c>
      <c r="C599" s="20" t="s">
        <v>279</v>
      </c>
      <c r="D599" s="20" t="s">
        <v>228</v>
      </c>
      <c r="E599" s="20" t="s">
        <v>476</v>
      </c>
      <c r="F599" s="20" t="s">
        <v>290</v>
      </c>
      <c r="G599" s="27">
        <f>93568.6-13815</f>
        <v>79753.600000000006</v>
      </c>
      <c r="H599" s="177"/>
      <c r="I599" s="115"/>
    </row>
    <row r="600" spans="1:9" ht="63" x14ac:dyDescent="0.25">
      <c r="A600" s="31" t="s">
        <v>304</v>
      </c>
      <c r="B600" s="16">
        <v>906</v>
      </c>
      <c r="C600" s="20" t="s">
        <v>279</v>
      </c>
      <c r="D600" s="20" t="s">
        <v>228</v>
      </c>
      <c r="E600" s="20" t="s">
        <v>305</v>
      </c>
      <c r="F600" s="20"/>
      <c r="G600" s="26">
        <f>G601</f>
        <v>910.90000000000009</v>
      </c>
      <c r="H600" s="177"/>
    </row>
    <row r="601" spans="1:9" ht="47.25" x14ac:dyDescent="0.25">
      <c r="A601" s="25" t="s">
        <v>287</v>
      </c>
      <c r="B601" s="16">
        <v>906</v>
      </c>
      <c r="C601" s="20" t="s">
        <v>279</v>
      </c>
      <c r="D601" s="20" t="s">
        <v>228</v>
      </c>
      <c r="E601" s="20" t="s">
        <v>305</v>
      </c>
      <c r="F601" s="20" t="s">
        <v>288</v>
      </c>
      <c r="G601" s="26">
        <f>G602</f>
        <v>910.90000000000009</v>
      </c>
      <c r="H601" s="177"/>
    </row>
    <row r="602" spans="1:9" ht="15.75" x14ac:dyDescent="0.25">
      <c r="A602" s="25" t="s">
        <v>289</v>
      </c>
      <c r="B602" s="16">
        <v>906</v>
      </c>
      <c r="C602" s="20" t="s">
        <v>279</v>
      </c>
      <c r="D602" s="20" t="s">
        <v>228</v>
      </c>
      <c r="E602" s="20" t="s">
        <v>305</v>
      </c>
      <c r="F602" s="20" t="s">
        <v>290</v>
      </c>
      <c r="G602" s="27">
        <f>1101.7-190.8</f>
        <v>910.90000000000009</v>
      </c>
      <c r="H602" s="177"/>
      <c r="I602" s="115"/>
    </row>
    <row r="603" spans="1:9" ht="78.75" x14ac:dyDescent="0.25">
      <c r="A603" s="31" t="s">
        <v>306</v>
      </c>
      <c r="B603" s="16">
        <v>906</v>
      </c>
      <c r="C603" s="20" t="s">
        <v>279</v>
      </c>
      <c r="D603" s="20" t="s">
        <v>228</v>
      </c>
      <c r="E603" s="20" t="s">
        <v>307</v>
      </c>
      <c r="F603" s="20"/>
      <c r="G603" s="26">
        <f>G604</f>
        <v>2155.5</v>
      </c>
      <c r="H603" s="177"/>
    </row>
    <row r="604" spans="1:9" ht="47.25" x14ac:dyDescent="0.25">
      <c r="A604" s="25" t="s">
        <v>287</v>
      </c>
      <c r="B604" s="16">
        <v>906</v>
      </c>
      <c r="C604" s="20" t="s">
        <v>279</v>
      </c>
      <c r="D604" s="20" t="s">
        <v>228</v>
      </c>
      <c r="E604" s="20" t="s">
        <v>307</v>
      </c>
      <c r="F604" s="20" t="s">
        <v>288</v>
      </c>
      <c r="G604" s="26">
        <f>G605</f>
        <v>2155.5</v>
      </c>
      <c r="H604" s="177"/>
    </row>
    <row r="605" spans="1:9" ht="15.75" x14ac:dyDescent="0.25">
      <c r="A605" s="25" t="s">
        <v>289</v>
      </c>
      <c r="B605" s="16">
        <v>906</v>
      </c>
      <c r="C605" s="20" t="s">
        <v>279</v>
      </c>
      <c r="D605" s="20" t="s">
        <v>228</v>
      </c>
      <c r="E605" s="20" t="s">
        <v>307</v>
      </c>
      <c r="F605" s="20" t="s">
        <v>290</v>
      </c>
      <c r="G605" s="27">
        <f>2823.2-667.7</f>
        <v>2155.5</v>
      </c>
      <c r="H605" s="177"/>
      <c r="I605" s="115"/>
    </row>
    <row r="606" spans="1:9" ht="47.25" x14ac:dyDescent="0.25">
      <c r="A606" s="31" t="s">
        <v>477</v>
      </c>
      <c r="B606" s="16">
        <v>906</v>
      </c>
      <c r="C606" s="20" t="s">
        <v>279</v>
      </c>
      <c r="D606" s="20" t="s">
        <v>228</v>
      </c>
      <c r="E606" s="20" t="s">
        <v>478</v>
      </c>
      <c r="F606" s="20"/>
      <c r="G606" s="26">
        <f>G607</f>
        <v>886.5</v>
      </c>
      <c r="H606" s="177"/>
    </row>
    <row r="607" spans="1:9" ht="47.25" x14ac:dyDescent="0.25">
      <c r="A607" s="25" t="s">
        <v>287</v>
      </c>
      <c r="B607" s="16">
        <v>906</v>
      </c>
      <c r="C607" s="20" t="s">
        <v>279</v>
      </c>
      <c r="D607" s="20" t="s">
        <v>228</v>
      </c>
      <c r="E607" s="20" t="s">
        <v>478</v>
      </c>
      <c r="F607" s="20" t="s">
        <v>288</v>
      </c>
      <c r="G607" s="26">
        <f>G608</f>
        <v>886.5</v>
      </c>
      <c r="H607" s="177"/>
    </row>
    <row r="608" spans="1:9" ht="15.75" x14ac:dyDescent="0.25">
      <c r="A608" s="25" t="s">
        <v>289</v>
      </c>
      <c r="B608" s="16">
        <v>906</v>
      </c>
      <c r="C608" s="20" t="s">
        <v>279</v>
      </c>
      <c r="D608" s="20" t="s">
        <v>228</v>
      </c>
      <c r="E608" s="20" t="s">
        <v>478</v>
      </c>
      <c r="F608" s="20" t="s">
        <v>290</v>
      </c>
      <c r="G608" s="27">
        <f>998.4-111.9</f>
        <v>886.5</v>
      </c>
      <c r="H608" s="177"/>
      <c r="I608" s="115"/>
    </row>
    <row r="609" spans="1:9" ht="110.25" x14ac:dyDescent="0.25">
      <c r="A609" s="31" t="s">
        <v>479</v>
      </c>
      <c r="B609" s="16">
        <v>906</v>
      </c>
      <c r="C609" s="20" t="s">
        <v>279</v>
      </c>
      <c r="D609" s="20" t="s">
        <v>228</v>
      </c>
      <c r="E609" s="20" t="s">
        <v>309</v>
      </c>
      <c r="F609" s="20"/>
      <c r="G609" s="26">
        <f>G610</f>
        <v>4369</v>
      </c>
      <c r="H609" s="177"/>
    </row>
    <row r="610" spans="1:9" ht="47.25" x14ac:dyDescent="0.25">
      <c r="A610" s="25" t="s">
        <v>287</v>
      </c>
      <c r="B610" s="16">
        <v>906</v>
      </c>
      <c r="C610" s="20" t="s">
        <v>279</v>
      </c>
      <c r="D610" s="20" t="s">
        <v>228</v>
      </c>
      <c r="E610" s="20" t="s">
        <v>309</v>
      </c>
      <c r="F610" s="20" t="s">
        <v>288</v>
      </c>
      <c r="G610" s="26">
        <f>G611</f>
        <v>4369</v>
      </c>
      <c r="H610" s="177"/>
    </row>
    <row r="611" spans="1:9" ht="15.75" x14ac:dyDescent="0.25">
      <c r="A611" s="25" t="s">
        <v>289</v>
      </c>
      <c r="B611" s="16">
        <v>906</v>
      </c>
      <c r="C611" s="20" t="s">
        <v>279</v>
      </c>
      <c r="D611" s="20" t="s">
        <v>228</v>
      </c>
      <c r="E611" s="20" t="s">
        <v>309</v>
      </c>
      <c r="F611" s="20" t="s">
        <v>290</v>
      </c>
      <c r="G611" s="27">
        <f>5441.9-1072.9</f>
        <v>4369</v>
      </c>
      <c r="H611" s="177"/>
      <c r="I611" s="115"/>
    </row>
    <row r="612" spans="1:9" ht="15.75" x14ac:dyDescent="0.25">
      <c r="A612" s="23" t="s">
        <v>280</v>
      </c>
      <c r="B612" s="19">
        <v>906</v>
      </c>
      <c r="C612" s="24" t="s">
        <v>279</v>
      </c>
      <c r="D612" s="24" t="s">
        <v>230</v>
      </c>
      <c r="E612" s="24"/>
      <c r="F612" s="24"/>
      <c r="G612" s="44">
        <f>G613+G622</f>
        <v>23062.100000000002</v>
      </c>
      <c r="H612" s="177"/>
      <c r="I612" s="115"/>
    </row>
    <row r="613" spans="1:9" ht="47.25" x14ac:dyDescent="0.25">
      <c r="A613" s="25" t="s">
        <v>441</v>
      </c>
      <c r="B613" s="16">
        <v>906</v>
      </c>
      <c r="C613" s="20" t="s">
        <v>279</v>
      </c>
      <c r="D613" s="20" t="s">
        <v>230</v>
      </c>
      <c r="E613" s="20" t="s">
        <v>421</v>
      </c>
      <c r="F613" s="20"/>
      <c r="G613" s="27">
        <f>G614+G620</f>
        <v>21479.9</v>
      </c>
      <c r="H613" s="177"/>
      <c r="I613" s="115"/>
    </row>
    <row r="614" spans="1:9" ht="47.25" x14ac:dyDescent="0.25">
      <c r="A614" s="25" t="s">
        <v>422</v>
      </c>
      <c r="B614" s="16">
        <v>906</v>
      </c>
      <c r="C614" s="20" t="s">
        <v>279</v>
      </c>
      <c r="D614" s="20" t="s">
        <v>230</v>
      </c>
      <c r="E614" s="20" t="s">
        <v>423</v>
      </c>
      <c r="F614" s="20"/>
      <c r="G614" s="27">
        <f>G615</f>
        <v>21124</v>
      </c>
      <c r="H614" s="177"/>
      <c r="I614" s="115"/>
    </row>
    <row r="615" spans="1:9" ht="47.25" x14ac:dyDescent="0.25">
      <c r="A615" s="25" t="s">
        <v>285</v>
      </c>
      <c r="B615" s="16">
        <v>906</v>
      </c>
      <c r="C615" s="20" t="s">
        <v>279</v>
      </c>
      <c r="D615" s="20" t="s">
        <v>230</v>
      </c>
      <c r="E615" s="20" t="s">
        <v>444</v>
      </c>
      <c r="F615" s="20"/>
      <c r="G615" s="27">
        <f>G616</f>
        <v>21124</v>
      </c>
      <c r="H615" s="177"/>
      <c r="I615" s="115"/>
    </row>
    <row r="616" spans="1:9" ht="47.25" x14ac:dyDescent="0.25">
      <c r="A616" s="25" t="s">
        <v>287</v>
      </c>
      <c r="B616" s="16">
        <v>906</v>
      </c>
      <c r="C616" s="20" t="s">
        <v>279</v>
      </c>
      <c r="D616" s="20" t="s">
        <v>230</v>
      </c>
      <c r="E616" s="20" t="s">
        <v>444</v>
      </c>
      <c r="F616" s="20" t="s">
        <v>288</v>
      </c>
      <c r="G616" s="27">
        <f>G617</f>
        <v>21124</v>
      </c>
      <c r="H616" s="177"/>
      <c r="I616" s="115"/>
    </row>
    <row r="617" spans="1:9" ht="15.75" x14ac:dyDescent="0.25">
      <c r="A617" s="25" t="s">
        <v>289</v>
      </c>
      <c r="B617" s="16">
        <v>906</v>
      </c>
      <c r="C617" s="20" t="s">
        <v>279</v>
      </c>
      <c r="D617" s="20" t="s">
        <v>230</v>
      </c>
      <c r="E617" s="20" t="s">
        <v>444</v>
      </c>
      <c r="F617" s="20" t="s">
        <v>290</v>
      </c>
      <c r="G617" s="27">
        <f>21044+80</f>
        <v>21124</v>
      </c>
      <c r="H617" s="106"/>
      <c r="I617" s="125"/>
    </row>
    <row r="618" spans="1:9" ht="47.25" x14ac:dyDescent="0.25">
      <c r="A618" s="31" t="s">
        <v>719</v>
      </c>
      <c r="B618" s="16">
        <v>906</v>
      </c>
      <c r="C618" s="20" t="s">
        <v>279</v>
      </c>
      <c r="D618" s="20" t="s">
        <v>230</v>
      </c>
      <c r="E618" s="20" t="s">
        <v>462</v>
      </c>
      <c r="F618" s="20"/>
      <c r="G618" s="27">
        <f>G619</f>
        <v>355.9</v>
      </c>
      <c r="H618" s="177"/>
      <c r="I618" s="115"/>
    </row>
    <row r="619" spans="1:9" ht="31.5" x14ac:dyDescent="0.25">
      <c r="A619" s="45" t="s">
        <v>720</v>
      </c>
      <c r="B619" s="16">
        <v>906</v>
      </c>
      <c r="C619" s="20" t="s">
        <v>279</v>
      </c>
      <c r="D619" s="20" t="s">
        <v>230</v>
      </c>
      <c r="E619" s="20" t="s">
        <v>721</v>
      </c>
      <c r="F619" s="20"/>
      <c r="G619" s="27">
        <f>G620</f>
        <v>355.9</v>
      </c>
      <c r="H619" s="177"/>
      <c r="I619" s="115"/>
    </row>
    <row r="620" spans="1:9" ht="47.25" x14ac:dyDescent="0.25">
      <c r="A620" s="31" t="s">
        <v>287</v>
      </c>
      <c r="B620" s="16">
        <v>906</v>
      </c>
      <c r="C620" s="20" t="s">
        <v>279</v>
      </c>
      <c r="D620" s="20" t="s">
        <v>230</v>
      </c>
      <c r="E620" s="20" t="s">
        <v>721</v>
      </c>
      <c r="F620" s="20" t="s">
        <v>288</v>
      </c>
      <c r="G620" s="27">
        <f>G621</f>
        <v>355.9</v>
      </c>
      <c r="H620" s="106"/>
      <c r="I620" s="115"/>
    </row>
    <row r="621" spans="1:9" ht="15.75" x14ac:dyDescent="0.25">
      <c r="A621" s="31" t="s">
        <v>289</v>
      </c>
      <c r="B621" s="16">
        <v>906</v>
      </c>
      <c r="C621" s="20" t="s">
        <v>279</v>
      </c>
      <c r="D621" s="20" t="s">
        <v>230</v>
      </c>
      <c r="E621" s="20" t="s">
        <v>721</v>
      </c>
      <c r="F621" s="20" t="s">
        <v>290</v>
      </c>
      <c r="G621" s="27">
        <v>355.9</v>
      </c>
      <c r="H621" s="177"/>
      <c r="I621" s="115"/>
    </row>
    <row r="622" spans="1:9" ht="15.75" x14ac:dyDescent="0.25">
      <c r="A622" s="25" t="s">
        <v>480</v>
      </c>
      <c r="B622" s="16">
        <v>906</v>
      </c>
      <c r="C622" s="20" t="s">
        <v>279</v>
      </c>
      <c r="D622" s="20" t="s">
        <v>230</v>
      </c>
      <c r="E622" s="20" t="s">
        <v>137</v>
      </c>
      <c r="F622" s="20"/>
      <c r="G622" s="27">
        <f>G623</f>
        <v>1582.2</v>
      </c>
      <c r="H622" s="177"/>
      <c r="I622" s="115"/>
    </row>
    <row r="623" spans="1:9" ht="31.5" x14ac:dyDescent="0.25">
      <c r="A623" s="25" t="s">
        <v>200</v>
      </c>
      <c r="B623" s="16">
        <v>906</v>
      </c>
      <c r="C623" s="20" t="s">
        <v>279</v>
      </c>
      <c r="D623" s="20" t="s">
        <v>230</v>
      </c>
      <c r="E623" s="20" t="s">
        <v>201</v>
      </c>
      <c r="F623" s="20"/>
      <c r="G623" s="27">
        <f>G624+G627+G630</f>
        <v>1582.2</v>
      </c>
      <c r="H623" s="177"/>
      <c r="I623" s="115"/>
    </row>
    <row r="624" spans="1:9" ht="63" x14ac:dyDescent="0.25">
      <c r="A624" s="31" t="s">
        <v>304</v>
      </c>
      <c r="B624" s="16">
        <v>906</v>
      </c>
      <c r="C624" s="20" t="s">
        <v>279</v>
      </c>
      <c r="D624" s="20" t="s">
        <v>230</v>
      </c>
      <c r="E624" s="20" t="s">
        <v>305</v>
      </c>
      <c r="F624" s="20"/>
      <c r="G624" s="27">
        <f>G625</f>
        <v>110</v>
      </c>
      <c r="H624" s="177"/>
      <c r="I624" s="115"/>
    </row>
    <row r="625" spans="1:9" ht="47.25" x14ac:dyDescent="0.25">
      <c r="A625" s="25" t="s">
        <v>287</v>
      </c>
      <c r="B625" s="16">
        <v>906</v>
      </c>
      <c r="C625" s="20" t="s">
        <v>279</v>
      </c>
      <c r="D625" s="20" t="s">
        <v>230</v>
      </c>
      <c r="E625" s="20" t="s">
        <v>305</v>
      </c>
      <c r="F625" s="20" t="s">
        <v>288</v>
      </c>
      <c r="G625" s="27">
        <f>G626</f>
        <v>110</v>
      </c>
      <c r="H625" s="177"/>
      <c r="I625" s="115"/>
    </row>
    <row r="626" spans="1:9" ht="15.75" x14ac:dyDescent="0.25">
      <c r="A626" s="25" t="s">
        <v>289</v>
      </c>
      <c r="B626" s="16">
        <v>906</v>
      </c>
      <c r="C626" s="20" t="s">
        <v>279</v>
      </c>
      <c r="D626" s="20" t="s">
        <v>230</v>
      </c>
      <c r="E626" s="20" t="s">
        <v>305</v>
      </c>
      <c r="F626" s="20" t="s">
        <v>290</v>
      </c>
      <c r="G626" s="27">
        <v>110</v>
      </c>
      <c r="H626" s="177"/>
      <c r="I626" s="115"/>
    </row>
    <row r="627" spans="1:9" ht="78.75" x14ac:dyDescent="0.25">
      <c r="A627" s="31" t="s">
        <v>306</v>
      </c>
      <c r="B627" s="16">
        <v>906</v>
      </c>
      <c r="C627" s="20" t="s">
        <v>279</v>
      </c>
      <c r="D627" s="20" t="s">
        <v>230</v>
      </c>
      <c r="E627" s="20" t="s">
        <v>307</v>
      </c>
      <c r="F627" s="20"/>
      <c r="G627" s="27">
        <f>G628</f>
        <v>572.20000000000005</v>
      </c>
      <c r="H627" s="177"/>
      <c r="I627" s="115"/>
    </row>
    <row r="628" spans="1:9" ht="47.25" x14ac:dyDescent="0.25">
      <c r="A628" s="25" t="s">
        <v>287</v>
      </c>
      <c r="B628" s="16">
        <v>906</v>
      </c>
      <c r="C628" s="20" t="s">
        <v>279</v>
      </c>
      <c r="D628" s="20" t="s">
        <v>230</v>
      </c>
      <c r="E628" s="20" t="s">
        <v>307</v>
      </c>
      <c r="F628" s="20" t="s">
        <v>288</v>
      </c>
      <c r="G628" s="27">
        <f>G629</f>
        <v>572.20000000000005</v>
      </c>
      <c r="H628" s="177"/>
      <c r="I628" s="115"/>
    </row>
    <row r="629" spans="1:9" ht="15.75" x14ac:dyDescent="0.25">
      <c r="A629" s="25" t="s">
        <v>289</v>
      </c>
      <c r="B629" s="16">
        <v>906</v>
      </c>
      <c r="C629" s="20" t="s">
        <v>279</v>
      </c>
      <c r="D629" s="20" t="s">
        <v>230</v>
      </c>
      <c r="E629" s="20" t="s">
        <v>307</v>
      </c>
      <c r="F629" s="20" t="s">
        <v>290</v>
      </c>
      <c r="G629" s="27">
        <v>572.20000000000005</v>
      </c>
      <c r="H629" s="177"/>
      <c r="I629" s="115"/>
    </row>
    <row r="630" spans="1:9" ht="110.25" x14ac:dyDescent="0.25">
      <c r="A630" s="31" t="s">
        <v>308</v>
      </c>
      <c r="B630" s="16">
        <v>906</v>
      </c>
      <c r="C630" s="20" t="s">
        <v>279</v>
      </c>
      <c r="D630" s="20" t="s">
        <v>230</v>
      </c>
      <c r="E630" s="20" t="s">
        <v>309</v>
      </c>
      <c r="F630" s="20"/>
      <c r="G630" s="27">
        <f>G631</f>
        <v>900</v>
      </c>
      <c r="H630" s="177"/>
      <c r="I630" s="115"/>
    </row>
    <row r="631" spans="1:9" ht="47.25" x14ac:dyDescent="0.25">
      <c r="A631" s="25" t="s">
        <v>287</v>
      </c>
      <c r="B631" s="16">
        <v>906</v>
      </c>
      <c r="C631" s="20" t="s">
        <v>279</v>
      </c>
      <c r="D631" s="20" t="s">
        <v>230</v>
      </c>
      <c r="E631" s="20" t="s">
        <v>309</v>
      </c>
      <c r="F631" s="20" t="s">
        <v>288</v>
      </c>
      <c r="G631" s="27">
        <f>G632</f>
        <v>900</v>
      </c>
      <c r="H631" s="177"/>
      <c r="I631" s="115"/>
    </row>
    <row r="632" spans="1:9" ht="15.75" x14ac:dyDescent="0.25">
      <c r="A632" s="25" t="s">
        <v>289</v>
      </c>
      <c r="B632" s="16">
        <v>906</v>
      </c>
      <c r="C632" s="20" t="s">
        <v>279</v>
      </c>
      <c r="D632" s="20" t="s">
        <v>230</v>
      </c>
      <c r="E632" s="20" t="s">
        <v>309</v>
      </c>
      <c r="F632" s="20" t="s">
        <v>290</v>
      </c>
      <c r="G632" s="27">
        <v>900</v>
      </c>
      <c r="H632" s="177"/>
      <c r="I632" s="115"/>
    </row>
    <row r="633" spans="1:9" ht="31.5" x14ac:dyDescent="0.25">
      <c r="A633" s="23" t="s">
        <v>481</v>
      </c>
      <c r="B633" s="19">
        <v>906</v>
      </c>
      <c r="C633" s="24" t="s">
        <v>279</v>
      </c>
      <c r="D633" s="24" t="s">
        <v>279</v>
      </c>
      <c r="E633" s="24"/>
      <c r="F633" s="24"/>
      <c r="G633" s="21">
        <f>G634+G639</f>
        <v>4788.6000000000004</v>
      </c>
      <c r="H633" s="177"/>
    </row>
    <row r="634" spans="1:9" ht="47.25" x14ac:dyDescent="0.25">
      <c r="A634" s="25" t="s">
        <v>441</v>
      </c>
      <c r="B634" s="16">
        <v>906</v>
      </c>
      <c r="C634" s="20" t="s">
        <v>279</v>
      </c>
      <c r="D634" s="20" t="s">
        <v>279</v>
      </c>
      <c r="E634" s="20" t="s">
        <v>421</v>
      </c>
      <c r="F634" s="20"/>
      <c r="G634" s="26">
        <f>G635</f>
        <v>3484.8</v>
      </c>
      <c r="H634" s="177"/>
    </row>
    <row r="635" spans="1:9" ht="31.5" x14ac:dyDescent="0.25">
      <c r="A635" s="25" t="s">
        <v>482</v>
      </c>
      <c r="B635" s="16">
        <v>906</v>
      </c>
      <c r="C635" s="20" t="s">
        <v>279</v>
      </c>
      <c r="D635" s="20" t="s">
        <v>483</v>
      </c>
      <c r="E635" s="20" t="s">
        <v>484</v>
      </c>
      <c r="F635" s="20"/>
      <c r="G635" s="26">
        <f>G636</f>
        <v>3484.8</v>
      </c>
      <c r="H635" s="177"/>
    </row>
    <row r="636" spans="1:9" ht="47.25" x14ac:dyDescent="0.25">
      <c r="A636" s="25" t="s">
        <v>485</v>
      </c>
      <c r="B636" s="16">
        <v>906</v>
      </c>
      <c r="C636" s="20" t="s">
        <v>279</v>
      </c>
      <c r="D636" s="20" t="s">
        <v>279</v>
      </c>
      <c r="E636" s="20" t="s">
        <v>486</v>
      </c>
      <c r="F636" s="20"/>
      <c r="G636" s="26">
        <f>G637</f>
        <v>3484.8</v>
      </c>
      <c r="H636" s="177"/>
    </row>
    <row r="637" spans="1:9" ht="47.25" x14ac:dyDescent="0.25">
      <c r="A637" s="25" t="s">
        <v>287</v>
      </c>
      <c r="B637" s="16">
        <v>906</v>
      </c>
      <c r="C637" s="20" t="s">
        <v>279</v>
      </c>
      <c r="D637" s="20" t="s">
        <v>279</v>
      </c>
      <c r="E637" s="20" t="s">
        <v>486</v>
      </c>
      <c r="F637" s="20" t="s">
        <v>288</v>
      </c>
      <c r="G637" s="26">
        <f t="shared" ref="G637:G642" si="3">G638</f>
        <v>3484.8</v>
      </c>
      <c r="H637" s="177"/>
    </row>
    <row r="638" spans="1:9" ht="15.75" x14ac:dyDescent="0.25">
      <c r="A638" s="25" t="s">
        <v>289</v>
      </c>
      <c r="B638" s="16">
        <v>906</v>
      </c>
      <c r="C638" s="20" t="s">
        <v>279</v>
      </c>
      <c r="D638" s="20" t="s">
        <v>279</v>
      </c>
      <c r="E638" s="20" t="s">
        <v>486</v>
      </c>
      <c r="F638" s="20" t="s">
        <v>290</v>
      </c>
      <c r="G638" s="27">
        <v>3484.8</v>
      </c>
      <c r="H638" s="177"/>
    </row>
    <row r="639" spans="1:9" ht="15.75" x14ac:dyDescent="0.25">
      <c r="A639" s="25" t="s">
        <v>136</v>
      </c>
      <c r="B639" s="16">
        <v>906</v>
      </c>
      <c r="C639" s="20" t="s">
        <v>279</v>
      </c>
      <c r="D639" s="20" t="s">
        <v>279</v>
      </c>
      <c r="E639" s="20" t="s">
        <v>137</v>
      </c>
      <c r="F639" s="20"/>
      <c r="G639" s="26">
        <f>G640</f>
        <v>1303.8000000000002</v>
      </c>
      <c r="H639" s="177"/>
    </row>
    <row r="640" spans="1:9" ht="31.5" x14ac:dyDescent="0.25">
      <c r="A640" s="25" t="s">
        <v>200</v>
      </c>
      <c r="B640" s="16">
        <v>906</v>
      </c>
      <c r="C640" s="20" t="s">
        <v>279</v>
      </c>
      <c r="D640" s="20" t="s">
        <v>279</v>
      </c>
      <c r="E640" s="20" t="s">
        <v>201</v>
      </c>
      <c r="F640" s="20"/>
      <c r="G640" s="26">
        <f>G642</f>
        <v>1303.8000000000002</v>
      </c>
      <c r="H640" s="177"/>
    </row>
    <row r="641" spans="1:9" ht="63" hidden="1" x14ac:dyDescent="0.25">
      <c r="A641" s="25" t="s">
        <v>487</v>
      </c>
      <c r="B641" s="16">
        <v>906</v>
      </c>
      <c r="C641" s="20" t="s">
        <v>279</v>
      </c>
      <c r="D641" s="20" t="s">
        <v>279</v>
      </c>
      <c r="E641" s="20" t="s">
        <v>488</v>
      </c>
      <c r="F641" s="20"/>
      <c r="G641" s="26">
        <f t="shared" si="3"/>
        <v>1303.8000000000002</v>
      </c>
      <c r="H641" s="177"/>
    </row>
    <row r="642" spans="1:9" ht="31.5" x14ac:dyDescent="0.25">
      <c r="A642" s="31" t="s">
        <v>489</v>
      </c>
      <c r="B642" s="16">
        <v>906</v>
      </c>
      <c r="C642" s="20" t="s">
        <v>279</v>
      </c>
      <c r="D642" s="20" t="s">
        <v>279</v>
      </c>
      <c r="E642" s="20" t="s">
        <v>490</v>
      </c>
      <c r="F642" s="20"/>
      <c r="G642" s="26">
        <f t="shared" si="3"/>
        <v>1303.8000000000002</v>
      </c>
      <c r="H642" s="177"/>
    </row>
    <row r="643" spans="1:9" ht="47.25" x14ac:dyDescent="0.25">
      <c r="A643" s="25" t="s">
        <v>287</v>
      </c>
      <c r="B643" s="16">
        <v>906</v>
      </c>
      <c r="C643" s="20" t="s">
        <v>279</v>
      </c>
      <c r="D643" s="20" t="s">
        <v>279</v>
      </c>
      <c r="E643" s="20" t="s">
        <v>490</v>
      </c>
      <c r="F643" s="20" t="s">
        <v>288</v>
      </c>
      <c r="G643" s="26">
        <f>G644</f>
        <v>1303.8000000000002</v>
      </c>
      <c r="H643" s="177"/>
    </row>
    <row r="644" spans="1:9" ht="15.75" x14ac:dyDescent="0.25">
      <c r="A644" s="25" t="s">
        <v>289</v>
      </c>
      <c r="B644" s="16">
        <v>906</v>
      </c>
      <c r="C644" s="20" t="s">
        <v>279</v>
      </c>
      <c r="D644" s="20" t="s">
        <v>279</v>
      </c>
      <c r="E644" s="20" t="s">
        <v>490</v>
      </c>
      <c r="F644" s="20" t="s">
        <v>290</v>
      </c>
      <c r="G644" s="27">
        <f>1660.4-356.6</f>
        <v>1303.8000000000002</v>
      </c>
      <c r="H644" s="177"/>
      <c r="I644" s="115"/>
    </row>
    <row r="645" spans="1:9" ht="15.75" x14ac:dyDescent="0.25">
      <c r="A645" s="23" t="s">
        <v>310</v>
      </c>
      <c r="B645" s="19">
        <v>906</v>
      </c>
      <c r="C645" s="24" t="s">
        <v>279</v>
      </c>
      <c r="D645" s="24" t="s">
        <v>234</v>
      </c>
      <c r="E645" s="24"/>
      <c r="F645" s="24"/>
      <c r="G645" s="21">
        <f>G646+G655</f>
        <v>18322.300000000003</v>
      </c>
      <c r="H645" s="177"/>
    </row>
    <row r="646" spans="1:9" ht="47.25" x14ac:dyDescent="0.25">
      <c r="A646" s="25" t="s">
        <v>349</v>
      </c>
      <c r="B646" s="16">
        <v>906</v>
      </c>
      <c r="C646" s="20" t="s">
        <v>279</v>
      </c>
      <c r="D646" s="20" t="s">
        <v>234</v>
      </c>
      <c r="E646" s="20" t="s">
        <v>350</v>
      </c>
      <c r="F646" s="20"/>
      <c r="G646" s="26">
        <f>G647+G650</f>
        <v>20</v>
      </c>
      <c r="H646" s="177"/>
      <c r="I646" s="115"/>
    </row>
    <row r="647" spans="1:9" ht="31.5" hidden="1" x14ac:dyDescent="0.25">
      <c r="A647" s="25" t="s">
        <v>351</v>
      </c>
      <c r="B647" s="16">
        <v>906</v>
      </c>
      <c r="C647" s="20" t="s">
        <v>279</v>
      </c>
      <c r="D647" s="20" t="s">
        <v>234</v>
      </c>
      <c r="E647" s="20" t="s">
        <v>352</v>
      </c>
      <c r="F647" s="20"/>
      <c r="G647" s="26">
        <f>G648</f>
        <v>0</v>
      </c>
      <c r="H647" s="177"/>
    </row>
    <row r="648" spans="1:9" ht="31.5" hidden="1" x14ac:dyDescent="0.25">
      <c r="A648" s="25" t="s">
        <v>146</v>
      </c>
      <c r="B648" s="16">
        <v>906</v>
      </c>
      <c r="C648" s="20" t="s">
        <v>279</v>
      </c>
      <c r="D648" s="20" t="s">
        <v>234</v>
      </c>
      <c r="E648" s="20" t="s">
        <v>352</v>
      </c>
      <c r="F648" s="20" t="s">
        <v>147</v>
      </c>
      <c r="G648" s="26">
        <f>G649</f>
        <v>0</v>
      </c>
      <c r="H648" s="177"/>
    </row>
    <row r="649" spans="1:9" ht="47.25" hidden="1" x14ac:dyDescent="0.25">
      <c r="A649" s="25" t="s">
        <v>148</v>
      </c>
      <c r="B649" s="16">
        <v>906</v>
      </c>
      <c r="C649" s="20" t="s">
        <v>279</v>
      </c>
      <c r="D649" s="20" t="s">
        <v>234</v>
      </c>
      <c r="E649" s="20" t="s">
        <v>352</v>
      </c>
      <c r="F649" s="20" t="s">
        <v>149</v>
      </c>
      <c r="G649" s="26">
        <f>50-50</f>
        <v>0</v>
      </c>
      <c r="H649" s="106"/>
      <c r="I649" s="124"/>
    </row>
    <row r="650" spans="1:9" ht="63" x14ac:dyDescent="0.25">
      <c r="A650" s="25" t="s">
        <v>491</v>
      </c>
      <c r="B650" s="16">
        <v>906</v>
      </c>
      <c r="C650" s="20" t="s">
        <v>279</v>
      </c>
      <c r="D650" s="20" t="s">
        <v>234</v>
      </c>
      <c r="E650" s="20" t="s">
        <v>492</v>
      </c>
      <c r="F650" s="20"/>
      <c r="G650" s="26">
        <f>G651+G653</f>
        <v>20</v>
      </c>
      <c r="H650" s="177"/>
    </row>
    <row r="651" spans="1:9" ht="94.5" x14ac:dyDescent="0.25">
      <c r="A651" s="25" t="s">
        <v>142</v>
      </c>
      <c r="B651" s="16">
        <v>906</v>
      </c>
      <c r="C651" s="20" t="s">
        <v>279</v>
      </c>
      <c r="D651" s="20" t="s">
        <v>234</v>
      </c>
      <c r="E651" s="20" t="s">
        <v>492</v>
      </c>
      <c r="F651" s="20" t="s">
        <v>143</v>
      </c>
      <c r="G651" s="26">
        <f>G652</f>
        <v>5</v>
      </c>
      <c r="H651" s="177"/>
    </row>
    <row r="652" spans="1:9" ht="31.5" x14ac:dyDescent="0.25">
      <c r="A652" s="25" t="s">
        <v>357</v>
      </c>
      <c r="B652" s="16">
        <v>906</v>
      </c>
      <c r="C652" s="20" t="s">
        <v>279</v>
      </c>
      <c r="D652" s="20" t="s">
        <v>234</v>
      </c>
      <c r="E652" s="20" t="s">
        <v>492</v>
      </c>
      <c r="F652" s="20" t="s">
        <v>224</v>
      </c>
      <c r="G652" s="26">
        <v>5</v>
      </c>
      <c r="H652" s="177"/>
    </row>
    <row r="653" spans="1:9" ht="31.5" x14ac:dyDescent="0.25">
      <c r="A653" s="25" t="s">
        <v>146</v>
      </c>
      <c r="B653" s="16">
        <v>906</v>
      </c>
      <c r="C653" s="20" t="s">
        <v>279</v>
      </c>
      <c r="D653" s="20" t="s">
        <v>234</v>
      </c>
      <c r="E653" s="20" t="s">
        <v>492</v>
      </c>
      <c r="F653" s="20" t="s">
        <v>147</v>
      </c>
      <c r="G653" s="26">
        <f>G654</f>
        <v>15</v>
      </c>
      <c r="H653" s="177"/>
    </row>
    <row r="654" spans="1:9" ht="47.25" x14ac:dyDescent="0.25">
      <c r="A654" s="25" t="s">
        <v>148</v>
      </c>
      <c r="B654" s="16">
        <v>906</v>
      </c>
      <c r="C654" s="20" t="s">
        <v>279</v>
      </c>
      <c r="D654" s="20" t="s">
        <v>234</v>
      </c>
      <c r="E654" s="20" t="s">
        <v>492</v>
      </c>
      <c r="F654" s="20" t="s">
        <v>149</v>
      </c>
      <c r="G654" s="26">
        <v>15</v>
      </c>
      <c r="H654" s="177"/>
    </row>
    <row r="655" spans="1:9" ht="15.75" x14ac:dyDescent="0.25">
      <c r="A655" s="25" t="s">
        <v>136</v>
      </c>
      <c r="B655" s="16">
        <v>906</v>
      </c>
      <c r="C655" s="20" t="s">
        <v>279</v>
      </c>
      <c r="D655" s="20" t="s">
        <v>234</v>
      </c>
      <c r="E655" s="20" t="s">
        <v>137</v>
      </c>
      <c r="F655" s="20"/>
      <c r="G655" s="26">
        <f>G656+G662</f>
        <v>18302.300000000003</v>
      </c>
      <c r="H655" s="177"/>
    </row>
    <row r="656" spans="1:9" ht="31.5" x14ac:dyDescent="0.25">
      <c r="A656" s="25" t="s">
        <v>138</v>
      </c>
      <c r="B656" s="16">
        <v>906</v>
      </c>
      <c r="C656" s="20" t="s">
        <v>279</v>
      </c>
      <c r="D656" s="20" t="s">
        <v>234</v>
      </c>
      <c r="E656" s="20" t="s">
        <v>139</v>
      </c>
      <c r="F656" s="20"/>
      <c r="G656" s="26">
        <f>G657</f>
        <v>5138.7</v>
      </c>
      <c r="H656" s="177"/>
    </row>
    <row r="657" spans="1:11" ht="47.25" x14ac:dyDescent="0.25">
      <c r="A657" s="25" t="s">
        <v>140</v>
      </c>
      <c r="B657" s="16">
        <v>906</v>
      </c>
      <c r="C657" s="20" t="s">
        <v>279</v>
      </c>
      <c r="D657" s="20" t="s">
        <v>234</v>
      </c>
      <c r="E657" s="20" t="s">
        <v>141</v>
      </c>
      <c r="F657" s="20"/>
      <c r="G657" s="26">
        <f>G658+G660</f>
        <v>5138.7</v>
      </c>
      <c r="H657" s="177"/>
    </row>
    <row r="658" spans="1:11" ht="94.5" x14ac:dyDescent="0.25">
      <c r="A658" s="25" t="s">
        <v>142</v>
      </c>
      <c r="B658" s="16">
        <v>906</v>
      </c>
      <c r="C658" s="20" t="s">
        <v>279</v>
      </c>
      <c r="D658" s="20" t="s">
        <v>234</v>
      </c>
      <c r="E658" s="20" t="s">
        <v>141</v>
      </c>
      <c r="F658" s="20" t="s">
        <v>143</v>
      </c>
      <c r="G658" s="26">
        <f>G659</f>
        <v>4981.5</v>
      </c>
      <c r="H658" s="177"/>
    </row>
    <row r="659" spans="1:11" ht="31.5" x14ac:dyDescent="0.25">
      <c r="A659" s="25" t="s">
        <v>144</v>
      </c>
      <c r="B659" s="16">
        <v>906</v>
      </c>
      <c r="C659" s="20" t="s">
        <v>279</v>
      </c>
      <c r="D659" s="20" t="s">
        <v>234</v>
      </c>
      <c r="E659" s="20" t="s">
        <v>141</v>
      </c>
      <c r="F659" s="20" t="s">
        <v>145</v>
      </c>
      <c r="G659" s="156">
        <f>4975.7+5.8</f>
        <v>4981.5</v>
      </c>
      <c r="H659" s="157" t="s">
        <v>745</v>
      </c>
    </row>
    <row r="660" spans="1:11" ht="31.5" x14ac:dyDescent="0.25">
      <c r="A660" s="25" t="s">
        <v>146</v>
      </c>
      <c r="B660" s="16">
        <v>906</v>
      </c>
      <c r="C660" s="20" t="s">
        <v>279</v>
      </c>
      <c r="D660" s="20" t="s">
        <v>234</v>
      </c>
      <c r="E660" s="20" t="s">
        <v>141</v>
      </c>
      <c r="F660" s="20" t="s">
        <v>147</v>
      </c>
      <c r="G660" s="26">
        <f>G661</f>
        <v>157.19999999999999</v>
      </c>
      <c r="H660" s="177"/>
    </row>
    <row r="661" spans="1:11" ht="47.25" x14ac:dyDescent="0.25">
      <c r="A661" s="25" t="s">
        <v>148</v>
      </c>
      <c r="B661" s="16">
        <v>906</v>
      </c>
      <c r="C661" s="20" t="s">
        <v>279</v>
      </c>
      <c r="D661" s="20" t="s">
        <v>234</v>
      </c>
      <c r="E661" s="20" t="s">
        <v>141</v>
      </c>
      <c r="F661" s="20" t="s">
        <v>149</v>
      </c>
      <c r="G661" s="158">
        <f>163-5.8</f>
        <v>157.19999999999999</v>
      </c>
      <c r="H661" s="157" t="s">
        <v>744</v>
      </c>
    </row>
    <row r="662" spans="1:11" ht="15.75" x14ac:dyDescent="0.25">
      <c r="A662" s="25" t="s">
        <v>156</v>
      </c>
      <c r="B662" s="16">
        <v>906</v>
      </c>
      <c r="C662" s="20" t="s">
        <v>279</v>
      </c>
      <c r="D662" s="20" t="s">
        <v>234</v>
      </c>
      <c r="E662" s="20" t="s">
        <v>157</v>
      </c>
      <c r="F662" s="20"/>
      <c r="G662" s="26">
        <f>G666+G663</f>
        <v>13163.600000000002</v>
      </c>
      <c r="H662" s="177"/>
    </row>
    <row r="663" spans="1:11" ht="15.75" x14ac:dyDescent="0.25">
      <c r="A663" s="25" t="s">
        <v>493</v>
      </c>
      <c r="B663" s="16">
        <v>906</v>
      </c>
      <c r="C663" s="20" t="s">
        <v>279</v>
      </c>
      <c r="D663" s="20" t="s">
        <v>234</v>
      </c>
      <c r="E663" s="20" t="s">
        <v>494</v>
      </c>
      <c r="F663" s="20"/>
      <c r="G663" s="26">
        <f>G664</f>
        <v>375</v>
      </c>
      <c r="H663" s="177"/>
    </row>
    <row r="664" spans="1:11" ht="31.5" x14ac:dyDescent="0.25">
      <c r="A664" s="25" t="s">
        <v>146</v>
      </c>
      <c r="B664" s="16">
        <v>906</v>
      </c>
      <c r="C664" s="20" t="s">
        <v>279</v>
      </c>
      <c r="D664" s="20" t="s">
        <v>234</v>
      </c>
      <c r="E664" s="20" t="s">
        <v>494</v>
      </c>
      <c r="F664" s="20" t="s">
        <v>147</v>
      </c>
      <c r="G664" s="26">
        <f>G665</f>
        <v>375</v>
      </c>
      <c r="H664" s="177"/>
    </row>
    <row r="665" spans="1:11" ht="47.25" x14ac:dyDescent="0.25">
      <c r="A665" s="25" t="s">
        <v>148</v>
      </c>
      <c r="B665" s="16">
        <v>906</v>
      </c>
      <c r="C665" s="20" t="s">
        <v>279</v>
      </c>
      <c r="D665" s="20" t="s">
        <v>234</v>
      </c>
      <c r="E665" s="20" t="s">
        <v>494</v>
      </c>
      <c r="F665" s="20" t="s">
        <v>149</v>
      </c>
      <c r="G665" s="162">
        <f>206.3+143.7+25</f>
        <v>375</v>
      </c>
      <c r="H665" s="157" t="s">
        <v>761</v>
      </c>
      <c r="I665" s="115"/>
    </row>
    <row r="666" spans="1:11" ht="31.5" x14ac:dyDescent="0.25">
      <c r="A666" s="25" t="s">
        <v>355</v>
      </c>
      <c r="B666" s="16">
        <v>906</v>
      </c>
      <c r="C666" s="20" t="s">
        <v>279</v>
      </c>
      <c r="D666" s="20" t="s">
        <v>234</v>
      </c>
      <c r="E666" s="20" t="s">
        <v>356</v>
      </c>
      <c r="F666" s="20"/>
      <c r="G666" s="26">
        <f>G667+G669+G671</f>
        <v>12788.600000000002</v>
      </c>
      <c r="H666" s="177"/>
      <c r="J666" s="417"/>
      <c r="K666" s="417"/>
    </row>
    <row r="667" spans="1:11" ht="94.5" x14ac:dyDescent="0.25">
      <c r="A667" s="25" t="s">
        <v>142</v>
      </c>
      <c r="B667" s="16">
        <v>906</v>
      </c>
      <c r="C667" s="20" t="s">
        <v>279</v>
      </c>
      <c r="D667" s="20" t="s">
        <v>234</v>
      </c>
      <c r="E667" s="20" t="s">
        <v>356</v>
      </c>
      <c r="F667" s="20" t="s">
        <v>143</v>
      </c>
      <c r="G667" s="26">
        <f>G668</f>
        <v>11519.300000000001</v>
      </c>
      <c r="H667" s="177"/>
      <c r="J667" s="417"/>
      <c r="K667" s="417"/>
    </row>
    <row r="668" spans="1:11" ht="31.5" x14ac:dyDescent="0.25">
      <c r="A668" s="25" t="s">
        <v>357</v>
      </c>
      <c r="B668" s="16">
        <v>906</v>
      </c>
      <c r="C668" s="20" t="s">
        <v>279</v>
      </c>
      <c r="D668" s="20" t="s">
        <v>234</v>
      </c>
      <c r="E668" s="20" t="s">
        <v>356</v>
      </c>
      <c r="F668" s="20" t="s">
        <v>224</v>
      </c>
      <c r="G668" s="27">
        <f>11988.7-469.4</f>
        <v>11519.300000000001</v>
      </c>
      <c r="H668" s="106"/>
      <c r="I668" s="124"/>
      <c r="J668" s="417"/>
      <c r="K668" s="417"/>
    </row>
    <row r="669" spans="1:11" ht="31.5" x14ac:dyDescent="0.25">
      <c r="A669" s="25" t="s">
        <v>146</v>
      </c>
      <c r="B669" s="16">
        <v>906</v>
      </c>
      <c r="C669" s="20" t="s">
        <v>279</v>
      </c>
      <c r="D669" s="20" t="s">
        <v>234</v>
      </c>
      <c r="E669" s="20" t="s">
        <v>356</v>
      </c>
      <c r="F669" s="20" t="s">
        <v>147</v>
      </c>
      <c r="G669" s="26">
        <f>G670</f>
        <v>1264.0999999999999</v>
      </c>
      <c r="H669" s="177"/>
      <c r="J669" s="417"/>
      <c r="K669" s="417"/>
    </row>
    <row r="670" spans="1:11" ht="47.25" x14ac:dyDescent="0.25">
      <c r="A670" s="25" t="s">
        <v>148</v>
      </c>
      <c r="B670" s="16">
        <v>906</v>
      </c>
      <c r="C670" s="20" t="s">
        <v>279</v>
      </c>
      <c r="D670" s="20" t="s">
        <v>234</v>
      </c>
      <c r="E670" s="20" t="s">
        <v>356</v>
      </c>
      <c r="F670" s="20" t="s">
        <v>149</v>
      </c>
      <c r="G670" s="26">
        <f>1416.8-152.7</f>
        <v>1264.0999999999999</v>
      </c>
      <c r="H670" s="106"/>
      <c r="I670" s="124"/>
      <c r="J670" s="417"/>
      <c r="K670" s="417"/>
    </row>
    <row r="671" spans="1:11" ht="15.75" x14ac:dyDescent="0.25">
      <c r="A671" s="25" t="s">
        <v>150</v>
      </c>
      <c r="B671" s="16">
        <v>906</v>
      </c>
      <c r="C671" s="20" t="s">
        <v>279</v>
      </c>
      <c r="D671" s="20" t="s">
        <v>234</v>
      </c>
      <c r="E671" s="20" t="s">
        <v>356</v>
      </c>
      <c r="F671" s="20" t="s">
        <v>160</v>
      </c>
      <c r="G671" s="26">
        <f>G672</f>
        <v>5.2</v>
      </c>
      <c r="H671" s="177"/>
      <c r="J671" s="417"/>
      <c r="K671" s="417"/>
    </row>
    <row r="672" spans="1:11" ht="15.75" x14ac:dyDescent="0.25">
      <c r="A672" s="25" t="s">
        <v>583</v>
      </c>
      <c r="B672" s="16">
        <v>906</v>
      </c>
      <c r="C672" s="20" t="s">
        <v>279</v>
      </c>
      <c r="D672" s="20" t="s">
        <v>234</v>
      </c>
      <c r="E672" s="20" t="s">
        <v>356</v>
      </c>
      <c r="F672" s="20" t="s">
        <v>153</v>
      </c>
      <c r="G672" s="26">
        <f>7-1.8</f>
        <v>5.2</v>
      </c>
      <c r="H672" s="106"/>
      <c r="I672" s="124"/>
      <c r="J672" s="417"/>
      <c r="K672" s="417"/>
    </row>
    <row r="673" spans="1:10" ht="47.25" x14ac:dyDescent="0.25">
      <c r="A673" s="19" t="s">
        <v>495</v>
      </c>
      <c r="B673" s="19">
        <v>907</v>
      </c>
      <c r="C673" s="20"/>
      <c r="D673" s="20"/>
      <c r="E673" s="20"/>
      <c r="F673" s="20"/>
      <c r="G673" s="21">
        <f>G674+G704</f>
        <v>46187.799999999996</v>
      </c>
      <c r="H673" s="177"/>
    </row>
    <row r="674" spans="1:10" ht="15.75" x14ac:dyDescent="0.25">
      <c r="A674" s="23" t="s">
        <v>278</v>
      </c>
      <c r="B674" s="19">
        <v>907</v>
      </c>
      <c r="C674" s="24" t="s">
        <v>483</v>
      </c>
      <c r="D674" s="24"/>
      <c r="E674" s="24"/>
      <c r="F674" s="24"/>
      <c r="G674" s="21">
        <f>G675</f>
        <v>11485.1</v>
      </c>
      <c r="H674" s="177"/>
    </row>
    <row r="675" spans="1:10" ht="15.75" x14ac:dyDescent="0.25">
      <c r="A675" s="23" t="s">
        <v>280</v>
      </c>
      <c r="B675" s="19">
        <v>907</v>
      </c>
      <c r="C675" s="24" t="s">
        <v>279</v>
      </c>
      <c r="D675" s="24" t="s">
        <v>230</v>
      </c>
      <c r="E675" s="24"/>
      <c r="F675" s="24"/>
      <c r="G675" s="21">
        <f>G676+G693</f>
        <v>11485.1</v>
      </c>
      <c r="H675" s="177"/>
      <c r="J675" s="116"/>
    </row>
    <row r="676" spans="1:10" ht="47.25" x14ac:dyDescent="0.25">
      <c r="A676" s="25" t="s">
        <v>496</v>
      </c>
      <c r="B676" s="16">
        <v>907</v>
      </c>
      <c r="C676" s="20" t="s">
        <v>279</v>
      </c>
      <c r="D676" s="20" t="s">
        <v>230</v>
      </c>
      <c r="E676" s="20" t="s">
        <v>497</v>
      </c>
      <c r="F676" s="20"/>
      <c r="G676" s="26">
        <f>G677</f>
        <v>10758</v>
      </c>
      <c r="H676" s="177"/>
    </row>
    <row r="677" spans="1:10" ht="47.25" x14ac:dyDescent="0.25">
      <c r="A677" s="25" t="s">
        <v>498</v>
      </c>
      <c r="B677" s="16">
        <v>907</v>
      </c>
      <c r="C677" s="20" t="s">
        <v>279</v>
      </c>
      <c r="D677" s="20" t="s">
        <v>230</v>
      </c>
      <c r="E677" s="20" t="s">
        <v>499</v>
      </c>
      <c r="F677" s="20"/>
      <c r="G677" s="26">
        <f>G678+G681+G684+G690+G687</f>
        <v>10758</v>
      </c>
      <c r="H677" s="177"/>
    </row>
    <row r="678" spans="1:10" ht="47.25" x14ac:dyDescent="0.25">
      <c r="A678" s="25" t="s">
        <v>285</v>
      </c>
      <c r="B678" s="16">
        <v>907</v>
      </c>
      <c r="C678" s="20" t="s">
        <v>279</v>
      </c>
      <c r="D678" s="20" t="s">
        <v>230</v>
      </c>
      <c r="E678" s="20" t="s">
        <v>500</v>
      </c>
      <c r="F678" s="20"/>
      <c r="G678" s="26">
        <f>G679</f>
        <v>10722</v>
      </c>
      <c r="H678" s="177"/>
    </row>
    <row r="679" spans="1:10" ht="47.25" x14ac:dyDescent="0.25">
      <c r="A679" s="25" t="s">
        <v>287</v>
      </c>
      <c r="B679" s="16">
        <v>907</v>
      </c>
      <c r="C679" s="20" t="s">
        <v>279</v>
      </c>
      <c r="D679" s="20" t="s">
        <v>230</v>
      </c>
      <c r="E679" s="20" t="s">
        <v>500</v>
      </c>
      <c r="F679" s="20" t="s">
        <v>288</v>
      </c>
      <c r="G679" s="26">
        <f>G680</f>
        <v>10722</v>
      </c>
      <c r="H679" s="177"/>
    </row>
    <row r="680" spans="1:10" ht="15.75" x14ac:dyDescent="0.25">
      <c r="A680" s="25" t="s">
        <v>289</v>
      </c>
      <c r="B680" s="16">
        <v>907</v>
      </c>
      <c r="C680" s="20" t="s">
        <v>279</v>
      </c>
      <c r="D680" s="20" t="s">
        <v>230</v>
      </c>
      <c r="E680" s="20" t="s">
        <v>500</v>
      </c>
      <c r="F680" s="20" t="s">
        <v>290</v>
      </c>
      <c r="G680" s="27">
        <f>10500+753.9-531.9</f>
        <v>10722</v>
      </c>
      <c r="H680" s="106"/>
      <c r="I680" s="125"/>
    </row>
    <row r="681" spans="1:10" ht="47.25" hidden="1" x14ac:dyDescent="0.25">
      <c r="A681" s="25" t="s">
        <v>293</v>
      </c>
      <c r="B681" s="16">
        <v>907</v>
      </c>
      <c r="C681" s="20" t="s">
        <v>279</v>
      </c>
      <c r="D681" s="20" t="s">
        <v>228</v>
      </c>
      <c r="E681" s="20" t="s">
        <v>501</v>
      </c>
      <c r="F681" s="20"/>
      <c r="G681" s="26">
        <f>G682</f>
        <v>0</v>
      </c>
      <c r="H681" s="177"/>
    </row>
    <row r="682" spans="1:10" ht="47.25" hidden="1" x14ac:dyDescent="0.25">
      <c r="A682" s="25" t="s">
        <v>287</v>
      </c>
      <c r="B682" s="16">
        <v>907</v>
      </c>
      <c r="C682" s="20" t="s">
        <v>279</v>
      </c>
      <c r="D682" s="20" t="s">
        <v>228</v>
      </c>
      <c r="E682" s="20" t="s">
        <v>501</v>
      </c>
      <c r="F682" s="20" t="s">
        <v>288</v>
      </c>
      <c r="G682" s="26">
        <f>G683</f>
        <v>0</v>
      </c>
      <c r="H682" s="177"/>
    </row>
    <row r="683" spans="1:10" ht="15.75" hidden="1" x14ac:dyDescent="0.25">
      <c r="A683" s="25" t="s">
        <v>289</v>
      </c>
      <c r="B683" s="16">
        <v>907</v>
      </c>
      <c r="C683" s="20" t="s">
        <v>279</v>
      </c>
      <c r="D683" s="20" t="s">
        <v>228</v>
      </c>
      <c r="E683" s="20" t="s">
        <v>501</v>
      </c>
      <c r="F683" s="20" t="s">
        <v>290</v>
      </c>
      <c r="G683" s="26">
        <v>0</v>
      </c>
      <c r="H683" s="177"/>
    </row>
    <row r="684" spans="1:10" ht="31.5" hidden="1" x14ac:dyDescent="0.25">
      <c r="A684" s="25" t="s">
        <v>295</v>
      </c>
      <c r="B684" s="16">
        <v>907</v>
      </c>
      <c r="C684" s="20" t="s">
        <v>279</v>
      </c>
      <c r="D684" s="20" t="s">
        <v>228</v>
      </c>
      <c r="E684" s="20" t="s">
        <v>502</v>
      </c>
      <c r="F684" s="20"/>
      <c r="G684" s="26">
        <f>G685</f>
        <v>0</v>
      </c>
      <c r="H684" s="177"/>
    </row>
    <row r="685" spans="1:10" ht="47.25" hidden="1" x14ac:dyDescent="0.25">
      <c r="A685" s="25" t="s">
        <v>287</v>
      </c>
      <c r="B685" s="16">
        <v>907</v>
      </c>
      <c r="C685" s="20" t="s">
        <v>279</v>
      </c>
      <c r="D685" s="20" t="s">
        <v>228</v>
      </c>
      <c r="E685" s="20" t="s">
        <v>502</v>
      </c>
      <c r="F685" s="20" t="s">
        <v>288</v>
      </c>
      <c r="G685" s="26">
        <f>G686</f>
        <v>0</v>
      </c>
      <c r="H685" s="177"/>
    </row>
    <row r="686" spans="1:10" ht="15.75" hidden="1" x14ac:dyDescent="0.25">
      <c r="A686" s="25" t="s">
        <v>289</v>
      </c>
      <c r="B686" s="16">
        <v>907</v>
      </c>
      <c r="C686" s="20" t="s">
        <v>279</v>
      </c>
      <c r="D686" s="20" t="s">
        <v>228</v>
      </c>
      <c r="E686" s="20" t="s">
        <v>502</v>
      </c>
      <c r="F686" s="20" t="s">
        <v>290</v>
      </c>
      <c r="G686" s="26">
        <v>0</v>
      </c>
      <c r="H686" s="177"/>
    </row>
    <row r="687" spans="1:10" ht="47.25" x14ac:dyDescent="0.25">
      <c r="A687" s="25" t="s">
        <v>297</v>
      </c>
      <c r="B687" s="16">
        <v>907</v>
      </c>
      <c r="C687" s="20" t="s">
        <v>279</v>
      </c>
      <c r="D687" s="20" t="s">
        <v>230</v>
      </c>
      <c r="E687" s="20" t="s">
        <v>503</v>
      </c>
      <c r="F687" s="20"/>
      <c r="G687" s="26">
        <f>G688</f>
        <v>36</v>
      </c>
      <c r="H687" s="177"/>
    </row>
    <row r="688" spans="1:10" ht="47.25" x14ac:dyDescent="0.25">
      <c r="A688" s="25" t="s">
        <v>287</v>
      </c>
      <c r="B688" s="16">
        <v>907</v>
      </c>
      <c r="C688" s="20" t="s">
        <v>279</v>
      </c>
      <c r="D688" s="20" t="s">
        <v>230</v>
      </c>
      <c r="E688" s="20" t="s">
        <v>503</v>
      </c>
      <c r="F688" s="20" t="s">
        <v>288</v>
      </c>
      <c r="G688" s="26">
        <f>G689</f>
        <v>36</v>
      </c>
      <c r="H688" s="177"/>
    </row>
    <row r="689" spans="1:10" ht="15.75" x14ac:dyDescent="0.25">
      <c r="A689" s="25" t="s">
        <v>289</v>
      </c>
      <c r="B689" s="16">
        <v>907</v>
      </c>
      <c r="C689" s="20" t="s">
        <v>279</v>
      </c>
      <c r="D689" s="20" t="s">
        <v>230</v>
      </c>
      <c r="E689" s="20" t="s">
        <v>503</v>
      </c>
      <c r="F689" s="20" t="s">
        <v>290</v>
      </c>
      <c r="G689" s="26">
        <v>36</v>
      </c>
      <c r="H689" s="177"/>
    </row>
    <row r="690" spans="1:10" ht="31.5" hidden="1" x14ac:dyDescent="0.25">
      <c r="A690" s="25" t="s">
        <v>299</v>
      </c>
      <c r="B690" s="16">
        <v>907</v>
      </c>
      <c r="C690" s="20" t="s">
        <v>279</v>
      </c>
      <c r="D690" s="20" t="s">
        <v>228</v>
      </c>
      <c r="E690" s="20" t="s">
        <v>504</v>
      </c>
      <c r="F690" s="20"/>
      <c r="G690" s="26">
        <f>G691</f>
        <v>0</v>
      </c>
      <c r="H690" s="177"/>
    </row>
    <row r="691" spans="1:10" ht="47.25" hidden="1" x14ac:dyDescent="0.25">
      <c r="A691" s="25" t="s">
        <v>287</v>
      </c>
      <c r="B691" s="16">
        <v>907</v>
      </c>
      <c r="C691" s="20" t="s">
        <v>279</v>
      </c>
      <c r="D691" s="20" t="s">
        <v>228</v>
      </c>
      <c r="E691" s="20" t="s">
        <v>504</v>
      </c>
      <c r="F691" s="20" t="s">
        <v>288</v>
      </c>
      <c r="G691" s="26">
        <f>G692</f>
        <v>0</v>
      </c>
      <c r="H691" s="177"/>
    </row>
    <row r="692" spans="1:10" ht="15.75" hidden="1" x14ac:dyDescent="0.25">
      <c r="A692" s="25" t="s">
        <v>289</v>
      </c>
      <c r="B692" s="16">
        <v>907</v>
      </c>
      <c r="C692" s="20" t="s">
        <v>279</v>
      </c>
      <c r="D692" s="20" t="s">
        <v>228</v>
      </c>
      <c r="E692" s="20" t="s">
        <v>504</v>
      </c>
      <c r="F692" s="20" t="s">
        <v>290</v>
      </c>
      <c r="G692" s="26">
        <v>0</v>
      </c>
      <c r="H692" s="177"/>
    </row>
    <row r="693" spans="1:10" ht="15.75" x14ac:dyDescent="0.25">
      <c r="A693" s="25" t="s">
        <v>136</v>
      </c>
      <c r="B693" s="16">
        <v>907</v>
      </c>
      <c r="C693" s="20" t="s">
        <v>279</v>
      </c>
      <c r="D693" s="20" t="s">
        <v>230</v>
      </c>
      <c r="E693" s="20" t="s">
        <v>137</v>
      </c>
      <c r="F693" s="20"/>
      <c r="G693" s="26">
        <f>G694</f>
        <v>727.1</v>
      </c>
      <c r="H693" s="177"/>
    </row>
    <row r="694" spans="1:10" ht="31.5" x14ac:dyDescent="0.25">
      <c r="A694" s="25" t="s">
        <v>200</v>
      </c>
      <c r="B694" s="16">
        <v>907</v>
      </c>
      <c r="C694" s="20" t="s">
        <v>279</v>
      </c>
      <c r="D694" s="20" t="s">
        <v>230</v>
      </c>
      <c r="E694" s="20" t="s">
        <v>201</v>
      </c>
      <c r="F694" s="20"/>
      <c r="G694" s="26">
        <f>G695+G698+G701</f>
        <v>727.1</v>
      </c>
      <c r="H694" s="177"/>
    </row>
    <row r="695" spans="1:10" ht="63" x14ac:dyDescent="0.25">
      <c r="A695" s="31" t="s">
        <v>304</v>
      </c>
      <c r="B695" s="16">
        <v>907</v>
      </c>
      <c r="C695" s="20" t="s">
        <v>279</v>
      </c>
      <c r="D695" s="20" t="s">
        <v>230</v>
      </c>
      <c r="E695" s="20" t="s">
        <v>305</v>
      </c>
      <c r="F695" s="20"/>
      <c r="G695" s="26">
        <f>G696</f>
        <v>50</v>
      </c>
      <c r="H695" s="177"/>
    </row>
    <row r="696" spans="1:10" ht="47.25" x14ac:dyDescent="0.25">
      <c r="A696" s="25" t="s">
        <v>287</v>
      </c>
      <c r="B696" s="16">
        <v>907</v>
      </c>
      <c r="C696" s="20" t="s">
        <v>279</v>
      </c>
      <c r="D696" s="20" t="s">
        <v>230</v>
      </c>
      <c r="E696" s="20" t="s">
        <v>305</v>
      </c>
      <c r="F696" s="20" t="s">
        <v>288</v>
      </c>
      <c r="G696" s="26">
        <f>G697</f>
        <v>50</v>
      </c>
      <c r="H696" s="177"/>
    </row>
    <row r="697" spans="1:10" ht="15.75" x14ac:dyDescent="0.25">
      <c r="A697" s="25" t="s">
        <v>289</v>
      </c>
      <c r="B697" s="16">
        <v>907</v>
      </c>
      <c r="C697" s="20" t="s">
        <v>279</v>
      </c>
      <c r="D697" s="20" t="s">
        <v>230</v>
      </c>
      <c r="E697" s="20" t="s">
        <v>305</v>
      </c>
      <c r="F697" s="20" t="s">
        <v>290</v>
      </c>
      <c r="G697" s="26">
        <v>50</v>
      </c>
      <c r="H697" s="177"/>
    </row>
    <row r="698" spans="1:10" ht="78.75" x14ac:dyDescent="0.25">
      <c r="A698" s="31" t="s">
        <v>306</v>
      </c>
      <c r="B698" s="16">
        <v>907</v>
      </c>
      <c r="C698" s="20" t="s">
        <v>279</v>
      </c>
      <c r="D698" s="20" t="s">
        <v>230</v>
      </c>
      <c r="E698" s="20" t="s">
        <v>307</v>
      </c>
      <c r="F698" s="20"/>
      <c r="G698" s="26">
        <f>G699</f>
        <v>197.3</v>
      </c>
      <c r="H698" s="177"/>
    </row>
    <row r="699" spans="1:10" ht="47.25" x14ac:dyDescent="0.25">
      <c r="A699" s="25" t="s">
        <v>287</v>
      </c>
      <c r="B699" s="16">
        <v>907</v>
      </c>
      <c r="C699" s="20" t="s">
        <v>279</v>
      </c>
      <c r="D699" s="20" t="s">
        <v>230</v>
      </c>
      <c r="E699" s="20" t="s">
        <v>307</v>
      </c>
      <c r="F699" s="20" t="s">
        <v>288</v>
      </c>
      <c r="G699" s="26">
        <f>G700</f>
        <v>197.3</v>
      </c>
      <c r="H699" s="177"/>
    </row>
    <row r="700" spans="1:10" ht="15.75" x14ac:dyDescent="0.25">
      <c r="A700" s="25" t="s">
        <v>289</v>
      </c>
      <c r="B700" s="16">
        <v>907</v>
      </c>
      <c r="C700" s="20" t="s">
        <v>279</v>
      </c>
      <c r="D700" s="20" t="s">
        <v>230</v>
      </c>
      <c r="E700" s="20" t="s">
        <v>307</v>
      </c>
      <c r="F700" s="20" t="s">
        <v>290</v>
      </c>
      <c r="G700" s="26">
        <f>200-2.7</f>
        <v>197.3</v>
      </c>
      <c r="H700" s="177"/>
      <c r="I700" s="115"/>
      <c r="J700" s="116"/>
    </row>
    <row r="701" spans="1:10" ht="110.25" x14ac:dyDescent="0.25">
      <c r="A701" s="31" t="s">
        <v>479</v>
      </c>
      <c r="B701" s="16">
        <v>907</v>
      </c>
      <c r="C701" s="20" t="s">
        <v>279</v>
      </c>
      <c r="D701" s="20" t="s">
        <v>230</v>
      </c>
      <c r="E701" s="20" t="s">
        <v>309</v>
      </c>
      <c r="F701" s="20"/>
      <c r="G701" s="26">
        <f>G702</f>
        <v>479.8</v>
      </c>
      <c r="H701" s="177"/>
    </row>
    <row r="702" spans="1:10" ht="47.25" x14ac:dyDescent="0.25">
      <c r="A702" s="25" t="s">
        <v>287</v>
      </c>
      <c r="B702" s="16">
        <v>907</v>
      </c>
      <c r="C702" s="20" t="s">
        <v>279</v>
      </c>
      <c r="D702" s="20" t="s">
        <v>230</v>
      </c>
      <c r="E702" s="20" t="s">
        <v>309</v>
      </c>
      <c r="F702" s="20" t="s">
        <v>288</v>
      </c>
      <c r="G702" s="26">
        <f>G703</f>
        <v>479.8</v>
      </c>
      <c r="H702" s="177"/>
    </row>
    <row r="703" spans="1:10" ht="15.75" x14ac:dyDescent="0.25">
      <c r="A703" s="25" t="s">
        <v>289</v>
      </c>
      <c r="B703" s="16">
        <v>907</v>
      </c>
      <c r="C703" s="20" t="s">
        <v>279</v>
      </c>
      <c r="D703" s="20" t="s">
        <v>230</v>
      </c>
      <c r="E703" s="20" t="s">
        <v>309</v>
      </c>
      <c r="F703" s="20" t="s">
        <v>290</v>
      </c>
      <c r="G703" s="26">
        <f>500-20.2</f>
        <v>479.8</v>
      </c>
      <c r="H703" s="177"/>
      <c r="I703" s="115"/>
    </row>
    <row r="704" spans="1:10" ht="15.75" x14ac:dyDescent="0.25">
      <c r="A704" s="23" t="s">
        <v>505</v>
      </c>
      <c r="B704" s="19">
        <v>907</v>
      </c>
      <c r="C704" s="24" t="s">
        <v>506</v>
      </c>
      <c r="D704" s="20"/>
      <c r="E704" s="20"/>
      <c r="F704" s="20"/>
      <c r="G704" s="21">
        <f>G705+G725</f>
        <v>34702.699999999997</v>
      </c>
      <c r="H704" s="177"/>
    </row>
    <row r="705" spans="1:9" ht="15.75" x14ac:dyDescent="0.25">
      <c r="A705" s="23" t="s">
        <v>507</v>
      </c>
      <c r="B705" s="19">
        <v>907</v>
      </c>
      <c r="C705" s="24" t="s">
        <v>506</v>
      </c>
      <c r="D705" s="24" t="s">
        <v>133</v>
      </c>
      <c r="E705" s="20"/>
      <c r="F705" s="20"/>
      <c r="G705" s="21">
        <f>G706+G721</f>
        <v>23173.9</v>
      </c>
      <c r="H705" s="177"/>
    </row>
    <row r="706" spans="1:9" ht="47.25" x14ac:dyDescent="0.25">
      <c r="A706" s="25" t="s">
        <v>496</v>
      </c>
      <c r="B706" s="16">
        <v>907</v>
      </c>
      <c r="C706" s="20" t="s">
        <v>506</v>
      </c>
      <c r="D706" s="20" t="s">
        <v>133</v>
      </c>
      <c r="E706" s="20" t="s">
        <v>497</v>
      </c>
      <c r="F706" s="20"/>
      <c r="G706" s="26">
        <f>G707</f>
        <v>22673.9</v>
      </c>
      <c r="H706" s="177"/>
    </row>
    <row r="707" spans="1:9" ht="47.25" x14ac:dyDescent="0.25">
      <c r="A707" s="25" t="s">
        <v>508</v>
      </c>
      <c r="B707" s="16">
        <v>907</v>
      </c>
      <c r="C707" s="20" t="s">
        <v>506</v>
      </c>
      <c r="D707" s="20" t="s">
        <v>133</v>
      </c>
      <c r="E707" s="20" t="s">
        <v>509</v>
      </c>
      <c r="F707" s="20"/>
      <c r="G707" s="26">
        <f>G708+G711+G714+G717</f>
        <v>22673.9</v>
      </c>
      <c r="H707" s="177"/>
    </row>
    <row r="708" spans="1:9" ht="47.25" x14ac:dyDescent="0.25">
      <c r="A708" s="25" t="s">
        <v>510</v>
      </c>
      <c r="B708" s="16">
        <v>907</v>
      </c>
      <c r="C708" s="20" t="s">
        <v>506</v>
      </c>
      <c r="D708" s="20" t="s">
        <v>133</v>
      </c>
      <c r="E708" s="20" t="s">
        <v>511</v>
      </c>
      <c r="F708" s="20"/>
      <c r="G708" s="26">
        <f>G709</f>
        <v>22376.400000000001</v>
      </c>
      <c r="H708" s="177"/>
    </row>
    <row r="709" spans="1:9" ht="47.25" x14ac:dyDescent="0.25">
      <c r="A709" s="25" t="s">
        <v>287</v>
      </c>
      <c r="B709" s="16">
        <v>907</v>
      </c>
      <c r="C709" s="20" t="s">
        <v>506</v>
      </c>
      <c r="D709" s="20" t="s">
        <v>133</v>
      </c>
      <c r="E709" s="20" t="s">
        <v>511</v>
      </c>
      <c r="F709" s="20" t="s">
        <v>288</v>
      </c>
      <c r="G709" s="26">
        <f>G710</f>
        <v>22376.400000000001</v>
      </c>
      <c r="H709" s="177"/>
    </row>
    <row r="710" spans="1:9" ht="15.75" x14ac:dyDescent="0.25">
      <c r="A710" s="25" t="s">
        <v>289</v>
      </c>
      <c r="B710" s="16">
        <v>907</v>
      </c>
      <c r="C710" s="20" t="s">
        <v>506</v>
      </c>
      <c r="D710" s="20" t="s">
        <v>133</v>
      </c>
      <c r="E710" s="20" t="s">
        <v>511</v>
      </c>
      <c r="F710" s="20" t="s">
        <v>290</v>
      </c>
      <c r="G710" s="163">
        <f>10890+1490.1+9887.3-199+308</f>
        <v>22376.400000000001</v>
      </c>
      <c r="H710" s="106" t="s">
        <v>754</v>
      </c>
      <c r="I710" s="125"/>
    </row>
    <row r="711" spans="1:9" ht="47.25" x14ac:dyDescent="0.25">
      <c r="A711" s="25" t="s">
        <v>293</v>
      </c>
      <c r="B711" s="16">
        <v>907</v>
      </c>
      <c r="C711" s="20" t="s">
        <v>506</v>
      </c>
      <c r="D711" s="20" t="s">
        <v>133</v>
      </c>
      <c r="E711" s="20" t="s">
        <v>512</v>
      </c>
      <c r="F711" s="20"/>
      <c r="G711" s="26">
        <f>G712</f>
        <v>297.5</v>
      </c>
      <c r="H711" s="177"/>
    </row>
    <row r="712" spans="1:9" ht="47.25" x14ac:dyDescent="0.25">
      <c r="A712" s="25" t="s">
        <v>287</v>
      </c>
      <c r="B712" s="16">
        <v>907</v>
      </c>
      <c r="C712" s="20" t="s">
        <v>506</v>
      </c>
      <c r="D712" s="20" t="s">
        <v>133</v>
      </c>
      <c r="E712" s="20" t="s">
        <v>512</v>
      </c>
      <c r="F712" s="20" t="s">
        <v>288</v>
      </c>
      <c r="G712" s="26">
        <f>G713</f>
        <v>297.5</v>
      </c>
      <c r="H712" s="177"/>
    </row>
    <row r="713" spans="1:9" ht="15.75" x14ac:dyDescent="0.25">
      <c r="A713" s="25" t="s">
        <v>289</v>
      </c>
      <c r="B713" s="16">
        <v>907</v>
      </c>
      <c r="C713" s="20" t="s">
        <v>506</v>
      </c>
      <c r="D713" s="20" t="s">
        <v>133</v>
      </c>
      <c r="E713" s="20" t="s">
        <v>512</v>
      </c>
      <c r="F713" s="20" t="s">
        <v>290</v>
      </c>
      <c r="G713" s="158">
        <f>797.5-500</f>
        <v>297.5</v>
      </c>
      <c r="H713" s="157" t="s">
        <v>752</v>
      </c>
    </row>
    <row r="714" spans="1:9" ht="31.5" hidden="1" x14ac:dyDescent="0.25">
      <c r="A714" s="25" t="s">
        <v>295</v>
      </c>
      <c r="B714" s="16">
        <v>907</v>
      </c>
      <c r="C714" s="20" t="s">
        <v>506</v>
      </c>
      <c r="D714" s="20" t="s">
        <v>133</v>
      </c>
      <c r="E714" s="20" t="s">
        <v>513</v>
      </c>
      <c r="F714" s="20"/>
      <c r="G714" s="26">
        <f>G715</f>
        <v>0</v>
      </c>
      <c r="H714" s="177"/>
    </row>
    <row r="715" spans="1:9" ht="47.25" hidden="1" x14ac:dyDescent="0.25">
      <c r="A715" s="25" t="s">
        <v>287</v>
      </c>
      <c r="B715" s="16">
        <v>907</v>
      </c>
      <c r="C715" s="20" t="s">
        <v>506</v>
      </c>
      <c r="D715" s="20" t="s">
        <v>133</v>
      </c>
      <c r="E715" s="20" t="s">
        <v>513</v>
      </c>
      <c r="F715" s="20" t="s">
        <v>288</v>
      </c>
      <c r="G715" s="26">
        <f>G716</f>
        <v>0</v>
      </c>
      <c r="H715" s="177"/>
    </row>
    <row r="716" spans="1:9" ht="15.75" hidden="1" x14ac:dyDescent="0.25">
      <c r="A716" s="25" t="s">
        <v>289</v>
      </c>
      <c r="B716" s="16">
        <v>907</v>
      </c>
      <c r="C716" s="20" t="s">
        <v>506</v>
      </c>
      <c r="D716" s="20" t="s">
        <v>133</v>
      </c>
      <c r="E716" s="20" t="s">
        <v>513</v>
      </c>
      <c r="F716" s="20" t="s">
        <v>290</v>
      </c>
      <c r="G716" s="26">
        <v>0</v>
      </c>
      <c r="H716" s="177"/>
    </row>
    <row r="717" spans="1:9" ht="31.5" hidden="1" x14ac:dyDescent="0.25">
      <c r="A717" s="25" t="s">
        <v>299</v>
      </c>
      <c r="B717" s="16">
        <v>907</v>
      </c>
      <c r="C717" s="20" t="s">
        <v>506</v>
      </c>
      <c r="D717" s="20" t="s">
        <v>133</v>
      </c>
      <c r="E717" s="20" t="s">
        <v>514</v>
      </c>
      <c r="F717" s="20"/>
      <c r="G717" s="26">
        <f>G718</f>
        <v>0</v>
      </c>
      <c r="H717" s="177"/>
    </row>
    <row r="718" spans="1:9" ht="47.25" hidden="1" x14ac:dyDescent="0.25">
      <c r="A718" s="25" t="s">
        <v>287</v>
      </c>
      <c r="B718" s="16">
        <v>907</v>
      </c>
      <c r="C718" s="20" t="s">
        <v>506</v>
      </c>
      <c r="D718" s="20" t="s">
        <v>133</v>
      </c>
      <c r="E718" s="20" t="s">
        <v>514</v>
      </c>
      <c r="F718" s="20" t="s">
        <v>288</v>
      </c>
      <c r="G718" s="26">
        <f>G719</f>
        <v>0</v>
      </c>
      <c r="H718" s="177"/>
    </row>
    <row r="719" spans="1:9" ht="15.75" hidden="1" x14ac:dyDescent="0.25">
      <c r="A719" s="25" t="s">
        <v>289</v>
      </c>
      <c r="B719" s="16">
        <v>907</v>
      </c>
      <c r="C719" s="20" t="s">
        <v>506</v>
      </c>
      <c r="D719" s="20" t="s">
        <v>133</v>
      </c>
      <c r="E719" s="20" t="s">
        <v>514</v>
      </c>
      <c r="F719" s="20" t="s">
        <v>290</v>
      </c>
      <c r="G719" s="26">
        <v>0</v>
      </c>
      <c r="H719" s="177"/>
    </row>
    <row r="720" spans="1:9" ht="15.75" x14ac:dyDescent="0.25">
      <c r="A720" s="25" t="s">
        <v>136</v>
      </c>
      <c r="B720" s="16">
        <v>907</v>
      </c>
      <c r="C720" s="20" t="s">
        <v>506</v>
      </c>
      <c r="D720" s="20" t="s">
        <v>133</v>
      </c>
      <c r="E720" s="20" t="s">
        <v>137</v>
      </c>
      <c r="F720" s="20"/>
      <c r="G720" s="26">
        <f>G721</f>
        <v>500</v>
      </c>
      <c r="H720" s="177"/>
    </row>
    <row r="721" spans="1:9" ht="31.5" x14ac:dyDescent="0.25">
      <c r="A721" s="25" t="s">
        <v>200</v>
      </c>
      <c r="B721" s="16">
        <v>907</v>
      </c>
      <c r="C721" s="20" t="s">
        <v>506</v>
      </c>
      <c r="D721" s="20" t="s">
        <v>133</v>
      </c>
      <c r="E721" s="20" t="s">
        <v>201</v>
      </c>
      <c r="F721" s="20"/>
      <c r="G721" s="26">
        <f>G722</f>
        <v>500</v>
      </c>
      <c r="H721" s="177"/>
    </row>
    <row r="722" spans="1:9" ht="31.5" x14ac:dyDescent="0.25">
      <c r="A722" s="25" t="s">
        <v>751</v>
      </c>
      <c r="B722" s="16">
        <v>907</v>
      </c>
      <c r="C722" s="20" t="s">
        <v>506</v>
      </c>
      <c r="D722" s="20" t="s">
        <v>133</v>
      </c>
      <c r="E722" s="20" t="s">
        <v>749</v>
      </c>
      <c r="F722" s="20"/>
      <c r="G722" s="26">
        <f>G724</f>
        <v>500</v>
      </c>
      <c r="H722" s="177"/>
    </row>
    <row r="723" spans="1:9" ht="47.25" x14ac:dyDescent="0.25">
      <c r="A723" s="25" t="s">
        <v>287</v>
      </c>
      <c r="B723" s="16">
        <v>907</v>
      </c>
      <c r="C723" s="20" t="s">
        <v>506</v>
      </c>
      <c r="D723" s="20" t="s">
        <v>133</v>
      </c>
      <c r="E723" s="20" t="s">
        <v>749</v>
      </c>
      <c r="F723" s="20" t="s">
        <v>288</v>
      </c>
      <c r="G723" s="26">
        <f>G724</f>
        <v>500</v>
      </c>
      <c r="H723" s="177"/>
    </row>
    <row r="724" spans="1:9" ht="15.75" x14ac:dyDescent="0.25">
      <c r="A724" s="25" t="s">
        <v>289</v>
      </c>
      <c r="B724" s="16">
        <v>907</v>
      </c>
      <c r="C724" s="20" t="s">
        <v>506</v>
      </c>
      <c r="D724" s="20" t="s">
        <v>133</v>
      </c>
      <c r="E724" s="20" t="s">
        <v>749</v>
      </c>
      <c r="F724" s="20" t="s">
        <v>290</v>
      </c>
      <c r="G724" s="158">
        <v>500</v>
      </c>
      <c r="H724" s="157" t="s">
        <v>753</v>
      </c>
    </row>
    <row r="725" spans="1:9" ht="31.5" x14ac:dyDescent="0.25">
      <c r="A725" s="23" t="s">
        <v>515</v>
      </c>
      <c r="B725" s="19">
        <v>907</v>
      </c>
      <c r="C725" s="24" t="s">
        <v>506</v>
      </c>
      <c r="D725" s="24" t="s">
        <v>249</v>
      </c>
      <c r="E725" s="24"/>
      <c r="F725" s="24"/>
      <c r="G725" s="21">
        <f>G733+G726</f>
        <v>11528.8</v>
      </c>
      <c r="H725" s="177"/>
    </row>
    <row r="726" spans="1:9" ht="47.25" x14ac:dyDescent="0.25">
      <c r="A726" s="29" t="s">
        <v>496</v>
      </c>
      <c r="B726" s="16">
        <v>907</v>
      </c>
      <c r="C726" s="20" t="s">
        <v>506</v>
      </c>
      <c r="D726" s="20" t="s">
        <v>249</v>
      </c>
      <c r="E726" s="40" t="s">
        <v>497</v>
      </c>
      <c r="F726" s="20"/>
      <c r="G726" s="26">
        <f>G727</f>
        <v>3047</v>
      </c>
      <c r="H726" s="177"/>
    </row>
    <row r="727" spans="1:9" ht="47.25" x14ac:dyDescent="0.25">
      <c r="A727" s="45" t="s">
        <v>516</v>
      </c>
      <c r="B727" s="16">
        <v>907</v>
      </c>
      <c r="C727" s="20" t="s">
        <v>506</v>
      </c>
      <c r="D727" s="20" t="s">
        <v>249</v>
      </c>
      <c r="E727" s="40" t="s">
        <v>517</v>
      </c>
      <c r="F727" s="20"/>
      <c r="G727" s="26">
        <f>G728</f>
        <v>3047</v>
      </c>
      <c r="H727" s="177"/>
    </row>
    <row r="728" spans="1:9" ht="31.5" x14ac:dyDescent="0.25">
      <c r="A728" s="29" t="s">
        <v>172</v>
      </c>
      <c r="B728" s="16">
        <v>907</v>
      </c>
      <c r="C728" s="20" t="s">
        <v>506</v>
      </c>
      <c r="D728" s="20" t="s">
        <v>249</v>
      </c>
      <c r="E728" s="40" t="s">
        <v>518</v>
      </c>
      <c r="F728" s="20"/>
      <c r="G728" s="26">
        <f>G731+G729</f>
        <v>3047</v>
      </c>
      <c r="H728" s="177"/>
    </row>
    <row r="729" spans="1:9" ht="94.5" x14ac:dyDescent="0.25">
      <c r="A729" s="25" t="s">
        <v>142</v>
      </c>
      <c r="B729" s="16">
        <v>907</v>
      </c>
      <c r="C729" s="20" t="s">
        <v>506</v>
      </c>
      <c r="D729" s="20" t="s">
        <v>249</v>
      </c>
      <c r="E729" s="40" t="s">
        <v>518</v>
      </c>
      <c r="F729" s="20" t="s">
        <v>143</v>
      </c>
      <c r="G729" s="26">
        <f>G730</f>
        <v>2111</v>
      </c>
      <c r="H729" s="177"/>
    </row>
    <row r="730" spans="1:9" ht="31.5" x14ac:dyDescent="0.25">
      <c r="A730" s="25" t="s">
        <v>144</v>
      </c>
      <c r="B730" s="16">
        <v>907</v>
      </c>
      <c r="C730" s="20" t="s">
        <v>506</v>
      </c>
      <c r="D730" s="20" t="s">
        <v>249</v>
      </c>
      <c r="E730" s="40" t="s">
        <v>518</v>
      </c>
      <c r="F730" s="20" t="s">
        <v>145</v>
      </c>
      <c r="G730" s="26">
        <v>2111</v>
      </c>
      <c r="H730" s="177"/>
      <c r="I730" s="115"/>
    </row>
    <row r="731" spans="1:9" ht="31.5" x14ac:dyDescent="0.25">
      <c r="A731" s="29" t="s">
        <v>146</v>
      </c>
      <c r="B731" s="16">
        <v>907</v>
      </c>
      <c r="C731" s="20" t="s">
        <v>506</v>
      </c>
      <c r="D731" s="20" t="s">
        <v>249</v>
      </c>
      <c r="E731" s="40" t="s">
        <v>518</v>
      </c>
      <c r="F731" s="20" t="s">
        <v>147</v>
      </c>
      <c r="G731" s="26">
        <f>G732</f>
        <v>936</v>
      </c>
      <c r="H731" s="177"/>
    </row>
    <row r="732" spans="1:9" ht="47.25" x14ac:dyDescent="0.25">
      <c r="A732" s="29" t="s">
        <v>148</v>
      </c>
      <c r="B732" s="16">
        <v>907</v>
      </c>
      <c r="C732" s="20" t="s">
        <v>506</v>
      </c>
      <c r="D732" s="20" t="s">
        <v>249</v>
      </c>
      <c r="E732" s="40" t="s">
        <v>518</v>
      </c>
      <c r="F732" s="20" t="s">
        <v>149</v>
      </c>
      <c r="G732" s="26">
        <f>3047-2111</f>
        <v>936</v>
      </c>
      <c r="H732" s="177"/>
      <c r="I732" s="115"/>
    </row>
    <row r="733" spans="1:9" ht="15.75" x14ac:dyDescent="0.25">
      <c r="A733" s="25" t="s">
        <v>136</v>
      </c>
      <c r="B733" s="16">
        <v>907</v>
      </c>
      <c r="C733" s="20" t="s">
        <v>506</v>
      </c>
      <c r="D733" s="20" t="s">
        <v>249</v>
      </c>
      <c r="E733" s="20" t="s">
        <v>137</v>
      </c>
      <c r="F733" s="20"/>
      <c r="G733" s="26">
        <f>G734+G740</f>
        <v>8481.7999999999993</v>
      </c>
      <c r="H733" s="177"/>
    </row>
    <row r="734" spans="1:9" ht="31.5" x14ac:dyDescent="0.25">
      <c r="A734" s="25" t="s">
        <v>138</v>
      </c>
      <c r="B734" s="16">
        <v>907</v>
      </c>
      <c r="C734" s="20" t="s">
        <v>506</v>
      </c>
      <c r="D734" s="20" t="s">
        <v>249</v>
      </c>
      <c r="E734" s="20" t="s">
        <v>139</v>
      </c>
      <c r="F734" s="20"/>
      <c r="G734" s="26">
        <f>G735</f>
        <v>3599.8</v>
      </c>
      <c r="H734" s="177"/>
    </row>
    <row r="735" spans="1:9" ht="47.25" x14ac:dyDescent="0.25">
      <c r="A735" s="25" t="s">
        <v>140</v>
      </c>
      <c r="B735" s="16">
        <v>907</v>
      </c>
      <c r="C735" s="20" t="s">
        <v>506</v>
      </c>
      <c r="D735" s="20" t="s">
        <v>249</v>
      </c>
      <c r="E735" s="20" t="s">
        <v>141</v>
      </c>
      <c r="F735" s="20"/>
      <c r="G735" s="26">
        <f>G736+G738</f>
        <v>3599.8</v>
      </c>
      <c r="H735" s="177"/>
    </row>
    <row r="736" spans="1:9" ht="94.5" x14ac:dyDescent="0.25">
      <c r="A736" s="25" t="s">
        <v>142</v>
      </c>
      <c r="B736" s="16">
        <v>907</v>
      </c>
      <c r="C736" s="20" t="s">
        <v>506</v>
      </c>
      <c r="D736" s="20" t="s">
        <v>249</v>
      </c>
      <c r="E736" s="20" t="s">
        <v>141</v>
      </c>
      <c r="F736" s="20" t="s">
        <v>143</v>
      </c>
      <c r="G736" s="26">
        <f>G737</f>
        <v>3599.8</v>
      </c>
      <c r="H736" s="177"/>
    </row>
    <row r="737" spans="1:12" ht="31.5" x14ac:dyDescent="0.25">
      <c r="A737" s="25" t="s">
        <v>144</v>
      </c>
      <c r="B737" s="16">
        <v>907</v>
      </c>
      <c r="C737" s="20" t="s">
        <v>506</v>
      </c>
      <c r="D737" s="20" t="s">
        <v>249</v>
      </c>
      <c r="E737" s="20" t="s">
        <v>141</v>
      </c>
      <c r="F737" s="20" t="s">
        <v>145</v>
      </c>
      <c r="G737" s="27">
        <v>3599.8</v>
      </c>
      <c r="H737" s="177"/>
    </row>
    <row r="738" spans="1:12" ht="31.5" hidden="1" x14ac:dyDescent="0.25">
      <c r="A738" s="25" t="s">
        <v>146</v>
      </c>
      <c r="B738" s="16">
        <v>907</v>
      </c>
      <c r="C738" s="20" t="s">
        <v>506</v>
      </c>
      <c r="D738" s="20" t="s">
        <v>249</v>
      </c>
      <c r="E738" s="20" t="s">
        <v>141</v>
      </c>
      <c r="F738" s="20" t="s">
        <v>147</v>
      </c>
      <c r="G738" s="26">
        <f>G739</f>
        <v>0</v>
      </c>
      <c r="H738" s="177"/>
    </row>
    <row r="739" spans="1:12" ht="47.25" hidden="1" x14ac:dyDescent="0.25">
      <c r="A739" s="25" t="s">
        <v>148</v>
      </c>
      <c r="B739" s="16">
        <v>907</v>
      </c>
      <c r="C739" s="20" t="s">
        <v>506</v>
      </c>
      <c r="D739" s="20" t="s">
        <v>249</v>
      </c>
      <c r="E739" s="20" t="s">
        <v>141</v>
      </c>
      <c r="F739" s="20" t="s">
        <v>149</v>
      </c>
      <c r="G739" s="26"/>
      <c r="H739" s="177"/>
    </row>
    <row r="740" spans="1:12" ht="15.75" x14ac:dyDescent="0.25">
      <c r="A740" s="25" t="s">
        <v>156</v>
      </c>
      <c r="B740" s="16">
        <v>907</v>
      </c>
      <c r="C740" s="20" t="s">
        <v>506</v>
      </c>
      <c r="D740" s="20" t="s">
        <v>249</v>
      </c>
      <c r="E740" s="20" t="s">
        <v>157</v>
      </c>
      <c r="F740" s="20"/>
      <c r="G740" s="26">
        <f>G741</f>
        <v>4882</v>
      </c>
      <c r="H740" s="177"/>
    </row>
    <row r="741" spans="1:12" ht="31.5" x14ac:dyDescent="0.25">
      <c r="A741" s="25" t="s">
        <v>355</v>
      </c>
      <c r="B741" s="16">
        <v>907</v>
      </c>
      <c r="C741" s="20" t="s">
        <v>506</v>
      </c>
      <c r="D741" s="20" t="s">
        <v>249</v>
      </c>
      <c r="E741" s="20" t="s">
        <v>356</v>
      </c>
      <c r="F741" s="20"/>
      <c r="G741" s="26">
        <f>G742+G744+G746</f>
        <v>4882</v>
      </c>
      <c r="H741" s="177"/>
      <c r="J741" s="417"/>
      <c r="K741" s="417"/>
    </row>
    <row r="742" spans="1:12" ht="94.5" x14ac:dyDescent="0.25">
      <c r="A742" s="25" t="s">
        <v>142</v>
      </c>
      <c r="B742" s="16">
        <v>907</v>
      </c>
      <c r="C742" s="20" t="s">
        <v>506</v>
      </c>
      <c r="D742" s="20" t="s">
        <v>249</v>
      </c>
      <c r="E742" s="20" t="s">
        <v>356</v>
      </c>
      <c r="F742" s="20" t="s">
        <v>143</v>
      </c>
      <c r="G742" s="26">
        <f>G743</f>
        <v>3660.7</v>
      </c>
      <c r="H742" s="177"/>
      <c r="J742" s="417"/>
      <c r="K742" s="417"/>
    </row>
    <row r="743" spans="1:12" ht="31.5" x14ac:dyDescent="0.25">
      <c r="A743" s="25" t="s">
        <v>357</v>
      </c>
      <c r="B743" s="16">
        <v>907</v>
      </c>
      <c r="C743" s="20" t="s">
        <v>506</v>
      </c>
      <c r="D743" s="20" t="s">
        <v>249</v>
      </c>
      <c r="E743" s="20" t="s">
        <v>356</v>
      </c>
      <c r="F743" s="20" t="s">
        <v>224</v>
      </c>
      <c r="G743" s="27">
        <f>4240.2-579.5</f>
        <v>3660.7</v>
      </c>
      <c r="H743" s="106"/>
      <c r="I743" s="124"/>
      <c r="J743" s="417"/>
      <c r="K743" s="417"/>
    </row>
    <row r="744" spans="1:12" ht="31.5" x14ac:dyDescent="0.25">
      <c r="A744" s="25" t="s">
        <v>146</v>
      </c>
      <c r="B744" s="16">
        <v>907</v>
      </c>
      <c r="C744" s="20" t="s">
        <v>506</v>
      </c>
      <c r="D744" s="20" t="s">
        <v>249</v>
      </c>
      <c r="E744" s="20" t="s">
        <v>356</v>
      </c>
      <c r="F744" s="20" t="s">
        <v>147</v>
      </c>
      <c r="G744" s="26">
        <f>G745</f>
        <v>1194.1999999999998</v>
      </c>
      <c r="H744" s="177"/>
      <c r="J744" s="417"/>
      <c r="K744" s="417"/>
    </row>
    <row r="745" spans="1:12" ht="47.25" x14ac:dyDescent="0.25">
      <c r="A745" s="25" t="s">
        <v>148</v>
      </c>
      <c r="B745" s="16">
        <v>907</v>
      </c>
      <c r="C745" s="20" t="s">
        <v>506</v>
      </c>
      <c r="D745" s="20" t="s">
        <v>249</v>
      </c>
      <c r="E745" s="20" t="s">
        <v>356</v>
      </c>
      <c r="F745" s="20" t="s">
        <v>149</v>
      </c>
      <c r="G745" s="27">
        <f>1339.6-145.4</f>
        <v>1194.1999999999998</v>
      </c>
      <c r="H745" s="106"/>
      <c r="I745" s="124"/>
      <c r="J745" s="417"/>
      <c r="K745" s="417"/>
    </row>
    <row r="746" spans="1:12" ht="15.75" x14ac:dyDescent="0.25">
      <c r="A746" s="25" t="s">
        <v>150</v>
      </c>
      <c r="B746" s="16">
        <v>907</v>
      </c>
      <c r="C746" s="20" t="s">
        <v>506</v>
      </c>
      <c r="D746" s="20" t="s">
        <v>249</v>
      </c>
      <c r="E746" s="20" t="s">
        <v>356</v>
      </c>
      <c r="F746" s="20" t="s">
        <v>160</v>
      </c>
      <c r="G746" s="26">
        <f>G747</f>
        <v>27.1</v>
      </c>
      <c r="H746" s="177"/>
      <c r="J746" s="417"/>
      <c r="K746" s="417"/>
    </row>
    <row r="747" spans="1:12" ht="15.75" x14ac:dyDescent="0.25">
      <c r="A747" s="25" t="s">
        <v>583</v>
      </c>
      <c r="B747" s="16">
        <v>907</v>
      </c>
      <c r="C747" s="20" t="s">
        <v>506</v>
      </c>
      <c r="D747" s="20" t="s">
        <v>249</v>
      </c>
      <c r="E747" s="20" t="s">
        <v>356</v>
      </c>
      <c r="F747" s="20" t="s">
        <v>153</v>
      </c>
      <c r="G747" s="26">
        <f>27.1</f>
        <v>27.1</v>
      </c>
      <c r="H747" s="106"/>
      <c r="I747" s="124"/>
      <c r="J747" s="417"/>
      <c r="K747" s="417"/>
    </row>
    <row r="748" spans="1:12" ht="47.25" x14ac:dyDescent="0.25">
      <c r="A748" s="19" t="s">
        <v>519</v>
      </c>
      <c r="B748" s="19">
        <v>908</v>
      </c>
      <c r="C748" s="20"/>
      <c r="D748" s="20"/>
      <c r="E748" s="20"/>
      <c r="F748" s="20"/>
      <c r="G748" s="21">
        <f>G763+G770+G784+G918+G749</f>
        <v>143249.49000000002</v>
      </c>
      <c r="H748" s="177"/>
      <c r="L748" s="116"/>
    </row>
    <row r="749" spans="1:12" ht="15.75" x14ac:dyDescent="0.25">
      <c r="A749" s="34" t="s">
        <v>132</v>
      </c>
      <c r="B749" s="19">
        <v>908</v>
      </c>
      <c r="C749" s="24" t="s">
        <v>133</v>
      </c>
      <c r="D749" s="20"/>
      <c r="E749" s="20"/>
      <c r="F749" s="20"/>
      <c r="G749" s="21">
        <f>G750</f>
        <v>16714.8</v>
      </c>
      <c r="H749" s="177"/>
      <c r="L749" s="116"/>
    </row>
    <row r="750" spans="1:12" ht="15.75" x14ac:dyDescent="0.25">
      <c r="A750" s="34" t="s">
        <v>154</v>
      </c>
      <c r="B750" s="19">
        <v>908</v>
      </c>
      <c r="C750" s="24" t="s">
        <v>133</v>
      </c>
      <c r="D750" s="24" t="s">
        <v>155</v>
      </c>
      <c r="E750" s="20"/>
      <c r="F750" s="20"/>
      <c r="G750" s="21">
        <f>G752+G755</f>
        <v>16714.8</v>
      </c>
      <c r="H750" s="177"/>
      <c r="L750" s="116"/>
    </row>
    <row r="751" spans="1:12" ht="15.75" x14ac:dyDescent="0.25">
      <c r="A751" s="25" t="s">
        <v>156</v>
      </c>
      <c r="B751" s="16">
        <v>908</v>
      </c>
      <c r="C751" s="20" t="s">
        <v>133</v>
      </c>
      <c r="D751" s="20" t="s">
        <v>155</v>
      </c>
      <c r="E751" s="20" t="s">
        <v>157</v>
      </c>
      <c r="F751" s="20"/>
      <c r="G751" s="26">
        <f>G752</f>
        <v>262.5</v>
      </c>
      <c r="H751" s="177"/>
      <c r="L751" s="116"/>
    </row>
    <row r="752" spans="1:12" ht="15.75" x14ac:dyDescent="0.25">
      <c r="A752" s="25" t="s">
        <v>158</v>
      </c>
      <c r="B752" s="16">
        <v>908</v>
      </c>
      <c r="C752" s="20" t="s">
        <v>133</v>
      </c>
      <c r="D752" s="20" t="s">
        <v>155</v>
      </c>
      <c r="E752" s="20" t="s">
        <v>159</v>
      </c>
      <c r="F752" s="20"/>
      <c r="G752" s="26">
        <f>G753</f>
        <v>262.5</v>
      </c>
      <c r="H752" s="177"/>
      <c r="L752" s="116"/>
    </row>
    <row r="753" spans="1:12" ht="15.75" x14ac:dyDescent="0.25">
      <c r="A753" s="25" t="s">
        <v>150</v>
      </c>
      <c r="B753" s="16">
        <v>908</v>
      </c>
      <c r="C753" s="20" t="s">
        <v>133</v>
      </c>
      <c r="D753" s="20" t="s">
        <v>155</v>
      </c>
      <c r="E753" s="20" t="s">
        <v>159</v>
      </c>
      <c r="F753" s="20" t="s">
        <v>160</v>
      </c>
      <c r="G753" s="26">
        <f>G754</f>
        <v>262.5</v>
      </c>
      <c r="H753" s="177"/>
      <c r="L753" s="116"/>
    </row>
    <row r="754" spans="1:12" ht="15.75" x14ac:dyDescent="0.25">
      <c r="A754" s="25" t="s">
        <v>583</v>
      </c>
      <c r="B754" s="16">
        <v>908</v>
      </c>
      <c r="C754" s="20" t="s">
        <v>133</v>
      </c>
      <c r="D754" s="20" t="s">
        <v>155</v>
      </c>
      <c r="E754" s="20" t="s">
        <v>159</v>
      </c>
      <c r="F754" s="20" t="s">
        <v>153</v>
      </c>
      <c r="G754" s="26">
        <v>262.5</v>
      </c>
      <c r="H754" s="106"/>
      <c r="I754" s="124"/>
      <c r="L754" s="116"/>
    </row>
    <row r="755" spans="1:12" ht="31.5" x14ac:dyDescent="0.25">
      <c r="A755" s="25" t="s">
        <v>599</v>
      </c>
      <c r="B755" s="16">
        <v>908</v>
      </c>
      <c r="C755" s="20" t="s">
        <v>133</v>
      </c>
      <c r="D755" s="20" t="s">
        <v>155</v>
      </c>
      <c r="E755" s="20" t="s">
        <v>600</v>
      </c>
      <c r="F755" s="20"/>
      <c r="G755" s="27">
        <f>G756</f>
        <v>16452.3</v>
      </c>
      <c r="H755" s="177"/>
    </row>
    <row r="756" spans="1:12" ht="31.5" x14ac:dyDescent="0.25">
      <c r="A756" s="25" t="s">
        <v>325</v>
      </c>
      <c r="B756" s="16">
        <v>908</v>
      </c>
      <c r="C756" s="20" t="s">
        <v>133</v>
      </c>
      <c r="D756" s="20" t="s">
        <v>155</v>
      </c>
      <c r="E756" s="20" t="s">
        <v>601</v>
      </c>
      <c r="F756" s="20"/>
      <c r="G756" s="27">
        <f>G757+G759+G761</f>
        <v>16452.3</v>
      </c>
      <c r="H756" s="177"/>
    </row>
    <row r="757" spans="1:12" ht="94.5" x14ac:dyDescent="0.25">
      <c r="A757" s="25" t="s">
        <v>142</v>
      </c>
      <c r="B757" s="16">
        <v>908</v>
      </c>
      <c r="C757" s="20" t="s">
        <v>133</v>
      </c>
      <c r="D757" s="20" t="s">
        <v>155</v>
      </c>
      <c r="E757" s="20" t="s">
        <v>601</v>
      </c>
      <c r="F757" s="20" t="s">
        <v>143</v>
      </c>
      <c r="G757" s="27">
        <f>G758</f>
        <v>13760</v>
      </c>
      <c r="H757" s="177"/>
    </row>
    <row r="758" spans="1:12" ht="31.5" x14ac:dyDescent="0.25">
      <c r="A758" s="46" t="s">
        <v>357</v>
      </c>
      <c r="B758" s="16">
        <v>908</v>
      </c>
      <c r="C758" s="20" t="s">
        <v>133</v>
      </c>
      <c r="D758" s="20" t="s">
        <v>155</v>
      </c>
      <c r="E758" s="20" t="s">
        <v>601</v>
      </c>
      <c r="F758" s="20" t="s">
        <v>224</v>
      </c>
      <c r="G758" s="166">
        <f>13403.8+356.2</f>
        <v>13760</v>
      </c>
      <c r="H758" s="106" t="s">
        <v>763</v>
      </c>
      <c r="I758" s="124"/>
      <c r="L758" s="116"/>
    </row>
    <row r="759" spans="1:12" ht="31.5" x14ac:dyDescent="0.25">
      <c r="A759" s="25" t="s">
        <v>146</v>
      </c>
      <c r="B759" s="16">
        <v>908</v>
      </c>
      <c r="C759" s="20" t="s">
        <v>133</v>
      </c>
      <c r="D759" s="20" t="s">
        <v>155</v>
      </c>
      <c r="E759" s="20" t="s">
        <v>601</v>
      </c>
      <c r="F759" s="20" t="s">
        <v>147</v>
      </c>
      <c r="G759" s="27">
        <f>G760</f>
        <v>2678</v>
      </c>
      <c r="H759" s="177"/>
      <c r="L759" s="116"/>
    </row>
    <row r="760" spans="1:12" ht="47.25" x14ac:dyDescent="0.25">
      <c r="A760" s="25" t="s">
        <v>148</v>
      </c>
      <c r="B760" s="16">
        <v>908</v>
      </c>
      <c r="C760" s="20" t="s">
        <v>133</v>
      </c>
      <c r="D760" s="20" t="s">
        <v>155</v>
      </c>
      <c r="E760" s="20" t="s">
        <v>601</v>
      </c>
      <c r="F760" s="20" t="s">
        <v>149</v>
      </c>
      <c r="G760" s="166">
        <f>3034.2-356.2</f>
        <v>2678</v>
      </c>
      <c r="H760" s="106" t="s">
        <v>764</v>
      </c>
      <c r="I760" s="124"/>
      <c r="L760" s="116"/>
    </row>
    <row r="761" spans="1:12" ht="15.75" x14ac:dyDescent="0.25">
      <c r="A761" s="25" t="s">
        <v>150</v>
      </c>
      <c r="B761" s="16">
        <v>908</v>
      </c>
      <c r="C761" s="20" t="s">
        <v>133</v>
      </c>
      <c r="D761" s="20" t="s">
        <v>155</v>
      </c>
      <c r="E761" s="20" t="s">
        <v>601</v>
      </c>
      <c r="F761" s="20" t="s">
        <v>160</v>
      </c>
      <c r="G761" s="27">
        <f>G762</f>
        <v>14.3</v>
      </c>
      <c r="H761" s="177"/>
      <c r="L761" s="116"/>
    </row>
    <row r="762" spans="1:12" ht="15.75" x14ac:dyDescent="0.25">
      <c r="A762" s="25" t="s">
        <v>725</v>
      </c>
      <c r="B762" s="16">
        <v>908</v>
      </c>
      <c r="C762" s="20" t="s">
        <v>133</v>
      </c>
      <c r="D762" s="20" t="s">
        <v>155</v>
      </c>
      <c r="E762" s="20" t="s">
        <v>601</v>
      </c>
      <c r="F762" s="20" t="s">
        <v>153</v>
      </c>
      <c r="G762" s="27">
        <v>14.3</v>
      </c>
      <c r="H762" s="106"/>
      <c r="I762" s="124"/>
      <c r="L762" s="116"/>
    </row>
    <row r="763" spans="1:12" ht="31.5" x14ac:dyDescent="0.25">
      <c r="A763" s="23" t="s">
        <v>237</v>
      </c>
      <c r="B763" s="19">
        <v>908</v>
      </c>
      <c r="C763" s="24" t="s">
        <v>230</v>
      </c>
      <c r="D763" s="24"/>
      <c r="E763" s="24"/>
      <c r="F763" s="24"/>
      <c r="G763" s="21">
        <f t="shared" ref="G763:G768" si="4">G764</f>
        <v>50</v>
      </c>
      <c r="H763" s="177"/>
    </row>
    <row r="764" spans="1:12" ht="63" x14ac:dyDescent="0.25">
      <c r="A764" s="23" t="s">
        <v>238</v>
      </c>
      <c r="B764" s="19">
        <v>908</v>
      </c>
      <c r="C764" s="24" t="s">
        <v>230</v>
      </c>
      <c r="D764" s="24" t="s">
        <v>234</v>
      </c>
      <c r="E764" s="24"/>
      <c r="F764" s="24"/>
      <c r="G764" s="21">
        <f t="shared" si="4"/>
        <v>50</v>
      </c>
      <c r="H764" s="177"/>
    </row>
    <row r="765" spans="1:12" ht="21.75" customHeight="1" x14ac:dyDescent="0.25">
      <c r="A765" s="25" t="s">
        <v>136</v>
      </c>
      <c r="B765" s="16">
        <v>908</v>
      </c>
      <c r="C765" s="20" t="s">
        <v>230</v>
      </c>
      <c r="D765" s="20" t="s">
        <v>234</v>
      </c>
      <c r="E765" s="20" t="s">
        <v>137</v>
      </c>
      <c r="F765" s="20"/>
      <c r="G765" s="26">
        <f t="shared" si="4"/>
        <v>50</v>
      </c>
      <c r="H765" s="177"/>
    </row>
    <row r="766" spans="1:12" ht="15.75" x14ac:dyDescent="0.25">
      <c r="A766" s="25" t="s">
        <v>156</v>
      </c>
      <c r="B766" s="16">
        <v>908</v>
      </c>
      <c r="C766" s="20" t="s">
        <v>230</v>
      </c>
      <c r="D766" s="20" t="s">
        <v>234</v>
      </c>
      <c r="E766" s="20" t="s">
        <v>157</v>
      </c>
      <c r="F766" s="20"/>
      <c r="G766" s="26">
        <f t="shared" si="4"/>
        <v>50</v>
      </c>
      <c r="H766" s="177"/>
    </row>
    <row r="767" spans="1:12" ht="15.75" x14ac:dyDescent="0.25">
      <c r="A767" s="25" t="s">
        <v>245</v>
      </c>
      <c r="B767" s="16">
        <v>908</v>
      </c>
      <c r="C767" s="20" t="s">
        <v>230</v>
      </c>
      <c r="D767" s="20" t="s">
        <v>234</v>
      </c>
      <c r="E767" s="20" t="s">
        <v>246</v>
      </c>
      <c r="F767" s="20"/>
      <c r="G767" s="26">
        <f t="shared" si="4"/>
        <v>50</v>
      </c>
      <c r="H767" s="177"/>
    </row>
    <row r="768" spans="1:12" ht="31.5" x14ac:dyDescent="0.25">
      <c r="A768" s="25" t="s">
        <v>146</v>
      </c>
      <c r="B768" s="16">
        <v>908</v>
      </c>
      <c r="C768" s="20" t="s">
        <v>230</v>
      </c>
      <c r="D768" s="20" t="s">
        <v>234</v>
      </c>
      <c r="E768" s="20" t="s">
        <v>246</v>
      </c>
      <c r="F768" s="20" t="s">
        <v>147</v>
      </c>
      <c r="G768" s="26">
        <f t="shared" si="4"/>
        <v>50</v>
      </c>
      <c r="H768" s="177"/>
    </row>
    <row r="769" spans="1:9" ht="47.25" x14ac:dyDescent="0.25">
      <c r="A769" s="25" t="s">
        <v>148</v>
      </c>
      <c r="B769" s="16">
        <v>908</v>
      </c>
      <c r="C769" s="20" t="s">
        <v>230</v>
      </c>
      <c r="D769" s="20" t="s">
        <v>234</v>
      </c>
      <c r="E769" s="20" t="s">
        <v>246</v>
      </c>
      <c r="F769" s="20" t="s">
        <v>149</v>
      </c>
      <c r="G769" s="26">
        <v>50</v>
      </c>
      <c r="H769" s="177"/>
    </row>
    <row r="770" spans="1:9" ht="15.75" x14ac:dyDescent="0.25">
      <c r="A770" s="23" t="s">
        <v>247</v>
      </c>
      <c r="B770" s="19">
        <v>908</v>
      </c>
      <c r="C770" s="24" t="s">
        <v>165</v>
      </c>
      <c r="D770" s="24"/>
      <c r="E770" s="24"/>
      <c r="F770" s="24"/>
      <c r="G770" s="21">
        <f>G771+G777</f>
        <v>18331.8</v>
      </c>
      <c r="H770" s="177"/>
    </row>
    <row r="771" spans="1:9" ht="15.75" x14ac:dyDescent="0.25">
      <c r="A771" s="23" t="s">
        <v>520</v>
      </c>
      <c r="B771" s="19">
        <v>908</v>
      </c>
      <c r="C771" s="24" t="s">
        <v>165</v>
      </c>
      <c r="D771" s="24" t="s">
        <v>314</v>
      </c>
      <c r="E771" s="24"/>
      <c r="F771" s="24"/>
      <c r="G771" s="21">
        <f>G772</f>
        <v>3207.7</v>
      </c>
      <c r="H771" s="177"/>
    </row>
    <row r="772" spans="1:9" ht="15.75" x14ac:dyDescent="0.25">
      <c r="A772" s="25" t="s">
        <v>136</v>
      </c>
      <c r="B772" s="16">
        <v>908</v>
      </c>
      <c r="C772" s="20" t="s">
        <v>165</v>
      </c>
      <c r="D772" s="20" t="s">
        <v>314</v>
      </c>
      <c r="E772" s="20" t="s">
        <v>137</v>
      </c>
      <c r="F772" s="24"/>
      <c r="G772" s="26">
        <f>G773</f>
        <v>3207.7</v>
      </c>
      <c r="H772" s="177"/>
    </row>
    <row r="773" spans="1:9" ht="15.75" x14ac:dyDescent="0.25">
      <c r="A773" s="25" t="s">
        <v>156</v>
      </c>
      <c r="B773" s="16">
        <v>908</v>
      </c>
      <c r="C773" s="20" t="s">
        <v>165</v>
      </c>
      <c r="D773" s="20" t="s">
        <v>314</v>
      </c>
      <c r="E773" s="20" t="s">
        <v>157</v>
      </c>
      <c r="F773" s="24"/>
      <c r="G773" s="26">
        <f>G774</f>
        <v>3207.7</v>
      </c>
      <c r="H773" s="177"/>
    </row>
    <row r="774" spans="1:9" ht="39.200000000000003" customHeight="1" x14ac:dyDescent="0.25">
      <c r="A774" s="25" t="s">
        <v>521</v>
      </c>
      <c r="B774" s="16">
        <v>908</v>
      </c>
      <c r="C774" s="20" t="s">
        <v>165</v>
      </c>
      <c r="D774" s="20" t="s">
        <v>314</v>
      </c>
      <c r="E774" s="20" t="s">
        <v>522</v>
      </c>
      <c r="F774" s="20"/>
      <c r="G774" s="26">
        <f>G775</f>
        <v>3207.7</v>
      </c>
      <c r="H774" s="177"/>
    </row>
    <row r="775" spans="1:9" ht="31.5" x14ac:dyDescent="0.25">
      <c r="A775" s="25" t="s">
        <v>146</v>
      </c>
      <c r="B775" s="16">
        <v>908</v>
      </c>
      <c r="C775" s="20" t="s">
        <v>165</v>
      </c>
      <c r="D775" s="20" t="s">
        <v>314</v>
      </c>
      <c r="E775" s="20" t="s">
        <v>522</v>
      </c>
      <c r="F775" s="20" t="s">
        <v>147</v>
      </c>
      <c r="G775" s="26">
        <f>G776</f>
        <v>3207.7</v>
      </c>
      <c r="H775" s="177"/>
    </row>
    <row r="776" spans="1:9" ht="47.25" x14ac:dyDescent="0.25">
      <c r="A776" s="25" t="s">
        <v>148</v>
      </c>
      <c r="B776" s="16">
        <v>908</v>
      </c>
      <c r="C776" s="20" t="s">
        <v>165</v>
      </c>
      <c r="D776" s="20" t="s">
        <v>314</v>
      </c>
      <c r="E776" s="20" t="s">
        <v>522</v>
      </c>
      <c r="F776" s="20" t="s">
        <v>149</v>
      </c>
      <c r="G776" s="26">
        <v>3207.7</v>
      </c>
      <c r="H776" s="177"/>
    </row>
    <row r="777" spans="1:9" ht="15.75" x14ac:dyDescent="0.25">
      <c r="A777" s="23" t="s">
        <v>523</v>
      </c>
      <c r="B777" s="19">
        <v>908</v>
      </c>
      <c r="C777" s="24" t="s">
        <v>165</v>
      </c>
      <c r="D777" s="24" t="s">
        <v>234</v>
      </c>
      <c r="E777" s="20"/>
      <c r="F777" s="24"/>
      <c r="G777" s="21">
        <f>G778</f>
        <v>15124.1</v>
      </c>
      <c r="H777" s="177"/>
    </row>
    <row r="778" spans="1:9" ht="47.25" x14ac:dyDescent="0.25">
      <c r="A778" s="31" t="s">
        <v>524</v>
      </c>
      <c r="B778" s="16">
        <v>908</v>
      </c>
      <c r="C778" s="20" t="s">
        <v>165</v>
      </c>
      <c r="D778" s="20" t="s">
        <v>234</v>
      </c>
      <c r="E778" s="20" t="s">
        <v>525</v>
      </c>
      <c r="F778" s="20"/>
      <c r="G778" s="26">
        <f>G779</f>
        <v>15124.1</v>
      </c>
      <c r="H778" s="177"/>
    </row>
    <row r="779" spans="1:9" ht="15.75" x14ac:dyDescent="0.25">
      <c r="A779" s="29" t="s">
        <v>526</v>
      </c>
      <c r="B779" s="16">
        <v>908</v>
      </c>
      <c r="C779" s="20" t="s">
        <v>165</v>
      </c>
      <c r="D779" s="20" t="s">
        <v>234</v>
      </c>
      <c r="E779" s="40" t="s">
        <v>527</v>
      </c>
      <c r="F779" s="20"/>
      <c r="G779" s="26">
        <f>G780+G782</f>
        <v>15124.1</v>
      </c>
      <c r="H779" s="177"/>
    </row>
    <row r="780" spans="1:9" ht="31.5" x14ac:dyDescent="0.25">
      <c r="A780" s="25" t="s">
        <v>146</v>
      </c>
      <c r="B780" s="16">
        <v>908</v>
      </c>
      <c r="C780" s="20" t="s">
        <v>165</v>
      </c>
      <c r="D780" s="20" t="s">
        <v>234</v>
      </c>
      <c r="E780" s="40" t="s">
        <v>527</v>
      </c>
      <c r="F780" s="20" t="s">
        <v>147</v>
      </c>
      <c r="G780" s="26">
        <f>G781</f>
        <v>15108.1</v>
      </c>
      <c r="H780" s="177"/>
    </row>
    <row r="781" spans="1:9" ht="47.25" x14ac:dyDescent="0.25">
      <c r="A781" s="25" t="s">
        <v>148</v>
      </c>
      <c r="B781" s="16">
        <v>908</v>
      </c>
      <c r="C781" s="20" t="s">
        <v>165</v>
      </c>
      <c r="D781" s="20" t="s">
        <v>234</v>
      </c>
      <c r="E781" s="40" t="s">
        <v>527</v>
      </c>
      <c r="F781" s="20" t="s">
        <v>149</v>
      </c>
      <c r="G781" s="26">
        <f>15124.1-10-6</f>
        <v>15108.1</v>
      </c>
      <c r="H781" s="120" t="s">
        <v>783</v>
      </c>
    </row>
    <row r="782" spans="1:9" ht="15.75" x14ac:dyDescent="0.25">
      <c r="A782" s="25" t="s">
        <v>150</v>
      </c>
      <c r="B782" s="16">
        <v>908</v>
      </c>
      <c r="C782" s="20" t="s">
        <v>165</v>
      </c>
      <c r="D782" s="20" t="s">
        <v>234</v>
      </c>
      <c r="E782" s="40" t="s">
        <v>527</v>
      </c>
      <c r="F782" s="20" t="s">
        <v>160</v>
      </c>
      <c r="G782" s="26">
        <f>G783</f>
        <v>16</v>
      </c>
      <c r="H782" s="177"/>
    </row>
    <row r="783" spans="1:9" ht="15.75" x14ac:dyDescent="0.25">
      <c r="A783" s="25" t="s">
        <v>583</v>
      </c>
      <c r="B783" s="16">
        <v>908</v>
      </c>
      <c r="C783" s="20" t="s">
        <v>165</v>
      </c>
      <c r="D783" s="20" t="s">
        <v>234</v>
      </c>
      <c r="E783" s="40" t="s">
        <v>527</v>
      </c>
      <c r="F783" s="20" t="s">
        <v>153</v>
      </c>
      <c r="G783" s="26">
        <f>10+6</f>
        <v>16</v>
      </c>
      <c r="H783" s="157" t="s">
        <v>784</v>
      </c>
    </row>
    <row r="784" spans="1:9" ht="15.75" x14ac:dyDescent="0.25">
      <c r="A784" s="23" t="s">
        <v>405</v>
      </c>
      <c r="B784" s="19">
        <v>908</v>
      </c>
      <c r="C784" s="24" t="s">
        <v>249</v>
      </c>
      <c r="D784" s="24"/>
      <c r="E784" s="24"/>
      <c r="F784" s="24"/>
      <c r="G784" s="21">
        <f>G785+G800+G847+G899</f>
        <v>108065.79000000001</v>
      </c>
      <c r="H784" s="177"/>
      <c r="I784" s="114"/>
    </row>
    <row r="785" spans="1:12" ht="15.75" x14ac:dyDescent="0.25">
      <c r="A785" s="23" t="s">
        <v>406</v>
      </c>
      <c r="B785" s="19">
        <v>908</v>
      </c>
      <c r="C785" s="24" t="s">
        <v>249</v>
      </c>
      <c r="D785" s="24" t="s">
        <v>133</v>
      </c>
      <c r="E785" s="24"/>
      <c r="F785" s="24"/>
      <c r="G785" s="21">
        <f>G786</f>
        <v>7765.4000000000005</v>
      </c>
      <c r="H785" s="177"/>
    </row>
    <row r="786" spans="1:12" ht="15.75" x14ac:dyDescent="0.25">
      <c r="A786" s="25" t="s">
        <v>136</v>
      </c>
      <c r="B786" s="16">
        <v>908</v>
      </c>
      <c r="C786" s="20" t="s">
        <v>249</v>
      </c>
      <c r="D786" s="20" t="s">
        <v>133</v>
      </c>
      <c r="E786" s="20" t="s">
        <v>137</v>
      </c>
      <c r="F786" s="20"/>
      <c r="G786" s="26">
        <f>G791</f>
        <v>7765.4000000000005</v>
      </c>
      <c r="H786" s="177"/>
    </row>
    <row r="787" spans="1:12" ht="31.5" hidden="1" x14ac:dyDescent="0.25">
      <c r="A787" s="25" t="s">
        <v>200</v>
      </c>
      <c r="B787" s="16">
        <v>908</v>
      </c>
      <c r="C787" s="20" t="s">
        <v>249</v>
      </c>
      <c r="D787" s="20" t="s">
        <v>133</v>
      </c>
      <c r="E787" s="20" t="s">
        <v>201</v>
      </c>
      <c r="F787" s="20"/>
      <c r="G787" s="26">
        <f>G788</f>
        <v>0</v>
      </c>
      <c r="H787" s="177"/>
    </row>
    <row r="788" spans="1:12" ht="15.75" hidden="1" x14ac:dyDescent="0.25">
      <c r="A788" s="25" t="s">
        <v>528</v>
      </c>
      <c r="B788" s="16">
        <v>908</v>
      </c>
      <c r="C788" s="20" t="s">
        <v>249</v>
      </c>
      <c r="D788" s="20" t="s">
        <v>133</v>
      </c>
      <c r="E788" s="20" t="s">
        <v>529</v>
      </c>
      <c r="F788" s="20"/>
      <c r="G788" s="26">
        <f>G789</f>
        <v>0</v>
      </c>
      <c r="H788" s="177"/>
    </row>
    <row r="789" spans="1:12" ht="15.75" hidden="1" x14ac:dyDescent="0.25">
      <c r="A789" s="25" t="s">
        <v>150</v>
      </c>
      <c r="B789" s="16">
        <v>908</v>
      </c>
      <c r="C789" s="20" t="s">
        <v>249</v>
      </c>
      <c r="D789" s="20" t="s">
        <v>133</v>
      </c>
      <c r="E789" s="20" t="s">
        <v>529</v>
      </c>
      <c r="F789" s="20" t="s">
        <v>160</v>
      </c>
      <c r="G789" s="26">
        <f>G790</f>
        <v>0</v>
      </c>
      <c r="H789" s="177"/>
    </row>
    <row r="790" spans="1:12" ht="63" hidden="1" x14ac:dyDescent="0.25">
      <c r="A790" s="25" t="s">
        <v>199</v>
      </c>
      <c r="B790" s="16">
        <v>908</v>
      </c>
      <c r="C790" s="20" t="s">
        <v>249</v>
      </c>
      <c r="D790" s="20" t="s">
        <v>133</v>
      </c>
      <c r="E790" s="20" t="s">
        <v>529</v>
      </c>
      <c r="F790" s="20" t="s">
        <v>175</v>
      </c>
      <c r="G790" s="26">
        <v>0</v>
      </c>
      <c r="H790" s="177"/>
    </row>
    <row r="791" spans="1:12" ht="15.75" x14ac:dyDescent="0.25">
      <c r="A791" s="25" t="s">
        <v>156</v>
      </c>
      <c r="B791" s="16">
        <v>908</v>
      </c>
      <c r="C791" s="20" t="s">
        <v>249</v>
      </c>
      <c r="D791" s="20" t="s">
        <v>133</v>
      </c>
      <c r="E791" s="20" t="s">
        <v>157</v>
      </c>
      <c r="F791" s="24"/>
      <c r="G791" s="26">
        <f>G792+G797</f>
        <v>7765.4000000000005</v>
      </c>
      <c r="H791" s="177"/>
    </row>
    <row r="792" spans="1:12" ht="15.75" x14ac:dyDescent="0.25">
      <c r="A792" s="25" t="s">
        <v>530</v>
      </c>
      <c r="B792" s="16">
        <v>908</v>
      </c>
      <c r="C792" s="20" t="s">
        <v>249</v>
      </c>
      <c r="D792" s="20" t="s">
        <v>133</v>
      </c>
      <c r="E792" s="20" t="s">
        <v>531</v>
      </c>
      <c r="F792" s="24"/>
      <c r="G792" s="26">
        <f>G795+G793</f>
        <v>3531.3</v>
      </c>
      <c r="H792" s="177"/>
    </row>
    <row r="793" spans="1:12" ht="31.5" x14ac:dyDescent="0.25">
      <c r="A793" s="25" t="s">
        <v>146</v>
      </c>
      <c r="B793" s="16">
        <v>908</v>
      </c>
      <c r="C793" s="20" t="s">
        <v>249</v>
      </c>
      <c r="D793" s="20" t="s">
        <v>133</v>
      </c>
      <c r="E793" s="20" t="s">
        <v>531</v>
      </c>
      <c r="F793" s="20" t="s">
        <v>147</v>
      </c>
      <c r="G793" s="26">
        <f>G794</f>
        <v>1131.3</v>
      </c>
      <c r="H793" s="177"/>
    </row>
    <row r="794" spans="1:12" ht="47.25" x14ac:dyDescent="0.25">
      <c r="A794" s="25" t="s">
        <v>148</v>
      </c>
      <c r="B794" s="16">
        <v>908</v>
      </c>
      <c r="C794" s="20" t="s">
        <v>249</v>
      </c>
      <c r="D794" s="20" t="s">
        <v>133</v>
      </c>
      <c r="E794" s="20" t="s">
        <v>531</v>
      </c>
      <c r="F794" s="20" t="s">
        <v>149</v>
      </c>
      <c r="G794" s="26">
        <v>1131.3</v>
      </c>
      <c r="H794" s="106"/>
      <c r="I794" s="125"/>
    </row>
    <row r="795" spans="1:12" ht="15.75" x14ac:dyDescent="0.25">
      <c r="A795" s="25" t="s">
        <v>150</v>
      </c>
      <c r="B795" s="16">
        <v>908</v>
      </c>
      <c r="C795" s="20" t="s">
        <v>249</v>
      </c>
      <c r="D795" s="20" t="s">
        <v>133</v>
      </c>
      <c r="E795" s="20" t="s">
        <v>531</v>
      </c>
      <c r="F795" s="20" t="s">
        <v>160</v>
      </c>
      <c r="G795" s="26">
        <f>G796</f>
        <v>2400</v>
      </c>
      <c r="H795" s="177"/>
    </row>
    <row r="796" spans="1:12" ht="63" x14ac:dyDescent="0.25">
      <c r="A796" s="25" t="s">
        <v>199</v>
      </c>
      <c r="B796" s="16">
        <v>908</v>
      </c>
      <c r="C796" s="20" t="s">
        <v>249</v>
      </c>
      <c r="D796" s="20" t="s">
        <v>133</v>
      </c>
      <c r="E796" s="20" t="s">
        <v>531</v>
      </c>
      <c r="F796" s="20" t="s">
        <v>175</v>
      </c>
      <c r="G796" s="26">
        <f>1500+900</f>
        <v>2400</v>
      </c>
      <c r="H796" s="177"/>
      <c r="I796" s="115"/>
    </row>
    <row r="797" spans="1:12" ht="31.5" x14ac:dyDescent="0.25">
      <c r="A797" s="29" t="s">
        <v>413</v>
      </c>
      <c r="B797" s="16">
        <v>908</v>
      </c>
      <c r="C797" s="20" t="s">
        <v>249</v>
      </c>
      <c r="D797" s="20" t="s">
        <v>133</v>
      </c>
      <c r="E797" s="20" t="s">
        <v>414</v>
      </c>
      <c r="F797" s="24"/>
      <c r="G797" s="26">
        <f>G798</f>
        <v>4234.1000000000004</v>
      </c>
      <c r="H797" s="177"/>
    </row>
    <row r="798" spans="1:12" ht="31.5" x14ac:dyDescent="0.25">
      <c r="A798" s="25" t="s">
        <v>146</v>
      </c>
      <c r="B798" s="16">
        <v>908</v>
      </c>
      <c r="C798" s="20" t="s">
        <v>249</v>
      </c>
      <c r="D798" s="20" t="s">
        <v>133</v>
      </c>
      <c r="E798" s="20" t="s">
        <v>414</v>
      </c>
      <c r="F798" s="20" t="s">
        <v>147</v>
      </c>
      <c r="G798" s="26">
        <f>G799</f>
        <v>4234.1000000000004</v>
      </c>
      <c r="H798" s="177"/>
    </row>
    <row r="799" spans="1:12" ht="47.25" x14ac:dyDescent="0.25">
      <c r="A799" s="25" t="s">
        <v>148</v>
      </c>
      <c r="B799" s="16">
        <v>908</v>
      </c>
      <c r="C799" s="20" t="s">
        <v>249</v>
      </c>
      <c r="D799" s="20" t="s">
        <v>133</v>
      </c>
      <c r="E799" s="20" t="s">
        <v>414</v>
      </c>
      <c r="F799" s="20" t="s">
        <v>149</v>
      </c>
      <c r="G799" s="27">
        <f>3811.8+422.3</f>
        <v>4234.1000000000004</v>
      </c>
      <c r="H799" s="177"/>
    </row>
    <row r="800" spans="1:12" ht="15.75" x14ac:dyDescent="0.25">
      <c r="A800" s="23" t="s">
        <v>532</v>
      </c>
      <c r="B800" s="19">
        <v>908</v>
      </c>
      <c r="C800" s="24" t="s">
        <v>249</v>
      </c>
      <c r="D800" s="24" t="s">
        <v>228</v>
      </c>
      <c r="E800" s="24"/>
      <c r="F800" s="24"/>
      <c r="G800" s="21">
        <f>G801+G826</f>
        <v>53711.1</v>
      </c>
      <c r="H800" s="177"/>
      <c r="I800" s="115"/>
      <c r="L800" s="116"/>
    </row>
    <row r="801" spans="1:10" ht="82.5" customHeight="1" x14ac:dyDescent="0.25">
      <c r="A801" s="25" t="s">
        <v>609</v>
      </c>
      <c r="B801" s="16">
        <v>908</v>
      </c>
      <c r="C801" s="20" t="s">
        <v>249</v>
      </c>
      <c r="D801" s="20" t="s">
        <v>228</v>
      </c>
      <c r="E801" s="20" t="s">
        <v>533</v>
      </c>
      <c r="F801" s="24"/>
      <c r="G801" s="26">
        <f>G805+G808+G811+G814+G817+G823</f>
        <v>5567.9000000000005</v>
      </c>
      <c r="H801" s="179"/>
      <c r="I801" s="115"/>
    </row>
    <row r="802" spans="1:10" ht="47.25" hidden="1" x14ac:dyDescent="0.25">
      <c r="A802" s="35" t="s">
        <v>534</v>
      </c>
      <c r="B802" s="16">
        <v>908</v>
      </c>
      <c r="C802" s="20" t="s">
        <v>249</v>
      </c>
      <c r="D802" s="20" t="s">
        <v>228</v>
      </c>
      <c r="E802" s="20" t="s">
        <v>535</v>
      </c>
      <c r="F802" s="20"/>
      <c r="G802" s="26">
        <f>G803</f>
        <v>0</v>
      </c>
      <c r="H802" s="177"/>
    </row>
    <row r="803" spans="1:10" ht="31.5" hidden="1" x14ac:dyDescent="0.25">
      <c r="A803" s="25" t="s">
        <v>146</v>
      </c>
      <c r="B803" s="16">
        <v>908</v>
      </c>
      <c r="C803" s="20" t="s">
        <v>249</v>
      </c>
      <c r="D803" s="20" t="s">
        <v>228</v>
      </c>
      <c r="E803" s="20" t="s">
        <v>535</v>
      </c>
      <c r="F803" s="20" t="s">
        <v>147</v>
      </c>
      <c r="G803" s="26">
        <f>G804</f>
        <v>0</v>
      </c>
      <c r="H803" s="177"/>
    </row>
    <row r="804" spans="1:10" ht="47.25" hidden="1" x14ac:dyDescent="0.25">
      <c r="A804" s="25" t="s">
        <v>148</v>
      </c>
      <c r="B804" s="16">
        <v>908</v>
      </c>
      <c r="C804" s="20" t="s">
        <v>249</v>
      </c>
      <c r="D804" s="20" t="s">
        <v>228</v>
      </c>
      <c r="E804" s="20" t="s">
        <v>535</v>
      </c>
      <c r="F804" s="20" t="s">
        <v>149</v>
      </c>
      <c r="G804" s="26">
        <v>0</v>
      </c>
      <c r="H804" s="177"/>
    </row>
    <row r="805" spans="1:10" ht="15.75" x14ac:dyDescent="0.25">
      <c r="A805" s="45" t="s">
        <v>536</v>
      </c>
      <c r="B805" s="16">
        <v>908</v>
      </c>
      <c r="C805" s="40" t="s">
        <v>249</v>
      </c>
      <c r="D805" s="40" t="s">
        <v>228</v>
      </c>
      <c r="E805" s="20" t="s">
        <v>537</v>
      </c>
      <c r="F805" s="40"/>
      <c r="G805" s="26">
        <f>G806</f>
        <v>450</v>
      </c>
      <c r="H805" s="177"/>
    </row>
    <row r="806" spans="1:10" ht="31.5" x14ac:dyDescent="0.25">
      <c r="A806" s="31" t="s">
        <v>146</v>
      </c>
      <c r="B806" s="16">
        <v>908</v>
      </c>
      <c r="C806" s="40" t="s">
        <v>249</v>
      </c>
      <c r="D806" s="40" t="s">
        <v>228</v>
      </c>
      <c r="E806" s="20" t="s">
        <v>537</v>
      </c>
      <c r="F806" s="40" t="s">
        <v>147</v>
      </c>
      <c r="G806" s="26">
        <f>G807</f>
        <v>450</v>
      </c>
      <c r="H806" s="177"/>
    </row>
    <row r="807" spans="1:10" ht="47.25" x14ac:dyDescent="0.25">
      <c r="A807" s="31" t="s">
        <v>148</v>
      </c>
      <c r="B807" s="16">
        <v>908</v>
      </c>
      <c r="C807" s="40" t="s">
        <v>249</v>
      </c>
      <c r="D807" s="40" t="s">
        <v>228</v>
      </c>
      <c r="E807" s="20" t="s">
        <v>537</v>
      </c>
      <c r="F807" s="40" t="s">
        <v>149</v>
      </c>
      <c r="G807" s="26">
        <v>450</v>
      </c>
      <c r="H807" s="177"/>
    </row>
    <row r="808" spans="1:10" ht="15.75" x14ac:dyDescent="0.25">
      <c r="A808" s="45" t="s">
        <v>538</v>
      </c>
      <c r="B808" s="16">
        <v>908</v>
      </c>
      <c r="C808" s="40" t="s">
        <v>249</v>
      </c>
      <c r="D808" s="40" t="s">
        <v>228</v>
      </c>
      <c r="E808" s="20" t="s">
        <v>539</v>
      </c>
      <c r="F808" s="40"/>
      <c r="G808" s="26">
        <f>G809</f>
        <v>3107</v>
      </c>
      <c r="H808" s="177"/>
    </row>
    <row r="809" spans="1:10" ht="31.5" x14ac:dyDescent="0.25">
      <c r="A809" s="31" t="s">
        <v>146</v>
      </c>
      <c r="B809" s="16">
        <v>908</v>
      </c>
      <c r="C809" s="40" t="s">
        <v>249</v>
      </c>
      <c r="D809" s="40" t="s">
        <v>228</v>
      </c>
      <c r="E809" s="20" t="s">
        <v>539</v>
      </c>
      <c r="F809" s="40" t="s">
        <v>147</v>
      </c>
      <c r="G809" s="26">
        <f>G810</f>
        <v>3107</v>
      </c>
      <c r="H809" s="177"/>
    </row>
    <row r="810" spans="1:10" ht="47.25" x14ac:dyDescent="0.25">
      <c r="A810" s="31" t="s">
        <v>148</v>
      </c>
      <c r="B810" s="16">
        <v>908</v>
      </c>
      <c r="C810" s="40" t="s">
        <v>249</v>
      </c>
      <c r="D810" s="40" t="s">
        <v>228</v>
      </c>
      <c r="E810" s="20" t="s">
        <v>539</v>
      </c>
      <c r="F810" s="40" t="s">
        <v>149</v>
      </c>
      <c r="G810" s="167">
        <f>110+20+2977</f>
        <v>3107</v>
      </c>
      <c r="H810" s="161" t="s">
        <v>765</v>
      </c>
    </row>
    <row r="811" spans="1:10" ht="15.75" x14ac:dyDescent="0.25">
      <c r="A811" s="45" t="s">
        <v>540</v>
      </c>
      <c r="B811" s="16">
        <v>908</v>
      </c>
      <c r="C811" s="40" t="s">
        <v>249</v>
      </c>
      <c r="D811" s="40" t="s">
        <v>228</v>
      </c>
      <c r="E811" s="20" t="s">
        <v>541</v>
      </c>
      <c r="F811" s="40"/>
      <c r="G811" s="26">
        <f>G812</f>
        <v>1374.6</v>
      </c>
      <c r="H811" s="177"/>
    </row>
    <row r="812" spans="1:10" ht="31.5" x14ac:dyDescent="0.25">
      <c r="A812" s="31" t="s">
        <v>146</v>
      </c>
      <c r="B812" s="16">
        <v>908</v>
      </c>
      <c r="C812" s="40" t="s">
        <v>249</v>
      </c>
      <c r="D812" s="40" t="s">
        <v>228</v>
      </c>
      <c r="E812" s="20" t="s">
        <v>541</v>
      </c>
      <c r="F812" s="40" t="s">
        <v>147</v>
      </c>
      <c r="G812" s="26">
        <f>G813</f>
        <v>1374.6</v>
      </c>
      <c r="H812" s="177"/>
    </row>
    <row r="813" spans="1:10" ht="47.25" x14ac:dyDescent="0.25">
      <c r="A813" s="31" t="s">
        <v>148</v>
      </c>
      <c r="B813" s="16">
        <v>908</v>
      </c>
      <c r="C813" s="40" t="s">
        <v>249</v>
      </c>
      <c r="D813" s="40" t="s">
        <v>228</v>
      </c>
      <c r="E813" s="20" t="s">
        <v>541</v>
      </c>
      <c r="F813" s="40" t="s">
        <v>149</v>
      </c>
      <c r="G813" s="167">
        <f>10+30+3534.6-2200</f>
        <v>1374.6</v>
      </c>
      <c r="H813" s="113" t="s">
        <v>771</v>
      </c>
      <c r="J813" s="169" t="s">
        <v>772</v>
      </c>
    </row>
    <row r="814" spans="1:10" ht="15.75" x14ac:dyDescent="0.25">
      <c r="A814" s="45" t="s">
        <v>542</v>
      </c>
      <c r="B814" s="16">
        <v>908</v>
      </c>
      <c r="C814" s="40" t="s">
        <v>249</v>
      </c>
      <c r="D814" s="40" t="s">
        <v>228</v>
      </c>
      <c r="E814" s="20" t="s">
        <v>543</v>
      </c>
      <c r="F814" s="40"/>
      <c r="G814" s="26">
        <f>G815</f>
        <v>159.10000000000002</v>
      </c>
      <c r="H814" s="177"/>
    </row>
    <row r="815" spans="1:10" ht="31.5" x14ac:dyDescent="0.25">
      <c r="A815" s="31" t="s">
        <v>146</v>
      </c>
      <c r="B815" s="16">
        <v>908</v>
      </c>
      <c r="C815" s="40" t="s">
        <v>249</v>
      </c>
      <c r="D815" s="40" t="s">
        <v>228</v>
      </c>
      <c r="E815" s="20" t="s">
        <v>543</v>
      </c>
      <c r="F815" s="40" t="s">
        <v>147</v>
      </c>
      <c r="G815" s="26">
        <f>G816</f>
        <v>159.10000000000002</v>
      </c>
      <c r="H815" s="177"/>
    </row>
    <row r="816" spans="1:10" ht="47.25" x14ac:dyDescent="0.25">
      <c r="A816" s="31" t="s">
        <v>148</v>
      </c>
      <c r="B816" s="16">
        <v>908</v>
      </c>
      <c r="C816" s="40" t="s">
        <v>249</v>
      </c>
      <c r="D816" s="40" t="s">
        <v>228</v>
      </c>
      <c r="E816" s="20" t="s">
        <v>543</v>
      </c>
      <c r="F816" s="40" t="s">
        <v>149</v>
      </c>
      <c r="G816" s="167">
        <f>250+5+681.1-522-255</f>
        <v>159.10000000000002</v>
      </c>
      <c r="H816" s="113" t="s">
        <v>766</v>
      </c>
    </row>
    <row r="817" spans="1:10" ht="15.75" x14ac:dyDescent="0.25">
      <c r="A817" s="45" t="s">
        <v>544</v>
      </c>
      <c r="B817" s="16">
        <v>908</v>
      </c>
      <c r="C817" s="40" t="s">
        <v>249</v>
      </c>
      <c r="D817" s="40" t="s">
        <v>228</v>
      </c>
      <c r="E817" s="20" t="s">
        <v>545</v>
      </c>
      <c r="F817" s="40"/>
      <c r="G817" s="26">
        <f>G818</f>
        <v>288.2</v>
      </c>
      <c r="H817" s="177"/>
    </row>
    <row r="818" spans="1:10" ht="31.5" x14ac:dyDescent="0.25">
      <c r="A818" s="31" t="s">
        <v>146</v>
      </c>
      <c r="B818" s="16">
        <v>908</v>
      </c>
      <c r="C818" s="40" t="s">
        <v>249</v>
      </c>
      <c r="D818" s="40" t="s">
        <v>228</v>
      </c>
      <c r="E818" s="20" t="s">
        <v>545</v>
      </c>
      <c r="F818" s="40" t="s">
        <v>147</v>
      </c>
      <c r="G818" s="26">
        <f>G819</f>
        <v>288.2</v>
      </c>
      <c r="H818" s="177"/>
    </row>
    <row r="819" spans="1:10" ht="47.25" x14ac:dyDescent="0.25">
      <c r="A819" s="31" t="s">
        <v>148</v>
      </c>
      <c r="B819" s="16">
        <v>908</v>
      </c>
      <c r="C819" s="40" t="s">
        <v>249</v>
      </c>
      <c r="D819" s="40" t="s">
        <v>228</v>
      </c>
      <c r="E819" s="20" t="s">
        <v>545</v>
      </c>
      <c r="F819" s="40" t="s">
        <v>149</v>
      </c>
      <c r="G819" s="26">
        <f>2+286.2</f>
        <v>288.2</v>
      </c>
      <c r="H819" s="113"/>
      <c r="J819" s="170" t="s">
        <v>773</v>
      </c>
    </row>
    <row r="820" spans="1:10" ht="31.5" hidden="1" x14ac:dyDescent="0.25">
      <c r="A820" s="178" t="s">
        <v>546</v>
      </c>
      <c r="B820" s="16">
        <v>908</v>
      </c>
      <c r="C820" s="40" t="s">
        <v>249</v>
      </c>
      <c r="D820" s="40" t="s">
        <v>228</v>
      </c>
      <c r="E820" s="20" t="s">
        <v>547</v>
      </c>
      <c r="F820" s="40"/>
      <c r="G820" s="26">
        <f>G821</f>
        <v>0</v>
      </c>
      <c r="H820" s="177"/>
    </row>
    <row r="821" spans="1:10" ht="31.5" hidden="1" x14ac:dyDescent="0.25">
      <c r="A821" s="31" t="s">
        <v>146</v>
      </c>
      <c r="B821" s="16">
        <v>908</v>
      </c>
      <c r="C821" s="40" t="s">
        <v>249</v>
      </c>
      <c r="D821" s="40" t="s">
        <v>228</v>
      </c>
      <c r="E821" s="20" t="s">
        <v>547</v>
      </c>
      <c r="F821" s="40" t="s">
        <v>147</v>
      </c>
      <c r="G821" s="26">
        <f>G822</f>
        <v>0</v>
      </c>
      <c r="H821" s="177"/>
    </row>
    <row r="822" spans="1:10" ht="47.25" hidden="1" x14ac:dyDescent="0.25">
      <c r="A822" s="31" t="s">
        <v>148</v>
      </c>
      <c r="B822" s="16">
        <v>908</v>
      </c>
      <c r="C822" s="40" t="s">
        <v>249</v>
      </c>
      <c r="D822" s="40" t="s">
        <v>228</v>
      </c>
      <c r="E822" s="20" t="s">
        <v>547</v>
      </c>
      <c r="F822" s="40" t="s">
        <v>149</v>
      </c>
      <c r="G822" s="26">
        <v>0</v>
      </c>
      <c r="H822" s="177"/>
    </row>
    <row r="823" spans="1:10" ht="15.75" x14ac:dyDescent="0.25">
      <c r="A823" s="178" t="s">
        <v>548</v>
      </c>
      <c r="B823" s="16">
        <v>908</v>
      </c>
      <c r="C823" s="40" t="s">
        <v>249</v>
      </c>
      <c r="D823" s="40" t="s">
        <v>228</v>
      </c>
      <c r="E823" s="20" t="s">
        <v>549</v>
      </c>
      <c r="F823" s="40"/>
      <c r="G823" s="26">
        <f>G824</f>
        <v>189</v>
      </c>
      <c r="H823" s="177"/>
    </row>
    <row r="824" spans="1:10" ht="31.5" x14ac:dyDescent="0.25">
      <c r="A824" s="25" t="s">
        <v>146</v>
      </c>
      <c r="B824" s="16">
        <v>908</v>
      </c>
      <c r="C824" s="40" t="s">
        <v>249</v>
      </c>
      <c r="D824" s="40" t="s">
        <v>228</v>
      </c>
      <c r="E824" s="20" t="s">
        <v>549</v>
      </c>
      <c r="F824" s="40" t="s">
        <v>147</v>
      </c>
      <c r="G824" s="26">
        <f>G825</f>
        <v>189</v>
      </c>
      <c r="H824" s="177"/>
    </row>
    <row r="825" spans="1:10" ht="47.25" x14ac:dyDescent="0.25">
      <c r="A825" s="25" t="s">
        <v>148</v>
      </c>
      <c r="B825" s="16">
        <v>908</v>
      </c>
      <c r="C825" s="40" t="s">
        <v>249</v>
      </c>
      <c r="D825" s="40" t="s">
        <v>228</v>
      </c>
      <c r="E825" s="20" t="s">
        <v>549</v>
      </c>
      <c r="F825" s="40" t="s">
        <v>149</v>
      </c>
      <c r="G825" s="26">
        <f>15+174</f>
        <v>189</v>
      </c>
      <c r="H825" s="113"/>
      <c r="J825" s="170" t="s">
        <v>774</v>
      </c>
    </row>
    <row r="826" spans="1:10" ht="15.75" x14ac:dyDescent="0.25">
      <c r="A826" s="25" t="s">
        <v>136</v>
      </c>
      <c r="B826" s="16">
        <v>908</v>
      </c>
      <c r="C826" s="20" t="s">
        <v>249</v>
      </c>
      <c r="D826" s="20" t="s">
        <v>228</v>
      </c>
      <c r="E826" s="20" t="s">
        <v>137</v>
      </c>
      <c r="F826" s="20"/>
      <c r="G826" s="26">
        <f>G827+G837</f>
        <v>48143.199999999997</v>
      </c>
      <c r="H826" s="177"/>
    </row>
    <row r="827" spans="1:10" ht="31.5" x14ac:dyDescent="0.25">
      <c r="A827" s="25" t="s">
        <v>200</v>
      </c>
      <c r="B827" s="16">
        <v>908</v>
      </c>
      <c r="C827" s="20" t="s">
        <v>249</v>
      </c>
      <c r="D827" s="20" t="s">
        <v>228</v>
      </c>
      <c r="E827" s="20" t="s">
        <v>201</v>
      </c>
      <c r="F827" s="20"/>
      <c r="G827" s="26">
        <f>G828+G831+G834</f>
        <v>25111.200000000001</v>
      </c>
      <c r="H827" s="177"/>
    </row>
    <row r="828" spans="1:10" ht="47.25" x14ac:dyDescent="0.25">
      <c r="A828" s="100" t="s">
        <v>696</v>
      </c>
      <c r="B828" s="16">
        <v>908</v>
      </c>
      <c r="C828" s="20" t="s">
        <v>249</v>
      </c>
      <c r="D828" s="20" t="s">
        <v>228</v>
      </c>
      <c r="E828" s="20" t="s">
        <v>550</v>
      </c>
      <c r="F828" s="20"/>
      <c r="G828" s="26">
        <f>G829</f>
        <v>5000</v>
      </c>
      <c r="H828" s="177"/>
    </row>
    <row r="829" spans="1:10" ht="31.5" x14ac:dyDescent="0.25">
      <c r="A829" s="25" t="s">
        <v>146</v>
      </c>
      <c r="B829" s="16">
        <v>908</v>
      </c>
      <c r="C829" s="20" t="s">
        <v>249</v>
      </c>
      <c r="D829" s="20" t="s">
        <v>228</v>
      </c>
      <c r="E829" s="20" t="s">
        <v>550</v>
      </c>
      <c r="F829" s="20" t="s">
        <v>147</v>
      </c>
      <c r="G829" s="26">
        <f>G830</f>
        <v>5000</v>
      </c>
      <c r="H829" s="177"/>
    </row>
    <row r="830" spans="1:10" ht="47.25" x14ac:dyDescent="0.25">
      <c r="A830" s="25" t="s">
        <v>148</v>
      </c>
      <c r="B830" s="16">
        <v>908</v>
      </c>
      <c r="C830" s="20" t="s">
        <v>249</v>
      </c>
      <c r="D830" s="20" t="s">
        <v>228</v>
      </c>
      <c r="E830" s="20" t="s">
        <v>550</v>
      </c>
      <c r="F830" s="20" t="s">
        <v>149</v>
      </c>
      <c r="G830" s="26">
        <f>5000</f>
        <v>5000</v>
      </c>
      <c r="H830" s="177"/>
      <c r="I830" s="115"/>
    </row>
    <row r="831" spans="1:10" ht="31.5" x14ac:dyDescent="0.25">
      <c r="A831" s="35" t="s">
        <v>702</v>
      </c>
      <c r="B831" s="16">
        <v>908</v>
      </c>
      <c r="C831" s="20" t="s">
        <v>249</v>
      </c>
      <c r="D831" s="20" t="s">
        <v>228</v>
      </c>
      <c r="E831" s="20" t="s">
        <v>551</v>
      </c>
      <c r="F831" s="20"/>
      <c r="G831" s="26">
        <f>G832</f>
        <v>20000</v>
      </c>
      <c r="H831" s="177"/>
    </row>
    <row r="832" spans="1:10" ht="31.5" x14ac:dyDescent="0.25">
      <c r="A832" s="25" t="s">
        <v>146</v>
      </c>
      <c r="B832" s="16">
        <v>908</v>
      </c>
      <c r="C832" s="20" t="s">
        <v>249</v>
      </c>
      <c r="D832" s="20" t="s">
        <v>228</v>
      </c>
      <c r="E832" s="20" t="s">
        <v>551</v>
      </c>
      <c r="F832" s="20" t="s">
        <v>147</v>
      </c>
      <c r="G832" s="26">
        <f>G833</f>
        <v>20000</v>
      </c>
      <c r="H832" s="177"/>
    </row>
    <row r="833" spans="1:10" ht="47.25" x14ac:dyDescent="0.25">
      <c r="A833" s="25" t="s">
        <v>148</v>
      </c>
      <c r="B833" s="16">
        <v>908</v>
      </c>
      <c r="C833" s="20" t="s">
        <v>249</v>
      </c>
      <c r="D833" s="20" t="s">
        <v>228</v>
      </c>
      <c r="E833" s="20" t="s">
        <v>551</v>
      </c>
      <c r="F833" s="20" t="s">
        <v>149</v>
      </c>
      <c r="G833" s="26">
        <v>20000</v>
      </c>
      <c r="H833" s="106"/>
    </row>
    <row r="834" spans="1:10" ht="47.25" x14ac:dyDescent="0.25">
      <c r="A834" s="25" t="s">
        <v>703</v>
      </c>
      <c r="B834" s="16">
        <v>908</v>
      </c>
      <c r="C834" s="20" t="s">
        <v>249</v>
      </c>
      <c r="D834" s="20" t="s">
        <v>228</v>
      </c>
      <c r="E834" s="20" t="s">
        <v>704</v>
      </c>
      <c r="F834" s="20"/>
      <c r="G834" s="26">
        <f>G835</f>
        <v>111.2</v>
      </c>
      <c r="H834" s="108"/>
    </row>
    <row r="835" spans="1:10" ht="31.5" x14ac:dyDescent="0.25">
      <c r="A835" s="25" t="s">
        <v>146</v>
      </c>
      <c r="B835" s="16">
        <v>908</v>
      </c>
      <c r="C835" s="20" t="s">
        <v>249</v>
      </c>
      <c r="D835" s="20" t="s">
        <v>228</v>
      </c>
      <c r="E835" s="20" t="s">
        <v>704</v>
      </c>
      <c r="F835" s="20" t="s">
        <v>147</v>
      </c>
      <c r="G835" s="26">
        <f>G836</f>
        <v>111.2</v>
      </c>
      <c r="H835" s="108"/>
    </row>
    <row r="836" spans="1:10" ht="47.25" x14ac:dyDescent="0.25">
      <c r="A836" s="25" t="s">
        <v>148</v>
      </c>
      <c r="B836" s="16">
        <v>908</v>
      </c>
      <c r="C836" s="20" t="s">
        <v>249</v>
      </c>
      <c r="D836" s="20" t="s">
        <v>228</v>
      </c>
      <c r="E836" s="20" t="s">
        <v>704</v>
      </c>
      <c r="F836" s="20" t="s">
        <v>149</v>
      </c>
      <c r="G836" s="26">
        <v>111.2</v>
      </c>
      <c r="H836" s="108"/>
    </row>
    <row r="837" spans="1:10" ht="15.75" x14ac:dyDescent="0.25">
      <c r="A837" s="25" t="s">
        <v>156</v>
      </c>
      <c r="B837" s="16">
        <v>908</v>
      </c>
      <c r="C837" s="20" t="s">
        <v>249</v>
      </c>
      <c r="D837" s="20" t="s">
        <v>228</v>
      </c>
      <c r="E837" s="20" t="s">
        <v>157</v>
      </c>
      <c r="F837" s="20"/>
      <c r="G837" s="26">
        <f>G838+G844</f>
        <v>23031.999999999996</v>
      </c>
      <c r="H837" s="177"/>
    </row>
    <row r="838" spans="1:10" ht="31.5" x14ac:dyDescent="0.25">
      <c r="A838" s="35" t="s">
        <v>552</v>
      </c>
      <c r="B838" s="16">
        <v>908</v>
      </c>
      <c r="C838" s="20" t="s">
        <v>249</v>
      </c>
      <c r="D838" s="20" t="s">
        <v>228</v>
      </c>
      <c r="E838" s="20" t="s">
        <v>553</v>
      </c>
      <c r="F838" s="20"/>
      <c r="G838" s="26">
        <f>G839+G841</f>
        <v>20353.699999999997</v>
      </c>
      <c r="H838" s="177"/>
    </row>
    <row r="839" spans="1:10" ht="31.5" x14ac:dyDescent="0.25">
      <c r="A839" s="25" t="s">
        <v>146</v>
      </c>
      <c r="B839" s="16">
        <v>908</v>
      </c>
      <c r="C839" s="20" t="s">
        <v>249</v>
      </c>
      <c r="D839" s="20" t="s">
        <v>228</v>
      </c>
      <c r="E839" s="20" t="s">
        <v>553</v>
      </c>
      <c r="F839" s="20" t="s">
        <v>147</v>
      </c>
      <c r="G839" s="26">
        <f>G840</f>
        <v>20322.099999999999</v>
      </c>
      <c r="H839" s="177"/>
    </row>
    <row r="840" spans="1:10" ht="47.25" x14ac:dyDescent="0.25">
      <c r="A840" s="25" t="s">
        <v>148</v>
      </c>
      <c r="B840" s="16">
        <v>908</v>
      </c>
      <c r="C840" s="20" t="s">
        <v>249</v>
      </c>
      <c r="D840" s="20" t="s">
        <v>228</v>
      </c>
      <c r="E840" s="20" t="s">
        <v>553</v>
      </c>
      <c r="F840" s="20" t="s">
        <v>149</v>
      </c>
      <c r="G840" s="162">
        <f>10880-5000-2230+172.1+16500</f>
        <v>20322.099999999999</v>
      </c>
      <c r="H840" s="106" t="s">
        <v>770</v>
      </c>
      <c r="I840" s="115"/>
      <c r="J840" s="171" t="s">
        <v>739</v>
      </c>
    </row>
    <row r="841" spans="1:10" ht="15.75" x14ac:dyDescent="0.25">
      <c r="A841" s="25" t="s">
        <v>150</v>
      </c>
      <c r="B841" s="16">
        <v>908</v>
      </c>
      <c r="C841" s="20" t="s">
        <v>249</v>
      </c>
      <c r="D841" s="20" t="s">
        <v>228</v>
      </c>
      <c r="E841" s="20" t="s">
        <v>553</v>
      </c>
      <c r="F841" s="20" t="s">
        <v>160</v>
      </c>
      <c r="G841" s="26">
        <f>G842+G843</f>
        <v>31.6</v>
      </c>
      <c r="H841" s="177"/>
    </row>
    <row r="842" spans="1:10" ht="63" hidden="1" x14ac:dyDescent="0.25">
      <c r="A842" s="25" t="s">
        <v>199</v>
      </c>
      <c r="B842" s="16">
        <v>908</v>
      </c>
      <c r="C842" s="20" t="s">
        <v>249</v>
      </c>
      <c r="D842" s="20" t="s">
        <v>228</v>
      </c>
      <c r="E842" s="20" t="s">
        <v>553</v>
      </c>
      <c r="F842" s="20" t="s">
        <v>175</v>
      </c>
      <c r="G842" s="26">
        <v>0</v>
      </c>
      <c r="H842" s="177"/>
    </row>
    <row r="843" spans="1:10" ht="15.75" x14ac:dyDescent="0.25">
      <c r="A843" s="25" t="s">
        <v>583</v>
      </c>
      <c r="B843" s="16">
        <v>908</v>
      </c>
      <c r="C843" s="20" t="s">
        <v>249</v>
      </c>
      <c r="D843" s="20" t="s">
        <v>228</v>
      </c>
      <c r="E843" s="20" t="s">
        <v>553</v>
      </c>
      <c r="F843" s="20" t="s">
        <v>153</v>
      </c>
      <c r="G843" s="26">
        <v>31.6</v>
      </c>
      <c r="H843" s="106"/>
      <c r="I843" s="124"/>
    </row>
    <row r="844" spans="1:10" ht="15.75" x14ac:dyDescent="0.25">
      <c r="A844" s="25" t="s">
        <v>554</v>
      </c>
      <c r="B844" s="16">
        <v>908</v>
      </c>
      <c r="C844" s="20" t="s">
        <v>249</v>
      </c>
      <c r="D844" s="20" t="s">
        <v>228</v>
      </c>
      <c r="E844" s="20" t="s">
        <v>555</v>
      </c>
      <c r="F844" s="20"/>
      <c r="G844" s="26">
        <f>G845</f>
        <v>2678.3</v>
      </c>
      <c r="H844" s="177"/>
    </row>
    <row r="845" spans="1:10" ht="15.75" x14ac:dyDescent="0.25">
      <c r="A845" s="25" t="s">
        <v>150</v>
      </c>
      <c r="B845" s="16">
        <v>908</v>
      </c>
      <c r="C845" s="20" t="s">
        <v>249</v>
      </c>
      <c r="D845" s="20" t="s">
        <v>228</v>
      </c>
      <c r="E845" s="20" t="s">
        <v>555</v>
      </c>
      <c r="F845" s="20" t="s">
        <v>160</v>
      </c>
      <c r="G845" s="26">
        <f>G846</f>
        <v>2678.3</v>
      </c>
      <c r="H845" s="177"/>
    </row>
    <row r="846" spans="1:10" ht="15.75" x14ac:dyDescent="0.25">
      <c r="A846" s="25" t="s">
        <v>161</v>
      </c>
      <c r="B846" s="16">
        <v>908</v>
      </c>
      <c r="C846" s="20" t="s">
        <v>249</v>
      </c>
      <c r="D846" s="20" t="s">
        <v>228</v>
      </c>
      <c r="E846" s="20" t="s">
        <v>555</v>
      </c>
      <c r="F846" s="20" t="s">
        <v>162</v>
      </c>
      <c r="G846" s="26">
        <v>2678.3</v>
      </c>
      <c r="H846" s="177"/>
      <c r="I846" s="115"/>
    </row>
    <row r="847" spans="1:10" ht="15.75" x14ac:dyDescent="0.25">
      <c r="A847" s="23" t="s">
        <v>556</v>
      </c>
      <c r="B847" s="19">
        <v>908</v>
      </c>
      <c r="C847" s="24" t="s">
        <v>249</v>
      </c>
      <c r="D847" s="24" t="s">
        <v>230</v>
      </c>
      <c r="E847" s="24"/>
      <c r="F847" s="24"/>
      <c r="G847" s="21">
        <f>G848++G878+G874</f>
        <v>25464.6</v>
      </c>
      <c r="H847" s="177"/>
    </row>
    <row r="848" spans="1:10" ht="47.25" x14ac:dyDescent="0.25">
      <c r="A848" s="25" t="s">
        <v>557</v>
      </c>
      <c r="B848" s="16">
        <v>908</v>
      </c>
      <c r="C848" s="20" t="s">
        <v>249</v>
      </c>
      <c r="D848" s="20" t="s">
        <v>230</v>
      </c>
      <c r="E848" s="20" t="s">
        <v>558</v>
      </c>
      <c r="F848" s="20"/>
      <c r="G848" s="26">
        <f>G849+G859</f>
        <v>12375.499999999998</v>
      </c>
      <c r="H848" s="177"/>
    </row>
    <row r="849" spans="1:8" ht="47.25" x14ac:dyDescent="0.25">
      <c r="A849" s="25" t="s">
        <v>559</v>
      </c>
      <c r="B849" s="16">
        <v>908</v>
      </c>
      <c r="C849" s="20" t="s">
        <v>249</v>
      </c>
      <c r="D849" s="20" t="s">
        <v>230</v>
      </c>
      <c r="E849" s="20" t="s">
        <v>560</v>
      </c>
      <c r="F849" s="20"/>
      <c r="G849" s="26">
        <f>G850+G853+G856</f>
        <v>8697.2999999999993</v>
      </c>
      <c r="H849" s="177"/>
    </row>
    <row r="850" spans="1:8" ht="31.5" x14ac:dyDescent="0.25">
      <c r="A850" s="25" t="s">
        <v>561</v>
      </c>
      <c r="B850" s="16">
        <v>908</v>
      </c>
      <c r="C850" s="20" t="s">
        <v>249</v>
      </c>
      <c r="D850" s="20" t="s">
        <v>230</v>
      </c>
      <c r="E850" s="20" t="s">
        <v>562</v>
      </c>
      <c r="F850" s="20"/>
      <c r="G850" s="26">
        <f>G851</f>
        <v>253.4</v>
      </c>
      <c r="H850" s="177"/>
    </row>
    <row r="851" spans="1:8" ht="31.5" x14ac:dyDescent="0.25">
      <c r="A851" s="25" t="s">
        <v>146</v>
      </c>
      <c r="B851" s="16">
        <v>908</v>
      </c>
      <c r="C851" s="20" t="s">
        <v>249</v>
      </c>
      <c r="D851" s="20" t="s">
        <v>230</v>
      </c>
      <c r="E851" s="20" t="s">
        <v>562</v>
      </c>
      <c r="F851" s="20" t="s">
        <v>147</v>
      </c>
      <c r="G851" s="26">
        <f>G852</f>
        <v>253.4</v>
      </c>
      <c r="H851" s="177"/>
    </row>
    <row r="852" spans="1:8" ht="47.25" x14ac:dyDescent="0.25">
      <c r="A852" s="25" t="s">
        <v>148</v>
      </c>
      <c r="B852" s="16">
        <v>908</v>
      </c>
      <c r="C852" s="20" t="s">
        <v>249</v>
      </c>
      <c r="D852" s="20" t="s">
        <v>230</v>
      </c>
      <c r="E852" s="20" t="s">
        <v>562</v>
      </c>
      <c r="F852" s="20" t="s">
        <v>149</v>
      </c>
      <c r="G852" s="26">
        <v>253.4</v>
      </c>
      <c r="H852" s="177"/>
    </row>
    <row r="853" spans="1:8" ht="15.75" x14ac:dyDescent="0.25">
      <c r="A853" s="25" t="s">
        <v>563</v>
      </c>
      <c r="B853" s="16">
        <v>908</v>
      </c>
      <c r="C853" s="20" t="s">
        <v>249</v>
      </c>
      <c r="D853" s="20" t="s">
        <v>230</v>
      </c>
      <c r="E853" s="20" t="s">
        <v>564</v>
      </c>
      <c r="F853" s="20"/>
      <c r="G853" s="26">
        <f>G854</f>
        <v>5258.6</v>
      </c>
      <c r="H853" s="177"/>
    </row>
    <row r="854" spans="1:8" ht="31.5" x14ac:dyDescent="0.25">
      <c r="A854" s="25" t="s">
        <v>146</v>
      </c>
      <c r="B854" s="16">
        <v>908</v>
      </c>
      <c r="C854" s="20" t="s">
        <v>249</v>
      </c>
      <c r="D854" s="20" t="s">
        <v>230</v>
      </c>
      <c r="E854" s="20" t="s">
        <v>564</v>
      </c>
      <c r="F854" s="20" t="s">
        <v>147</v>
      </c>
      <c r="G854" s="26">
        <f>G855</f>
        <v>5258.6</v>
      </c>
      <c r="H854" s="177"/>
    </row>
    <row r="855" spans="1:8" ht="47.25" x14ac:dyDescent="0.25">
      <c r="A855" s="25" t="s">
        <v>148</v>
      </c>
      <c r="B855" s="16">
        <v>908</v>
      </c>
      <c r="C855" s="20" t="s">
        <v>249</v>
      </c>
      <c r="D855" s="20" t="s">
        <v>230</v>
      </c>
      <c r="E855" s="20" t="s">
        <v>564</v>
      </c>
      <c r="F855" s="20" t="s">
        <v>149</v>
      </c>
      <c r="G855" s="26">
        <v>5258.6</v>
      </c>
      <c r="H855" s="177"/>
    </row>
    <row r="856" spans="1:8" ht="15.75" x14ac:dyDescent="0.25">
      <c r="A856" s="25" t="s">
        <v>565</v>
      </c>
      <c r="B856" s="16">
        <v>908</v>
      </c>
      <c r="C856" s="20" t="s">
        <v>249</v>
      </c>
      <c r="D856" s="20" t="s">
        <v>230</v>
      </c>
      <c r="E856" s="20" t="s">
        <v>566</v>
      </c>
      <c r="F856" s="20"/>
      <c r="G856" s="26">
        <f>G857</f>
        <v>3185.3</v>
      </c>
      <c r="H856" s="177"/>
    </row>
    <row r="857" spans="1:8" ht="31.5" x14ac:dyDescent="0.25">
      <c r="A857" s="25" t="s">
        <v>146</v>
      </c>
      <c r="B857" s="16">
        <v>908</v>
      </c>
      <c r="C857" s="20" t="s">
        <v>249</v>
      </c>
      <c r="D857" s="20" t="s">
        <v>230</v>
      </c>
      <c r="E857" s="20" t="s">
        <v>566</v>
      </c>
      <c r="F857" s="20" t="s">
        <v>147</v>
      </c>
      <c r="G857" s="26">
        <f>G858</f>
        <v>3185.3</v>
      </c>
      <c r="H857" s="177"/>
    </row>
    <row r="858" spans="1:8" ht="47.25" x14ac:dyDescent="0.25">
      <c r="A858" s="25" t="s">
        <v>148</v>
      </c>
      <c r="B858" s="16">
        <v>908</v>
      </c>
      <c r="C858" s="20" t="s">
        <v>249</v>
      </c>
      <c r="D858" s="20" t="s">
        <v>230</v>
      </c>
      <c r="E858" s="20" t="s">
        <v>566</v>
      </c>
      <c r="F858" s="20" t="s">
        <v>149</v>
      </c>
      <c r="G858" s="26">
        <v>3185.3</v>
      </c>
      <c r="H858" s="177"/>
    </row>
    <row r="859" spans="1:8" ht="47.25" x14ac:dyDescent="0.25">
      <c r="A859" s="25" t="s">
        <v>567</v>
      </c>
      <c r="B859" s="16">
        <v>908</v>
      </c>
      <c r="C859" s="20" t="s">
        <v>249</v>
      </c>
      <c r="D859" s="20" t="s">
        <v>230</v>
      </c>
      <c r="E859" s="20" t="s">
        <v>568</v>
      </c>
      <c r="F859" s="20"/>
      <c r="G859" s="26">
        <f>G860+G865+G868+G871</f>
        <v>3678.1999999999994</v>
      </c>
      <c r="H859" s="177"/>
    </row>
    <row r="860" spans="1:8" ht="15.75" x14ac:dyDescent="0.25">
      <c r="A860" s="25" t="s">
        <v>565</v>
      </c>
      <c r="B860" s="16">
        <v>908</v>
      </c>
      <c r="C860" s="20" t="s">
        <v>249</v>
      </c>
      <c r="D860" s="20" t="s">
        <v>230</v>
      </c>
      <c r="E860" s="20" t="s">
        <v>569</v>
      </c>
      <c r="F860" s="20"/>
      <c r="G860" s="26">
        <f>G861+G863</f>
        <v>1112.3999999999999</v>
      </c>
      <c r="H860" s="177"/>
    </row>
    <row r="861" spans="1:8" ht="94.5" x14ac:dyDescent="0.25">
      <c r="A861" s="25" t="s">
        <v>142</v>
      </c>
      <c r="B861" s="16">
        <v>908</v>
      </c>
      <c r="C861" s="20" t="s">
        <v>249</v>
      </c>
      <c r="D861" s="20" t="s">
        <v>230</v>
      </c>
      <c r="E861" s="20" t="s">
        <v>569</v>
      </c>
      <c r="F861" s="20" t="s">
        <v>143</v>
      </c>
      <c r="G861" s="26">
        <f>G862</f>
        <v>892.8</v>
      </c>
      <c r="H861" s="177"/>
    </row>
    <row r="862" spans="1:8" ht="31.5" x14ac:dyDescent="0.25">
      <c r="A862" s="46" t="s">
        <v>357</v>
      </c>
      <c r="B862" s="16">
        <v>908</v>
      </c>
      <c r="C862" s="20" t="s">
        <v>249</v>
      </c>
      <c r="D862" s="20" t="s">
        <v>230</v>
      </c>
      <c r="E862" s="20" t="s">
        <v>569</v>
      </c>
      <c r="F862" s="20" t="s">
        <v>224</v>
      </c>
      <c r="G862" s="26">
        <f>801.5+91.3</f>
        <v>892.8</v>
      </c>
      <c r="H862" s="106"/>
    </row>
    <row r="863" spans="1:8" ht="31.5" x14ac:dyDescent="0.25">
      <c r="A863" s="25" t="s">
        <v>146</v>
      </c>
      <c r="B863" s="16">
        <v>908</v>
      </c>
      <c r="C863" s="20" t="s">
        <v>249</v>
      </c>
      <c r="D863" s="20" t="s">
        <v>230</v>
      </c>
      <c r="E863" s="20" t="s">
        <v>569</v>
      </c>
      <c r="F863" s="20" t="s">
        <v>147</v>
      </c>
      <c r="G863" s="26">
        <f>G864</f>
        <v>219.6</v>
      </c>
      <c r="H863" s="177"/>
    </row>
    <row r="864" spans="1:8" ht="47.25" x14ac:dyDescent="0.25">
      <c r="A864" s="25" t="s">
        <v>148</v>
      </c>
      <c r="B864" s="16">
        <v>908</v>
      </c>
      <c r="C864" s="20" t="s">
        <v>249</v>
      </c>
      <c r="D864" s="20" t="s">
        <v>230</v>
      </c>
      <c r="E864" s="20" t="s">
        <v>569</v>
      </c>
      <c r="F864" s="20" t="s">
        <v>149</v>
      </c>
      <c r="G864" s="26">
        <v>219.6</v>
      </c>
      <c r="H864" s="177"/>
    </row>
    <row r="865" spans="1:8" ht="15.75" x14ac:dyDescent="0.25">
      <c r="A865" s="25" t="s">
        <v>570</v>
      </c>
      <c r="B865" s="16">
        <v>908</v>
      </c>
      <c r="C865" s="20" t="s">
        <v>249</v>
      </c>
      <c r="D865" s="20" t="s">
        <v>230</v>
      </c>
      <c r="E865" s="20" t="s">
        <v>571</v>
      </c>
      <c r="F865" s="20"/>
      <c r="G865" s="26">
        <f>G866</f>
        <v>86.6</v>
      </c>
      <c r="H865" s="177"/>
    </row>
    <row r="866" spans="1:8" ht="31.5" x14ac:dyDescent="0.25">
      <c r="A866" s="25" t="s">
        <v>146</v>
      </c>
      <c r="B866" s="16">
        <v>908</v>
      </c>
      <c r="C866" s="20" t="s">
        <v>249</v>
      </c>
      <c r="D866" s="20" t="s">
        <v>230</v>
      </c>
      <c r="E866" s="20" t="s">
        <v>571</v>
      </c>
      <c r="F866" s="20" t="s">
        <v>147</v>
      </c>
      <c r="G866" s="26">
        <f>G867</f>
        <v>86.6</v>
      </c>
      <c r="H866" s="177"/>
    </row>
    <row r="867" spans="1:8" ht="47.25" x14ac:dyDescent="0.25">
      <c r="A867" s="25" t="s">
        <v>148</v>
      </c>
      <c r="B867" s="16">
        <v>908</v>
      </c>
      <c r="C867" s="20" t="s">
        <v>249</v>
      </c>
      <c r="D867" s="20" t="s">
        <v>230</v>
      </c>
      <c r="E867" s="20" t="s">
        <v>571</v>
      </c>
      <c r="F867" s="20" t="s">
        <v>149</v>
      </c>
      <c r="G867" s="26">
        <v>86.6</v>
      </c>
      <c r="H867" s="177"/>
    </row>
    <row r="868" spans="1:8" ht="47.25" x14ac:dyDescent="0.25">
      <c r="A868" s="45" t="s">
        <v>572</v>
      </c>
      <c r="B868" s="16">
        <v>908</v>
      </c>
      <c r="C868" s="20" t="s">
        <v>249</v>
      </c>
      <c r="D868" s="20" t="s">
        <v>230</v>
      </c>
      <c r="E868" s="20" t="s">
        <v>573</v>
      </c>
      <c r="F868" s="20"/>
      <c r="G868" s="26">
        <f>G869</f>
        <v>2130.6</v>
      </c>
      <c r="H868" s="177"/>
    </row>
    <row r="869" spans="1:8" ht="31.5" x14ac:dyDescent="0.25">
      <c r="A869" s="25" t="s">
        <v>146</v>
      </c>
      <c r="B869" s="16">
        <v>908</v>
      </c>
      <c r="C869" s="20" t="s">
        <v>249</v>
      </c>
      <c r="D869" s="20" t="s">
        <v>230</v>
      </c>
      <c r="E869" s="20" t="s">
        <v>573</v>
      </c>
      <c r="F869" s="20" t="s">
        <v>147</v>
      </c>
      <c r="G869" s="26">
        <f>G870</f>
        <v>2130.6</v>
      </c>
      <c r="H869" s="177"/>
    </row>
    <row r="870" spans="1:8" ht="47.25" x14ac:dyDescent="0.25">
      <c r="A870" s="25" t="s">
        <v>148</v>
      </c>
      <c r="B870" s="16">
        <v>908</v>
      </c>
      <c r="C870" s="20" t="s">
        <v>249</v>
      </c>
      <c r="D870" s="20" t="s">
        <v>230</v>
      </c>
      <c r="E870" s="20" t="s">
        <v>573</v>
      </c>
      <c r="F870" s="20" t="s">
        <v>149</v>
      </c>
      <c r="G870" s="26">
        <v>2130.6</v>
      </c>
      <c r="H870" s="177"/>
    </row>
    <row r="871" spans="1:8" ht="31.5" x14ac:dyDescent="0.25">
      <c r="A871" s="45" t="s">
        <v>574</v>
      </c>
      <c r="B871" s="16">
        <v>908</v>
      </c>
      <c r="C871" s="20" t="s">
        <v>249</v>
      </c>
      <c r="D871" s="20" t="s">
        <v>230</v>
      </c>
      <c r="E871" s="20" t="s">
        <v>575</v>
      </c>
      <c r="F871" s="20"/>
      <c r="G871" s="26">
        <f>G872</f>
        <v>348.6</v>
      </c>
      <c r="H871" s="177"/>
    </row>
    <row r="872" spans="1:8" ht="31.5" x14ac:dyDescent="0.25">
      <c r="A872" s="25" t="s">
        <v>146</v>
      </c>
      <c r="B872" s="16">
        <v>908</v>
      </c>
      <c r="C872" s="20" t="s">
        <v>249</v>
      </c>
      <c r="D872" s="20" t="s">
        <v>230</v>
      </c>
      <c r="E872" s="20" t="s">
        <v>575</v>
      </c>
      <c r="F872" s="20" t="s">
        <v>147</v>
      </c>
      <c r="G872" s="26">
        <f>G873</f>
        <v>348.6</v>
      </c>
      <c r="H872" s="177"/>
    </row>
    <row r="873" spans="1:8" ht="47.25" x14ac:dyDescent="0.25">
      <c r="A873" s="25" t="s">
        <v>148</v>
      </c>
      <c r="B873" s="16">
        <v>908</v>
      </c>
      <c r="C873" s="20" t="s">
        <v>249</v>
      </c>
      <c r="D873" s="20" t="s">
        <v>230</v>
      </c>
      <c r="E873" s="20" t="s">
        <v>575</v>
      </c>
      <c r="F873" s="20" t="s">
        <v>149</v>
      </c>
      <c r="G873" s="26">
        <v>348.6</v>
      </c>
      <c r="H873" s="177"/>
    </row>
    <row r="874" spans="1:8" ht="63" x14ac:dyDescent="0.25">
      <c r="A874" s="25" t="s">
        <v>730</v>
      </c>
      <c r="B874" s="16">
        <v>908</v>
      </c>
      <c r="C874" s="20" t="s">
        <v>249</v>
      </c>
      <c r="D874" s="20" t="s">
        <v>230</v>
      </c>
      <c r="E874" s="20" t="s">
        <v>732</v>
      </c>
      <c r="F874" s="20"/>
      <c r="G874" s="26">
        <f>G875</f>
        <v>600</v>
      </c>
      <c r="H874" s="177"/>
    </row>
    <row r="875" spans="1:8" ht="31.5" x14ac:dyDescent="0.25">
      <c r="A875" s="80" t="s">
        <v>731</v>
      </c>
      <c r="B875" s="16">
        <v>908</v>
      </c>
      <c r="C875" s="20" t="s">
        <v>249</v>
      </c>
      <c r="D875" s="20" t="s">
        <v>230</v>
      </c>
      <c r="E875" s="20" t="s">
        <v>733</v>
      </c>
      <c r="F875" s="20"/>
      <c r="G875" s="26">
        <f>G876</f>
        <v>600</v>
      </c>
      <c r="H875" s="177"/>
    </row>
    <row r="876" spans="1:8" ht="31.5" x14ac:dyDescent="0.25">
      <c r="A876" s="25" t="s">
        <v>146</v>
      </c>
      <c r="B876" s="16">
        <v>908</v>
      </c>
      <c r="C876" s="20" t="s">
        <v>249</v>
      </c>
      <c r="D876" s="20" t="s">
        <v>230</v>
      </c>
      <c r="E876" s="20" t="s">
        <v>733</v>
      </c>
      <c r="F876" s="20" t="s">
        <v>147</v>
      </c>
      <c r="G876" s="26">
        <f>G877</f>
        <v>600</v>
      </c>
      <c r="H876" s="177"/>
    </row>
    <row r="877" spans="1:8" ht="47.25" x14ac:dyDescent="0.25">
      <c r="A877" s="25" t="s">
        <v>148</v>
      </c>
      <c r="B877" s="16">
        <v>908</v>
      </c>
      <c r="C877" s="20" t="s">
        <v>249</v>
      </c>
      <c r="D877" s="20" t="s">
        <v>230</v>
      </c>
      <c r="E877" s="20" t="s">
        <v>733</v>
      </c>
      <c r="F877" s="20" t="s">
        <v>149</v>
      </c>
      <c r="G877" s="26">
        <v>600</v>
      </c>
      <c r="H877" s="106"/>
    </row>
    <row r="878" spans="1:8" ht="15.75" x14ac:dyDescent="0.25">
      <c r="A878" s="25" t="s">
        <v>136</v>
      </c>
      <c r="B878" s="16">
        <v>908</v>
      </c>
      <c r="C878" s="20" t="s">
        <v>249</v>
      </c>
      <c r="D878" s="20" t="s">
        <v>230</v>
      </c>
      <c r="E878" s="20" t="s">
        <v>137</v>
      </c>
      <c r="F878" s="20"/>
      <c r="G878" s="26">
        <f>G879+G892</f>
        <v>12489.099999999999</v>
      </c>
      <c r="H878" s="177"/>
    </row>
    <row r="879" spans="1:8" ht="31.5" x14ac:dyDescent="0.25">
      <c r="A879" s="25" t="s">
        <v>200</v>
      </c>
      <c r="B879" s="16">
        <v>908</v>
      </c>
      <c r="C879" s="20" t="s">
        <v>249</v>
      </c>
      <c r="D879" s="20" t="s">
        <v>230</v>
      </c>
      <c r="E879" s="20" t="s">
        <v>201</v>
      </c>
      <c r="F879" s="20"/>
      <c r="G879" s="26">
        <f>G880+G883+G886+G889</f>
        <v>12033.199999999999</v>
      </c>
      <c r="H879" s="177"/>
    </row>
    <row r="880" spans="1:8" ht="31.5" x14ac:dyDescent="0.25">
      <c r="A880" s="25" t="s">
        <v>576</v>
      </c>
      <c r="B880" s="16">
        <v>908</v>
      </c>
      <c r="C880" s="20" t="s">
        <v>249</v>
      </c>
      <c r="D880" s="20" t="s">
        <v>230</v>
      </c>
      <c r="E880" s="20" t="s">
        <v>577</v>
      </c>
      <c r="F880" s="20"/>
      <c r="G880" s="26">
        <f>G881</f>
        <v>6302.4</v>
      </c>
      <c r="H880" s="177"/>
    </row>
    <row r="881" spans="1:9" ht="31.5" x14ac:dyDescent="0.25">
      <c r="A881" s="25" t="s">
        <v>146</v>
      </c>
      <c r="B881" s="16">
        <v>908</v>
      </c>
      <c r="C881" s="20" t="s">
        <v>249</v>
      </c>
      <c r="D881" s="20" t="s">
        <v>230</v>
      </c>
      <c r="E881" s="20" t="s">
        <v>577</v>
      </c>
      <c r="F881" s="20" t="s">
        <v>147</v>
      </c>
      <c r="G881" s="26">
        <f>G882</f>
        <v>6302.4</v>
      </c>
      <c r="H881" s="177"/>
    </row>
    <row r="882" spans="1:9" ht="47.25" x14ac:dyDescent="0.25">
      <c r="A882" s="25" t="s">
        <v>148</v>
      </c>
      <c r="B882" s="16">
        <v>908</v>
      </c>
      <c r="C882" s="20" t="s">
        <v>249</v>
      </c>
      <c r="D882" s="20" t="s">
        <v>230</v>
      </c>
      <c r="E882" s="20" t="s">
        <v>577</v>
      </c>
      <c r="F882" s="20" t="s">
        <v>149</v>
      </c>
      <c r="G882" s="26">
        <f>3907.3-814.9+3210</f>
        <v>6302.4</v>
      </c>
      <c r="H882" s="106"/>
      <c r="I882" s="115"/>
    </row>
    <row r="883" spans="1:9" ht="47.25" x14ac:dyDescent="0.25">
      <c r="A883" s="25" t="s">
        <v>705</v>
      </c>
      <c r="B883" s="16">
        <v>908</v>
      </c>
      <c r="C883" s="20" t="s">
        <v>249</v>
      </c>
      <c r="D883" s="20" t="s">
        <v>230</v>
      </c>
      <c r="E883" s="20" t="s">
        <v>706</v>
      </c>
      <c r="F883" s="20"/>
      <c r="G883" s="26">
        <f>G884</f>
        <v>2132</v>
      </c>
      <c r="H883" s="177"/>
    </row>
    <row r="884" spans="1:9" ht="31.5" x14ac:dyDescent="0.25">
      <c r="A884" s="25" t="s">
        <v>146</v>
      </c>
      <c r="B884" s="16">
        <v>908</v>
      </c>
      <c r="C884" s="20" t="s">
        <v>249</v>
      </c>
      <c r="D884" s="20" t="s">
        <v>230</v>
      </c>
      <c r="E884" s="20" t="s">
        <v>706</v>
      </c>
      <c r="F884" s="20" t="s">
        <v>147</v>
      </c>
      <c r="G884" s="26">
        <f>G885</f>
        <v>2132</v>
      </c>
      <c r="H884" s="177"/>
    </row>
    <row r="885" spans="1:9" ht="47.25" x14ac:dyDescent="0.25">
      <c r="A885" s="25" t="s">
        <v>148</v>
      </c>
      <c r="B885" s="16">
        <v>908</v>
      </c>
      <c r="C885" s="20" t="s">
        <v>249</v>
      </c>
      <c r="D885" s="20" t="s">
        <v>230</v>
      </c>
      <c r="E885" s="20" t="s">
        <v>706</v>
      </c>
      <c r="F885" s="20" t="s">
        <v>149</v>
      </c>
      <c r="G885" s="26">
        <v>2132</v>
      </c>
      <c r="H885" s="106"/>
    </row>
    <row r="886" spans="1:9" ht="47.25" x14ac:dyDescent="0.25">
      <c r="A886" s="25" t="s">
        <v>707</v>
      </c>
      <c r="B886" s="16">
        <v>908</v>
      </c>
      <c r="C886" s="20" t="s">
        <v>249</v>
      </c>
      <c r="D886" s="20" t="s">
        <v>230</v>
      </c>
      <c r="E886" s="20" t="s">
        <v>578</v>
      </c>
      <c r="F886" s="20"/>
      <c r="G886" s="26">
        <f>G887</f>
        <v>2000</v>
      </c>
      <c r="H886" s="177"/>
    </row>
    <row r="887" spans="1:9" ht="31.5" x14ac:dyDescent="0.25">
      <c r="A887" s="25" t="s">
        <v>146</v>
      </c>
      <c r="B887" s="16">
        <v>908</v>
      </c>
      <c r="C887" s="20" t="s">
        <v>249</v>
      </c>
      <c r="D887" s="20" t="s">
        <v>230</v>
      </c>
      <c r="E887" s="20" t="s">
        <v>578</v>
      </c>
      <c r="F887" s="20" t="s">
        <v>147</v>
      </c>
      <c r="G887" s="26">
        <f>G888</f>
        <v>2000</v>
      </c>
      <c r="H887" s="177"/>
    </row>
    <row r="888" spans="1:9" ht="47.25" x14ac:dyDescent="0.25">
      <c r="A888" s="25" t="s">
        <v>148</v>
      </c>
      <c r="B888" s="16">
        <v>908</v>
      </c>
      <c r="C888" s="20" t="s">
        <v>249</v>
      </c>
      <c r="D888" s="20" t="s">
        <v>230</v>
      </c>
      <c r="E888" s="20" t="s">
        <v>578</v>
      </c>
      <c r="F888" s="20" t="s">
        <v>149</v>
      </c>
      <c r="G888" s="26">
        <v>2000</v>
      </c>
      <c r="H888" s="106"/>
    </row>
    <row r="889" spans="1:9" ht="63" x14ac:dyDescent="0.25">
      <c r="A889" s="25" t="s">
        <v>708</v>
      </c>
      <c r="B889" s="16">
        <v>908</v>
      </c>
      <c r="C889" s="20" t="s">
        <v>249</v>
      </c>
      <c r="D889" s="20" t="s">
        <v>230</v>
      </c>
      <c r="E889" s="20" t="s">
        <v>709</v>
      </c>
      <c r="F889" s="20"/>
      <c r="G889" s="26">
        <f>G890</f>
        <v>1598.8</v>
      </c>
      <c r="H889" s="108"/>
    </row>
    <row r="890" spans="1:9" ht="31.5" x14ac:dyDescent="0.25">
      <c r="A890" s="25" t="s">
        <v>146</v>
      </c>
      <c r="B890" s="16">
        <v>908</v>
      </c>
      <c r="C890" s="20" t="s">
        <v>249</v>
      </c>
      <c r="D890" s="20" t="s">
        <v>230</v>
      </c>
      <c r="E890" s="20" t="s">
        <v>709</v>
      </c>
      <c r="F890" s="20" t="s">
        <v>147</v>
      </c>
      <c r="G890" s="26">
        <f>G891</f>
        <v>1598.8</v>
      </c>
      <c r="H890" s="108"/>
    </row>
    <row r="891" spans="1:9" ht="47.25" x14ac:dyDescent="0.25">
      <c r="A891" s="25" t="s">
        <v>148</v>
      </c>
      <c r="B891" s="16">
        <v>908</v>
      </c>
      <c r="C891" s="20" t="s">
        <v>249</v>
      </c>
      <c r="D891" s="20" t="s">
        <v>230</v>
      </c>
      <c r="E891" s="20" t="s">
        <v>709</v>
      </c>
      <c r="F891" s="20" t="s">
        <v>149</v>
      </c>
      <c r="G891" s="26">
        <v>1598.8</v>
      </c>
      <c r="H891" s="108"/>
    </row>
    <row r="892" spans="1:9" ht="15.75" x14ac:dyDescent="0.25">
      <c r="A892" s="25" t="s">
        <v>156</v>
      </c>
      <c r="B892" s="16">
        <v>908</v>
      </c>
      <c r="C892" s="20" t="s">
        <v>249</v>
      </c>
      <c r="D892" s="20" t="s">
        <v>230</v>
      </c>
      <c r="E892" s="20" t="s">
        <v>157</v>
      </c>
      <c r="F892" s="20"/>
      <c r="G892" s="26">
        <f>G893</f>
        <v>455.9</v>
      </c>
      <c r="H892" s="177"/>
    </row>
    <row r="893" spans="1:9" ht="15.75" x14ac:dyDescent="0.25">
      <c r="A893" s="25" t="s">
        <v>579</v>
      </c>
      <c r="B893" s="16">
        <v>908</v>
      </c>
      <c r="C893" s="20" t="s">
        <v>249</v>
      </c>
      <c r="D893" s="20" t="s">
        <v>230</v>
      </c>
      <c r="E893" s="20" t="s">
        <v>580</v>
      </c>
      <c r="F893" s="20"/>
      <c r="G893" s="26">
        <f>G894</f>
        <v>455.9</v>
      </c>
      <c r="H893" s="177"/>
    </row>
    <row r="894" spans="1:9" ht="31.5" x14ac:dyDescent="0.25">
      <c r="A894" s="25" t="s">
        <v>146</v>
      </c>
      <c r="B894" s="16">
        <v>908</v>
      </c>
      <c r="C894" s="20" t="s">
        <v>249</v>
      </c>
      <c r="D894" s="20" t="s">
        <v>230</v>
      </c>
      <c r="E894" s="20" t="s">
        <v>580</v>
      </c>
      <c r="F894" s="20" t="s">
        <v>147</v>
      </c>
      <c r="G894" s="26">
        <f>G895</f>
        <v>455.9</v>
      </c>
      <c r="H894" s="177"/>
    </row>
    <row r="895" spans="1:9" ht="47.25" x14ac:dyDescent="0.25">
      <c r="A895" s="25" t="s">
        <v>148</v>
      </c>
      <c r="B895" s="16">
        <v>908</v>
      </c>
      <c r="C895" s="20" t="s">
        <v>249</v>
      </c>
      <c r="D895" s="20" t="s">
        <v>230</v>
      </c>
      <c r="E895" s="20" t="s">
        <v>580</v>
      </c>
      <c r="F895" s="20" t="s">
        <v>149</v>
      </c>
      <c r="G895" s="27">
        <v>455.9</v>
      </c>
      <c r="H895" s="177"/>
    </row>
    <row r="896" spans="1:9" ht="15.75" hidden="1" x14ac:dyDescent="0.25">
      <c r="A896" s="25" t="s">
        <v>581</v>
      </c>
      <c r="B896" s="16">
        <v>908</v>
      </c>
      <c r="C896" s="20" t="s">
        <v>249</v>
      </c>
      <c r="D896" s="20" t="s">
        <v>230</v>
      </c>
      <c r="E896" s="20" t="s">
        <v>582</v>
      </c>
      <c r="F896" s="20"/>
      <c r="G896" s="27">
        <f>G897</f>
        <v>0</v>
      </c>
      <c r="H896" s="177"/>
    </row>
    <row r="897" spans="1:10" ht="15.75" hidden="1" x14ac:dyDescent="0.25">
      <c r="A897" s="25" t="s">
        <v>150</v>
      </c>
      <c r="B897" s="16">
        <v>908</v>
      </c>
      <c r="C897" s="20" t="s">
        <v>249</v>
      </c>
      <c r="D897" s="20" t="s">
        <v>230</v>
      </c>
      <c r="E897" s="20" t="s">
        <v>582</v>
      </c>
      <c r="F897" s="20" t="s">
        <v>160</v>
      </c>
      <c r="G897" s="27">
        <f>G898</f>
        <v>0</v>
      </c>
      <c r="H897" s="177"/>
    </row>
    <row r="898" spans="1:10" ht="15.75" hidden="1" x14ac:dyDescent="0.25">
      <c r="A898" s="25" t="s">
        <v>583</v>
      </c>
      <c r="B898" s="16">
        <v>908</v>
      </c>
      <c r="C898" s="20" t="s">
        <v>249</v>
      </c>
      <c r="D898" s="20" t="s">
        <v>230</v>
      </c>
      <c r="E898" s="20" t="s">
        <v>582</v>
      </c>
      <c r="F898" s="20" t="s">
        <v>153</v>
      </c>
      <c r="G898" s="27">
        <v>0</v>
      </c>
      <c r="H898" s="177"/>
    </row>
    <row r="899" spans="1:10" ht="31.5" x14ac:dyDescent="0.25">
      <c r="A899" s="23" t="s">
        <v>584</v>
      </c>
      <c r="B899" s="19">
        <v>908</v>
      </c>
      <c r="C899" s="24" t="s">
        <v>249</v>
      </c>
      <c r="D899" s="24" t="s">
        <v>249</v>
      </c>
      <c r="E899" s="24"/>
      <c r="F899" s="24"/>
      <c r="G899" s="21">
        <f>G900</f>
        <v>21124.69</v>
      </c>
      <c r="H899" s="177"/>
    </row>
    <row r="900" spans="1:10" ht="15.75" x14ac:dyDescent="0.25">
      <c r="A900" s="25" t="s">
        <v>136</v>
      </c>
      <c r="B900" s="16">
        <v>908</v>
      </c>
      <c r="C900" s="20" t="s">
        <v>249</v>
      </c>
      <c r="D900" s="20" t="s">
        <v>249</v>
      </c>
      <c r="E900" s="20" t="s">
        <v>137</v>
      </c>
      <c r="F900" s="20"/>
      <c r="G900" s="26">
        <f>G901+G909</f>
        <v>21124.69</v>
      </c>
      <c r="H900" s="177"/>
    </row>
    <row r="901" spans="1:10" ht="31.5" x14ac:dyDescent="0.25">
      <c r="A901" s="25" t="s">
        <v>138</v>
      </c>
      <c r="B901" s="16">
        <v>908</v>
      </c>
      <c r="C901" s="20" t="s">
        <v>249</v>
      </c>
      <c r="D901" s="20" t="s">
        <v>249</v>
      </c>
      <c r="E901" s="20" t="s">
        <v>139</v>
      </c>
      <c r="F901" s="20"/>
      <c r="G901" s="26">
        <f>G902</f>
        <v>13501.699999999999</v>
      </c>
      <c r="H901" s="177"/>
    </row>
    <row r="902" spans="1:10" ht="47.25" x14ac:dyDescent="0.25">
      <c r="A902" s="25" t="s">
        <v>140</v>
      </c>
      <c r="B902" s="16">
        <v>908</v>
      </c>
      <c r="C902" s="20" t="s">
        <v>249</v>
      </c>
      <c r="D902" s="20" t="s">
        <v>249</v>
      </c>
      <c r="E902" s="20" t="s">
        <v>141</v>
      </c>
      <c r="F902" s="20"/>
      <c r="G902" s="26">
        <f>G903+G907+G905</f>
        <v>13501.699999999999</v>
      </c>
      <c r="H902" s="177"/>
    </row>
    <row r="903" spans="1:10" ht="94.5" x14ac:dyDescent="0.25">
      <c r="A903" s="25" t="s">
        <v>142</v>
      </c>
      <c r="B903" s="16">
        <v>908</v>
      </c>
      <c r="C903" s="20" t="s">
        <v>249</v>
      </c>
      <c r="D903" s="20" t="s">
        <v>249</v>
      </c>
      <c r="E903" s="20" t="s">
        <v>141</v>
      </c>
      <c r="F903" s="20" t="s">
        <v>143</v>
      </c>
      <c r="G903" s="26">
        <f>G904</f>
        <v>13327.8</v>
      </c>
      <c r="H903" s="177"/>
    </row>
    <row r="904" spans="1:10" ht="31.5" x14ac:dyDescent="0.25">
      <c r="A904" s="25" t="s">
        <v>144</v>
      </c>
      <c r="B904" s="16">
        <v>908</v>
      </c>
      <c r="C904" s="20" t="s">
        <v>249</v>
      </c>
      <c r="D904" s="20" t="s">
        <v>249</v>
      </c>
      <c r="E904" s="20" t="s">
        <v>141</v>
      </c>
      <c r="F904" s="20" t="s">
        <v>145</v>
      </c>
      <c r="G904" s="166">
        <f>13259.3+28.4+100-59.9</f>
        <v>13327.8</v>
      </c>
      <c r="H904" s="106" t="s">
        <v>768</v>
      </c>
      <c r="I904" s="124"/>
      <c r="J904" s="171" t="s">
        <v>775</v>
      </c>
    </row>
    <row r="905" spans="1:10" ht="31.5" x14ac:dyDescent="0.25">
      <c r="A905" s="25" t="s">
        <v>146</v>
      </c>
      <c r="B905" s="16">
        <v>908</v>
      </c>
      <c r="C905" s="20" t="s">
        <v>249</v>
      </c>
      <c r="D905" s="20" t="s">
        <v>249</v>
      </c>
      <c r="E905" s="20" t="s">
        <v>141</v>
      </c>
      <c r="F905" s="20" t="s">
        <v>147</v>
      </c>
      <c r="G905" s="26">
        <f>G906</f>
        <v>25</v>
      </c>
      <c r="H905" s="177"/>
    </row>
    <row r="906" spans="1:10" ht="47.25" x14ac:dyDescent="0.25">
      <c r="A906" s="25" t="s">
        <v>148</v>
      </c>
      <c r="B906" s="16">
        <v>908</v>
      </c>
      <c r="C906" s="20" t="s">
        <v>249</v>
      </c>
      <c r="D906" s="20" t="s">
        <v>249</v>
      </c>
      <c r="E906" s="20" t="s">
        <v>141</v>
      </c>
      <c r="F906" s="20" t="s">
        <v>149</v>
      </c>
      <c r="G906" s="27">
        <v>25</v>
      </c>
      <c r="H906" s="106"/>
      <c r="I906" s="124"/>
    </row>
    <row r="907" spans="1:10" ht="15.75" x14ac:dyDescent="0.25">
      <c r="A907" s="25" t="s">
        <v>150</v>
      </c>
      <c r="B907" s="16">
        <v>908</v>
      </c>
      <c r="C907" s="20" t="s">
        <v>249</v>
      </c>
      <c r="D907" s="20" t="s">
        <v>249</v>
      </c>
      <c r="E907" s="20" t="s">
        <v>141</v>
      </c>
      <c r="F907" s="20" t="s">
        <v>160</v>
      </c>
      <c r="G907" s="26">
        <f>G908</f>
        <v>148.9</v>
      </c>
      <c r="H907" s="177"/>
    </row>
    <row r="908" spans="1:10" ht="15.75" x14ac:dyDescent="0.25">
      <c r="A908" s="25" t="s">
        <v>583</v>
      </c>
      <c r="B908" s="16">
        <v>908</v>
      </c>
      <c r="C908" s="20" t="s">
        <v>249</v>
      </c>
      <c r="D908" s="20" t="s">
        <v>249</v>
      </c>
      <c r="E908" s="20" t="s">
        <v>141</v>
      </c>
      <c r="F908" s="20" t="s">
        <v>153</v>
      </c>
      <c r="G908" s="162">
        <f>89+59.9</f>
        <v>148.9</v>
      </c>
      <c r="H908" s="157" t="s">
        <v>767</v>
      </c>
    </row>
    <row r="909" spans="1:10" ht="15.75" x14ac:dyDescent="0.25">
      <c r="A909" s="25" t="s">
        <v>156</v>
      </c>
      <c r="B909" s="16">
        <v>908</v>
      </c>
      <c r="C909" s="20" t="s">
        <v>249</v>
      </c>
      <c r="D909" s="20" t="s">
        <v>249</v>
      </c>
      <c r="E909" s="20" t="s">
        <v>157</v>
      </c>
      <c r="F909" s="20"/>
      <c r="G909" s="26">
        <f>G913+G910</f>
        <v>7622.99</v>
      </c>
      <c r="H909" s="177"/>
    </row>
    <row r="910" spans="1:10" ht="31.5" x14ac:dyDescent="0.25">
      <c r="A910" s="25" t="s">
        <v>585</v>
      </c>
      <c r="B910" s="16">
        <v>908</v>
      </c>
      <c r="C910" s="20" t="s">
        <v>249</v>
      </c>
      <c r="D910" s="20" t="s">
        <v>249</v>
      </c>
      <c r="E910" s="20" t="s">
        <v>586</v>
      </c>
      <c r="F910" s="20"/>
      <c r="G910" s="27">
        <f>G911</f>
        <v>1461</v>
      </c>
      <c r="H910" s="177"/>
    </row>
    <row r="911" spans="1:10" ht="15.75" x14ac:dyDescent="0.25">
      <c r="A911" s="25" t="s">
        <v>150</v>
      </c>
      <c r="B911" s="16">
        <v>908</v>
      </c>
      <c r="C911" s="20" t="s">
        <v>249</v>
      </c>
      <c r="D911" s="20" t="s">
        <v>249</v>
      </c>
      <c r="E911" s="20" t="s">
        <v>586</v>
      </c>
      <c r="F911" s="20" t="s">
        <v>160</v>
      </c>
      <c r="G911" s="27">
        <f>G912</f>
        <v>1461</v>
      </c>
      <c r="H911" s="177"/>
    </row>
    <row r="912" spans="1:10" ht="63" x14ac:dyDescent="0.25">
      <c r="A912" s="25" t="s">
        <v>199</v>
      </c>
      <c r="B912" s="16">
        <v>908</v>
      </c>
      <c r="C912" s="20" t="s">
        <v>249</v>
      </c>
      <c r="D912" s="20" t="s">
        <v>249</v>
      </c>
      <c r="E912" s="20" t="s">
        <v>586</v>
      </c>
      <c r="F912" s="20" t="s">
        <v>175</v>
      </c>
      <c r="G912" s="27">
        <v>1461</v>
      </c>
      <c r="H912" s="177"/>
    </row>
    <row r="913" spans="1:10" ht="31.5" x14ac:dyDescent="0.25">
      <c r="A913" s="25" t="s">
        <v>355</v>
      </c>
      <c r="B913" s="16">
        <v>908</v>
      </c>
      <c r="C913" s="20" t="s">
        <v>249</v>
      </c>
      <c r="D913" s="20" t="s">
        <v>249</v>
      </c>
      <c r="E913" s="20" t="s">
        <v>356</v>
      </c>
      <c r="F913" s="20"/>
      <c r="G913" s="26">
        <f>G914+G916</f>
        <v>6161.99</v>
      </c>
      <c r="H913" s="177"/>
    </row>
    <row r="914" spans="1:10" ht="94.5" x14ac:dyDescent="0.25">
      <c r="A914" s="25" t="s">
        <v>142</v>
      </c>
      <c r="B914" s="16">
        <v>908</v>
      </c>
      <c r="C914" s="20" t="s">
        <v>249</v>
      </c>
      <c r="D914" s="20" t="s">
        <v>249</v>
      </c>
      <c r="E914" s="20" t="s">
        <v>356</v>
      </c>
      <c r="F914" s="20" t="s">
        <v>143</v>
      </c>
      <c r="G914" s="26">
        <f>G915</f>
        <v>4505.49</v>
      </c>
      <c r="H914" s="177"/>
    </row>
    <row r="915" spans="1:10" ht="31.5" x14ac:dyDescent="0.25">
      <c r="A915" s="25" t="s">
        <v>357</v>
      </c>
      <c r="B915" s="16">
        <v>908</v>
      </c>
      <c r="C915" s="20" t="s">
        <v>249</v>
      </c>
      <c r="D915" s="20" t="s">
        <v>249</v>
      </c>
      <c r="E915" s="20" t="s">
        <v>356</v>
      </c>
      <c r="F915" s="20" t="s">
        <v>224</v>
      </c>
      <c r="G915" s="156">
        <f>6196.89-1411.4-100-180</f>
        <v>4505.49</v>
      </c>
      <c r="H915" s="106" t="s">
        <v>781</v>
      </c>
      <c r="I915" s="124"/>
      <c r="J915" s="170" t="s">
        <v>780</v>
      </c>
    </row>
    <row r="916" spans="1:10" ht="31.5" x14ac:dyDescent="0.25">
      <c r="A916" s="25" t="s">
        <v>146</v>
      </c>
      <c r="B916" s="16">
        <v>908</v>
      </c>
      <c r="C916" s="20" t="s">
        <v>249</v>
      </c>
      <c r="D916" s="20" t="s">
        <v>249</v>
      </c>
      <c r="E916" s="20" t="s">
        <v>356</v>
      </c>
      <c r="F916" s="20" t="s">
        <v>147</v>
      </c>
      <c r="G916" s="26">
        <f>G917</f>
        <v>1656.5</v>
      </c>
      <c r="H916" s="177"/>
    </row>
    <row r="917" spans="1:10" ht="47.25" x14ac:dyDescent="0.25">
      <c r="A917" s="25" t="s">
        <v>148</v>
      </c>
      <c r="B917" s="16">
        <v>908</v>
      </c>
      <c r="C917" s="20" t="s">
        <v>249</v>
      </c>
      <c r="D917" s="20" t="s">
        <v>249</v>
      </c>
      <c r="E917" s="20" t="s">
        <v>356</v>
      </c>
      <c r="F917" s="20" t="s">
        <v>149</v>
      </c>
      <c r="G917" s="156">
        <f>1341.9+928.5-198.8-595.1+180</f>
        <v>1656.5</v>
      </c>
      <c r="H917" s="106" t="s">
        <v>782</v>
      </c>
      <c r="I917" s="125"/>
      <c r="J917" s="170"/>
    </row>
    <row r="918" spans="1:10" ht="15.75" x14ac:dyDescent="0.25">
      <c r="A918" s="23" t="s">
        <v>258</v>
      </c>
      <c r="B918" s="19">
        <v>908</v>
      </c>
      <c r="C918" s="24" t="s">
        <v>259</v>
      </c>
      <c r="D918" s="24"/>
      <c r="E918" s="24"/>
      <c r="F918" s="24"/>
      <c r="G918" s="21">
        <f t="shared" ref="G918:G923" si="5">G919</f>
        <v>87.1</v>
      </c>
      <c r="H918" s="177"/>
    </row>
    <row r="919" spans="1:10" ht="31.5" x14ac:dyDescent="0.25">
      <c r="A919" s="23" t="s">
        <v>273</v>
      </c>
      <c r="B919" s="19">
        <v>908</v>
      </c>
      <c r="C919" s="24" t="s">
        <v>259</v>
      </c>
      <c r="D919" s="24" t="s">
        <v>135</v>
      </c>
      <c r="E919" s="24"/>
      <c r="F919" s="24"/>
      <c r="G919" s="21">
        <f t="shared" si="5"/>
        <v>87.1</v>
      </c>
      <c r="H919" s="177"/>
    </row>
    <row r="920" spans="1:10" ht="15.75" x14ac:dyDescent="0.25">
      <c r="A920" s="25" t="s">
        <v>136</v>
      </c>
      <c r="B920" s="16">
        <v>908</v>
      </c>
      <c r="C920" s="20" t="s">
        <v>259</v>
      </c>
      <c r="D920" s="20" t="s">
        <v>135</v>
      </c>
      <c r="E920" s="20" t="s">
        <v>137</v>
      </c>
      <c r="F920" s="20"/>
      <c r="G920" s="21">
        <f t="shared" si="5"/>
        <v>87.1</v>
      </c>
      <c r="H920" s="177"/>
    </row>
    <row r="921" spans="1:10" ht="15.75" x14ac:dyDescent="0.25">
      <c r="A921" s="25" t="s">
        <v>156</v>
      </c>
      <c r="B921" s="16">
        <v>908</v>
      </c>
      <c r="C921" s="20" t="s">
        <v>259</v>
      </c>
      <c r="D921" s="20" t="s">
        <v>135</v>
      </c>
      <c r="E921" s="20" t="s">
        <v>157</v>
      </c>
      <c r="F921" s="20"/>
      <c r="G921" s="26">
        <f t="shared" si="5"/>
        <v>87.1</v>
      </c>
      <c r="H921" s="177"/>
    </row>
    <row r="922" spans="1:10" ht="15.75" x14ac:dyDescent="0.25">
      <c r="A922" s="25" t="s">
        <v>587</v>
      </c>
      <c r="B922" s="16">
        <v>908</v>
      </c>
      <c r="C922" s="20" t="s">
        <v>259</v>
      </c>
      <c r="D922" s="20" t="s">
        <v>135</v>
      </c>
      <c r="E922" s="20" t="s">
        <v>588</v>
      </c>
      <c r="F922" s="20"/>
      <c r="G922" s="26">
        <f t="shared" si="5"/>
        <v>87.1</v>
      </c>
      <c r="H922" s="177"/>
    </row>
    <row r="923" spans="1:10" ht="15.75" x14ac:dyDescent="0.25">
      <c r="A923" s="25" t="s">
        <v>150</v>
      </c>
      <c r="B923" s="16">
        <v>908</v>
      </c>
      <c r="C923" s="20" t="s">
        <v>259</v>
      </c>
      <c r="D923" s="20" t="s">
        <v>135</v>
      </c>
      <c r="E923" s="20" t="s">
        <v>588</v>
      </c>
      <c r="F923" s="20" t="s">
        <v>160</v>
      </c>
      <c r="G923" s="26">
        <f t="shared" si="5"/>
        <v>87.1</v>
      </c>
      <c r="H923" s="177"/>
    </row>
    <row r="924" spans="1:10" ht="63" x14ac:dyDescent="0.25">
      <c r="A924" s="25" t="s">
        <v>199</v>
      </c>
      <c r="B924" s="16">
        <v>908</v>
      </c>
      <c r="C924" s="20" t="s">
        <v>259</v>
      </c>
      <c r="D924" s="20" t="s">
        <v>135</v>
      </c>
      <c r="E924" s="20" t="s">
        <v>588</v>
      </c>
      <c r="F924" s="20" t="s">
        <v>175</v>
      </c>
      <c r="G924" s="26">
        <v>87.1</v>
      </c>
      <c r="H924" s="177"/>
    </row>
    <row r="925" spans="1:10" ht="31.5" x14ac:dyDescent="0.25">
      <c r="A925" s="19" t="s">
        <v>589</v>
      </c>
      <c r="B925" s="19">
        <v>910</v>
      </c>
      <c r="C925" s="47"/>
      <c r="D925" s="47"/>
      <c r="E925" s="47"/>
      <c r="F925" s="47"/>
      <c r="G925" s="21">
        <f>G926</f>
        <v>7042.5</v>
      </c>
      <c r="H925" s="177"/>
    </row>
    <row r="926" spans="1:10" ht="15.75" x14ac:dyDescent="0.25">
      <c r="A926" s="23" t="s">
        <v>132</v>
      </c>
      <c r="B926" s="19">
        <v>910</v>
      </c>
      <c r="C926" s="24" t="s">
        <v>133</v>
      </c>
      <c r="D926" s="24"/>
      <c r="E926" s="24"/>
      <c r="F926" s="24"/>
      <c r="G926" s="21">
        <f>G927+G935+G945+G953</f>
        <v>7042.5</v>
      </c>
      <c r="H926" s="177"/>
    </row>
    <row r="927" spans="1:10" ht="47.25" x14ac:dyDescent="0.25">
      <c r="A927" s="23" t="s">
        <v>590</v>
      </c>
      <c r="B927" s="19">
        <v>910</v>
      </c>
      <c r="C927" s="24" t="s">
        <v>133</v>
      </c>
      <c r="D927" s="24" t="s">
        <v>228</v>
      </c>
      <c r="E927" s="24"/>
      <c r="F927" s="24"/>
      <c r="G927" s="21">
        <f>G928</f>
        <v>4188.8</v>
      </c>
      <c r="H927" s="177"/>
    </row>
    <row r="928" spans="1:10" ht="15.75" x14ac:dyDescent="0.25">
      <c r="A928" s="25" t="s">
        <v>136</v>
      </c>
      <c r="B928" s="16">
        <v>910</v>
      </c>
      <c r="C928" s="20" t="s">
        <v>133</v>
      </c>
      <c r="D928" s="20" t="s">
        <v>228</v>
      </c>
      <c r="E928" s="20" t="s">
        <v>137</v>
      </c>
      <c r="F928" s="20"/>
      <c r="G928" s="26">
        <f>G929</f>
        <v>4188.8</v>
      </c>
      <c r="H928" s="177"/>
    </row>
    <row r="929" spans="1:10" ht="31.5" x14ac:dyDescent="0.25">
      <c r="A929" s="25" t="s">
        <v>138</v>
      </c>
      <c r="B929" s="16">
        <v>910</v>
      </c>
      <c r="C929" s="20" t="s">
        <v>133</v>
      </c>
      <c r="D929" s="20" t="s">
        <v>228</v>
      </c>
      <c r="E929" s="20" t="s">
        <v>139</v>
      </c>
      <c r="F929" s="20"/>
      <c r="G929" s="26">
        <f>G930</f>
        <v>4188.8</v>
      </c>
      <c r="H929" s="177"/>
    </row>
    <row r="930" spans="1:10" ht="47.25" x14ac:dyDescent="0.25">
      <c r="A930" s="25" t="s">
        <v>591</v>
      </c>
      <c r="B930" s="16">
        <v>910</v>
      </c>
      <c r="C930" s="20" t="s">
        <v>133</v>
      </c>
      <c r="D930" s="20" t="s">
        <v>228</v>
      </c>
      <c r="E930" s="20" t="s">
        <v>592</v>
      </c>
      <c r="F930" s="20"/>
      <c r="G930" s="26">
        <f>G931+G933</f>
        <v>4188.8</v>
      </c>
      <c r="H930" s="177"/>
    </row>
    <row r="931" spans="1:10" ht="94.5" x14ac:dyDescent="0.25">
      <c r="A931" s="25" t="s">
        <v>142</v>
      </c>
      <c r="B931" s="16">
        <v>910</v>
      </c>
      <c r="C931" s="20" t="s">
        <v>133</v>
      </c>
      <c r="D931" s="20" t="s">
        <v>228</v>
      </c>
      <c r="E931" s="20" t="s">
        <v>592</v>
      </c>
      <c r="F931" s="20" t="s">
        <v>143</v>
      </c>
      <c r="G931" s="26">
        <f>G932+G933</f>
        <v>4188.8</v>
      </c>
      <c r="H931" s="177"/>
    </row>
    <row r="932" spans="1:10" ht="31.5" x14ac:dyDescent="0.25">
      <c r="A932" s="25" t="s">
        <v>144</v>
      </c>
      <c r="B932" s="16">
        <v>910</v>
      </c>
      <c r="C932" s="20" t="s">
        <v>133</v>
      </c>
      <c r="D932" s="20" t="s">
        <v>228</v>
      </c>
      <c r="E932" s="20" t="s">
        <v>592</v>
      </c>
      <c r="F932" s="20" t="s">
        <v>145</v>
      </c>
      <c r="G932" s="27">
        <v>4188.8</v>
      </c>
      <c r="H932" s="177"/>
      <c r="J932" s="170" t="s">
        <v>776</v>
      </c>
    </row>
    <row r="933" spans="1:10" ht="47.25" hidden="1" x14ac:dyDescent="0.25">
      <c r="A933" s="25" t="s">
        <v>213</v>
      </c>
      <c r="B933" s="16">
        <v>910</v>
      </c>
      <c r="C933" s="20" t="s">
        <v>133</v>
      </c>
      <c r="D933" s="20" t="s">
        <v>228</v>
      </c>
      <c r="E933" s="20" t="s">
        <v>592</v>
      </c>
      <c r="F933" s="20" t="s">
        <v>147</v>
      </c>
      <c r="G933" s="26">
        <f>G934</f>
        <v>0</v>
      </c>
      <c r="H933" s="177"/>
    </row>
    <row r="934" spans="1:10" ht="47.25" hidden="1" x14ac:dyDescent="0.25">
      <c r="A934" s="25" t="s">
        <v>148</v>
      </c>
      <c r="B934" s="16">
        <v>910</v>
      </c>
      <c r="C934" s="20" t="s">
        <v>133</v>
      </c>
      <c r="D934" s="20" t="s">
        <v>228</v>
      </c>
      <c r="E934" s="20" t="s">
        <v>592</v>
      </c>
      <c r="F934" s="20" t="s">
        <v>149</v>
      </c>
      <c r="G934" s="26"/>
      <c r="H934" s="177"/>
    </row>
    <row r="935" spans="1:10" ht="78.75" x14ac:dyDescent="0.25">
      <c r="A935" s="23" t="s">
        <v>593</v>
      </c>
      <c r="B935" s="19">
        <v>910</v>
      </c>
      <c r="C935" s="24" t="s">
        <v>133</v>
      </c>
      <c r="D935" s="24" t="s">
        <v>230</v>
      </c>
      <c r="E935" s="24"/>
      <c r="F935" s="24"/>
      <c r="G935" s="21">
        <f>G936</f>
        <v>1138.7</v>
      </c>
      <c r="H935" s="177"/>
    </row>
    <row r="936" spans="1:10" ht="15.75" x14ac:dyDescent="0.25">
      <c r="A936" s="25" t="s">
        <v>136</v>
      </c>
      <c r="B936" s="16">
        <v>910</v>
      </c>
      <c r="C936" s="20" t="s">
        <v>133</v>
      </c>
      <c r="D936" s="20" t="s">
        <v>230</v>
      </c>
      <c r="E936" s="20" t="s">
        <v>137</v>
      </c>
      <c r="F936" s="24"/>
      <c r="G936" s="26">
        <f>G937</f>
        <v>1138.7</v>
      </c>
      <c r="H936" s="177"/>
    </row>
    <row r="937" spans="1:10" ht="31.5" x14ac:dyDescent="0.25">
      <c r="A937" s="25" t="s">
        <v>138</v>
      </c>
      <c r="B937" s="16">
        <v>910</v>
      </c>
      <c r="C937" s="20" t="s">
        <v>133</v>
      </c>
      <c r="D937" s="20" t="s">
        <v>230</v>
      </c>
      <c r="E937" s="20" t="s">
        <v>139</v>
      </c>
      <c r="F937" s="24"/>
      <c r="G937" s="26">
        <f>G938</f>
        <v>1138.7</v>
      </c>
      <c r="H937" s="177"/>
    </row>
    <row r="938" spans="1:10" ht="47.25" x14ac:dyDescent="0.25">
      <c r="A938" s="25" t="s">
        <v>594</v>
      </c>
      <c r="B938" s="16">
        <v>910</v>
      </c>
      <c r="C938" s="20" t="s">
        <v>133</v>
      </c>
      <c r="D938" s="20" t="s">
        <v>230</v>
      </c>
      <c r="E938" s="20" t="s">
        <v>595</v>
      </c>
      <c r="F938" s="20"/>
      <c r="G938" s="26">
        <f>G939+G941+G943</f>
        <v>1138.7</v>
      </c>
      <c r="H938" s="177"/>
    </row>
    <row r="939" spans="1:10" ht="94.5" x14ac:dyDescent="0.25">
      <c r="A939" s="25" t="s">
        <v>142</v>
      </c>
      <c r="B939" s="16">
        <v>910</v>
      </c>
      <c r="C939" s="20" t="s">
        <v>133</v>
      </c>
      <c r="D939" s="20" t="s">
        <v>230</v>
      </c>
      <c r="E939" s="20" t="s">
        <v>595</v>
      </c>
      <c r="F939" s="20" t="s">
        <v>143</v>
      </c>
      <c r="G939" s="26">
        <f>G940</f>
        <v>1003.7</v>
      </c>
      <c r="H939" s="177"/>
    </row>
    <row r="940" spans="1:10" ht="31.5" x14ac:dyDescent="0.25">
      <c r="A940" s="25" t="s">
        <v>144</v>
      </c>
      <c r="B940" s="16">
        <v>910</v>
      </c>
      <c r="C940" s="20" t="s">
        <v>133</v>
      </c>
      <c r="D940" s="20" t="s">
        <v>230</v>
      </c>
      <c r="E940" s="20" t="s">
        <v>595</v>
      </c>
      <c r="F940" s="20" t="s">
        <v>145</v>
      </c>
      <c r="G940" s="26">
        <v>1003.7</v>
      </c>
      <c r="H940" s="177"/>
    </row>
    <row r="941" spans="1:10" ht="47.25" x14ac:dyDescent="0.25">
      <c r="A941" s="25" t="s">
        <v>213</v>
      </c>
      <c r="B941" s="16">
        <v>910</v>
      </c>
      <c r="C941" s="20" t="s">
        <v>133</v>
      </c>
      <c r="D941" s="20" t="s">
        <v>230</v>
      </c>
      <c r="E941" s="20" t="s">
        <v>595</v>
      </c>
      <c r="F941" s="20" t="s">
        <v>147</v>
      </c>
      <c r="G941" s="26">
        <f>G942</f>
        <v>135</v>
      </c>
      <c r="H941" s="177"/>
    </row>
    <row r="942" spans="1:10" ht="47.25" x14ac:dyDescent="0.25">
      <c r="A942" s="25" t="s">
        <v>148</v>
      </c>
      <c r="B942" s="16">
        <v>910</v>
      </c>
      <c r="C942" s="20" t="s">
        <v>133</v>
      </c>
      <c r="D942" s="20" t="s">
        <v>230</v>
      </c>
      <c r="E942" s="20" t="s">
        <v>595</v>
      </c>
      <c r="F942" s="20" t="s">
        <v>149</v>
      </c>
      <c r="G942" s="26">
        <v>135</v>
      </c>
      <c r="H942" s="177"/>
    </row>
    <row r="943" spans="1:10" ht="15.75" hidden="1" x14ac:dyDescent="0.25">
      <c r="A943" s="25" t="s">
        <v>150</v>
      </c>
      <c r="B943" s="16">
        <v>910</v>
      </c>
      <c r="C943" s="20" t="s">
        <v>133</v>
      </c>
      <c r="D943" s="20" t="s">
        <v>230</v>
      </c>
      <c r="E943" s="20" t="s">
        <v>595</v>
      </c>
      <c r="F943" s="20" t="s">
        <v>160</v>
      </c>
      <c r="G943" s="26">
        <f>G944</f>
        <v>0</v>
      </c>
      <c r="H943" s="177"/>
    </row>
    <row r="944" spans="1:10" ht="15.75" hidden="1" x14ac:dyDescent="0.25">
      <c r="A944" s="25" t="s">
        <v>583</v>
      </c>
      <c r="B944" s="16">
        <v>910</v>
      </c>
      <c r="C944" s="20" t="s">
        <v>133</v>
      </c>
      <c r="D944" s="20" t="s">
        <v>230</v>
      </c>
      <c r="E944" s="20" t="s">
        <v>595</v>
      </c>
      <c r="F944" s="20" t="s">
        <v>153</v>
      </c>
      <c r="G944" s="26">
        <v>0</v>
      </c>
      <c r="H944" s="177"/>
    </row>
    <row r="945" spans="1:10" ht="63" x14ac:dyDescent="0.25">
      <c r="A945" s="23" t="s">
        <v>134</v>
      </c>
      <c r="B945" s="19">
        <v>910</v>
      </c>
      <c r="C945" s="24" t="s">
        <v>133</v>
      </c>
      <c r="D945" s="24" t="s">
        <v>135</v>
      </c>
      <c r="E945" s="24"/>
      <c r="F945" s="24"/>
      <c r="G945" s="21">
        <f>G946</f>
        <v>1682.5</v>
      </c>
      <c r="H945" s="177"/>
    </row>
    <row r="946" spans="1:10" s="112" customFormat="1" ht="15.75" x14ac:dyDescent="0.25">
      <c r="A946" s="25" t="s">
        <v>136</v>
      </c>
      <c r="B946" s="16">
        <v>910</v>
      </c>
      <c r="C946" s="20" t="s">
        <v>133</v>
      </c>
      <c r="D946" s="20" t="s">
        <v>135</v>
      </c>
      <c r="E946" s="20" t="s">
        <v>137</v>
      </c>
      <c r="F946" s="20"/>
      <c r="G946" s="26">
        <f>G947</f>
        <v>1682.5</v>
      </c>
      <c r="H946" s="177"/>
      <c r="I946" s="128"/>
    </row>
    <row r="947" spans="1:10" s="112" customFormat="1" ht="31.5" x14ac:dyDescent="0.25">
      <c r="A947" s="25" t="s">
        <v>138</v>
      </c>
      <c r="B947" s="16">
        <v>910</v>
      </c>
      <c r="C947" s="20" t="s">
        <v>133</v>
      </c>
      <c r="D947" s="20" t="s">
        <v>135</v>
      </c>
      <c r="E947" s="20" t="s">
        <v>139</v>
      </c>
      <c r="F947" s="20"/>
      <c r="G947" s="26">
        <f>G948</f>
        <v>1682.5</v>
      </c>
      <c r="H947" s="177"/>
      <c r="I947" s="128"/>
    </row>
    <row r="948" spans="1:10" s="112" customFormat="1" ht="47.25" x14ac:dyDescent="0.25">
      <c r="A948" s="25" t="s">
        <v>140</v>
      </c>
      <c r="B948" s="16">
        <v>910</v>
      </c>
      <c r="C948" s="20" t="s">
        <v>133</v>
      </c>
      <c r="D948" s="20" t="s">
        <v>135</v>
      </c>
      <c r="E948" s="20" t="s">
        <v>141</v>
      </c>
      <c r="F948" s="20"/>
      <c r="G948" s="26">
        <f>G949+G951</f>
        <v>1682.5</v>
      </c>
      <c r="H948" s="177"/>
      <c r="I948" s="128"/>
    </row>
    <row r="949" spans="1:10" ht="94.5" x14ac:dyDescent="0.25">
      <c r="A949" s="25" t="s">
        <v>142</v>
      </c>
      <c r="B949" s="16">
        <v>910</v>
      </c>
      <c r="C949" s="20" t="s">
        <v>133</v>
      </c>
      <c r="D949" s="20" t="s">
        <v>135</v>
      </c>
      <c r="E949" s="20" t="s">
        <v>141</v>
      </c>
      <c r="F949" s="20" t="s">
        <v>143</v>
      </c>
      <c r="G949" s="26">
        <f>G950</f>
        <v>1664.2</v>
      </c>
      <c r="H949" s="177"/>
    </row>
    <row r="950" spans="1:10" ht="31.5" x14ac:dyDescent="0.25">
      <c r="A950" s="25" t="s">
        <v>144</v>
      </c>
      <c r="B950" s="16">
        <v>910</v>
      </c>
      <c r="C950" s="20" t="s">
        <v>133</v>
      </c>
      <c r="D950" s="20" t="s">
        <v>135</v>
      </c>
      <c r="E950" s="20" t="s">
        <v>141</v>
      </c>
      <c r="F950" s="20" t="s">
        <v>145</v>
      </c>
      <c r="G950" s="26">
        <v>1664.2</v>
      </c>
      <c r="H950" s="177"/>
      <c r="J950" s="173" t="s">
        <v>777</v>
      </c>
    </row>
    <row r="951" spans="1:10" ht="47.25" x14ac:dyDescent="0.25">
      <c r="A951" s="25" t="s">
        <v>213</v>
      </c>
      <c r="B951" s="16">
        <v>910</v>
      </c>
      <c r="C951" s="20" t="s">
        <v>133</v>
      </c>
      <c r="D951" s="20" t="s">
        <v>135</v>
      </c>
      <c r="E951" s="20" t="s">
        <v>141</v>
      </c>
      <c r="F951" s="20" t="s">
        <v>147</v>
      </c>
      <c r="G951" s="26">
        <f>G952</f>
        <v>18.3</v>
      </c>
      <c r="H951" s="177"/>
    </row>
    <row r="952" spans="1:10" ht="47.25" x14ac:dyDescent="0.25">
      <c r="A952" s="25" t="s">
        <v>148</v>
      </c>
      <c r="B952" s="16">
        <v>910</v>
      </c>
      <c r="C952" s="20" t="s">
        <v>133</v>
      </c>
      <c r="D952" s="20" t="s">
        <v>135</v>
      </c>
      <c r="E952" s="20" t="s">
        <v>141</v>
      </c>
      <c r="F952" s="20" t="s">
        <v>149</v>
      </c>
      <c r="G952" s="26">
        <v>18.3</v>
      </c>
      <c r="H952" s="177"/>
    </row>
    <row r="953" spans="1:10" ht="15.75" x14ac:dyDescent="0.25">
      <c r="A953" s="23" t="s">
        <v>154</v>
      </c>
      <c r="B953" s="19">
        <v>910</v>
      </c>
      <c r="C953" s="24" t="s">
        <v>133</v>
      </c>
      <c r="D953" s="24" t="s">
        <v>155</v>
      </c>
      <c r="E953" s="110"/>
      <c r="F953" s="20"/>
      <c r="G953" s="21">
        <f>G954+G958</f>
        <v>32.5</v>
      </c>
      <c r="H953" s="177"/>
    </row>
    <row r="954" spans="1:10" ht="47.25" x14ac:dyDescent="0.25">
      <c r="A954" s="25" t="s">
        <v>176</v>
      </c>
      <c r="B954" s="16">
        <v>910</v>
      </c>
      <c r="C954" s="20" t="s">
        <v>133</v>
      </c>
      <c r="D954" s="20" t="s">
        <v>155</v>
      </c>
      <c r="E954" s="20" t="s">
        <v>177</v>
      </c>
      <c r="F954" s="20"/>
      <c r="G954" s="26">
        <f>G955</f>
        <v>0.5</v>
      </c>
      <c r="H954" s="177"/>
    </row>
    <row r="955" spans="1:10" ht="63" x14ac:dyDescent="0.25">
      <c r="A955" s="31" t="s">
        <v>710</v>
      </c>
      <c r="B955" s="16">
        <v>910</v>
      </c>
      <c r="C955" s="20" t="s">
        <v>133</v>
      </c>
      <c r="D955" s="20" t="s">
        <v>155</v>
      </c>
      <c r="E955" s="40" t="s">
        <v>711</v>
      </c>
      <c r="F955" s="20"/>
      <c r="G955" s="26">
        <f>G956</f>
        <v>0.5</v>
      </c>
      <c r="H955" s="177"/>
    </row>
    <row r="956" spans="1:10" ht="31.5" x14ac:dyDescent="0.25">
      <c r="A956" s="25" t="s">
        <v>146</v>
      </c>
      <c r="B956" s="16">
        <v>910</v>
      </c>
      <c r="C956" s="20" t="s">
        <v>133</v>
      </c>
      <c r="D956" s="20" t="s">
        <v>155</v>
      </c>
      <c r="E956" s="40" t="s">
        <v>711</v>
      </c>
      <c r="F956" s="20" t="s">
        <v>147</v>
      </c>
      <c r="G956" s="26">
        <f>G957</f>
        <v>0.5</v>
      </c>
      <c r="H956" s="177"/>
    </row>
    <row r="957" spans="1:10" ht="47.25" x14ac:dyDescent="0.25">
      <c r="A957" s="25" t="s">
        <v>148</v>
      </c>
      <c r="B957" s="16">
        <v>910</v>
      </c>
      <c r="C957" s="20" t="s">
        <v>133</v>
      </c>
      <c r="D957" s="20" t="s">
        <v>155</v>
      </c>
      <c r="E957" s="40" t="s">
        <v>711</v>
      </c>
      <c r="F957" s="20" t="s">
        <v>149</v>
      </c>
      <c r="G957" s="26">
        <v>0.5</v>
      </c>
      <c r="H957" s="177"/>
    </row>
    <row r="958" spans="1:10" ht="15.75" x14ac:dyDescent="0.25">
      <c r="A958" s="31" t="s">
        <v>136</v>
      </c>
      <c r="B958" s="16">
        <v>910</v>
      </c>
      <c r="C958" s="20" t="s">
        <v>133</v>
      </c>
      <c r="D958" s="20" t="s">
        <v>155</v>
      </c>
      <c r="E958" s="20" t="s">
        <v>137</v>
      </c>
      <c r="F958" s="20"/>
      <c r="G958" s="26">
        <f>G959</f>
        <v>32</v>
      </c>
      <c r="H958" s="177"/>
    </row>
    <row r="959" spans="1:10" ht="31.5" x14ac:dyDescent="0.25">
      <c r="A959" s="31" t="s">
        <v>200</v>
      </c>
      <c r="B959" s="16">
        <v>910</v>
      </c>
      <c r="C959" s="20" t="s">
        <v>133</v>
      </c>
      <c r="D959" s="20" t="s">
        <v>155</v>
      </c>
      <c r="E959" s="20" t="s">
        <v>201</v>
      </c>
      <c r="F959" s="20"/>
      <c r="G959" s="26">
        <f>G960</f>
        <v>32</v>
      </c>
      <c r="H959" s="177"/>
    </row>
    <row r="960" spans="1:10" ht="63" x14ac:dyDescent="0.25">
      <c r="A960" s="31" t="s">
        <v>710</v>
      </c>
      <c r="B960" s="16">
        <v>910</v>
      </c>
      <c r="C960" s="20" t="s">
        <v>133</v>
      </c>
      <c r="D960" s="20" t="s">
        <v>155</v>
      </c>
      <c r="E960" s="20" t="s">
        <v>712</v>
      </c>
      <c r="F960" s="20"/>
      <c r="G960" s="26">
        <f>G961</f>
        <v>32</v>
      </c>
      <c r="H960" s="177"/>
    </row>
    <row r="961" spans="1:12" ht="31.5" x14ac:dyDescent="0.25">
      <c r="A961" s="25" t="s">
        <v>146</v>
      </c>
      <c r="B961" s="16">
        <v>910</v>
      </c>
      <c r="C961" s="20" t="s">
        <v>133</v>
      </c>
      <c r="D961" s="20" t="s">
        <v>155</v>
      </c>
      <c r="E961" s="20" t="s">
        <v>712</v>
      </c>
      <c r="F961" s="20" t="s">
        <v>147</v>
      </c>
      <c r="G961" s="26">
        <f>G962</f>
        <v>32</v>
      </c>
      <c r="H961" s="177"/>
    </row>
    <row r="962" spans="1:12" ht="47.25" x14ac:dyDescent="0.25">
      <c r="A962" s="25" t="s">
        <v>148</v>
      </c>
      <c r="B962" s="16">
        <v>910</v>
      </c>
      <c r="C962" s="20" t="s">
        <v>133</v>
      </c>
      <c r="D962" s="20" t="s">
        <v>155</v>
      </c>
      <c r="E962" s="20" t="s">
        <v>712</v>
      </c>
      <c r="F962" s="20" t="s">
        <v>149</v>
      </c>
      <c r="G962" s="26">
        <v>32</v>
      </c>
      <c r="H962" s="111"/>
    </row>
    <row r="963" spans="1:12" ht="31.5" x14ac:dyDescent="0.25">
      <c r="A963" s="23" t="s">
        <v>596</v>
      </c>
      <c r="B963" s="19">
        <v>913</v>
      </c>
      <c r="C963" s="24"/>
      <c r="D963" s="24"/>
      <c r="E963" s="24"/>
      <c r="F963" s="24"/>
      <c r="G963" s="21">
        <f>G964</f>
        <v>6309.8</v>
      </c>
      <c r="H963" s="177"/>
    </row>
    <row r="964" spans="1:12" ht="15.75" x14ac:dyDescent="0.25">
      <c r="A964" s="23" t="s">
        <v>597</v>
      </c>
      <c r="B964" s="19">
        <v>913</v>
      </c>
      <c r="C964" s="24" t="s">
        <v>253</v>
      </c>
      <c r="D964" s="20"/>
      <c r="E964" s="20"/>
      <c r="F964" s="20"/>
      <c r="G964" s="26">
        <f>G965</f>
        <v>6309.8</v>
      </c>
      <c r="H964" s="177"/>
    </row>
    <row r="965" spans="1:12" ht="15.75" x14ac:dyDescent="0.25">
      <c r="A965" s="23" t="s">
        <v>598</v>
      </c>
      <c r="B965" s="19">
        <v>913</v>
      </c>
      <c r="C965" s="24" t="s">
        <v>253</v>
      </c>
      <c r="D965" s="24" t="s">
        <v>228</v>
      </c>
      <c r="E965" s="24"/>
      <c r="F965" s="24"/>
      <c r="G965" s="26">
        <f>G966</f>
        <v>6309.8</v>
      </c>
      <c r="H965" s="177"/>
    </row>
    <row r="966" spans="1:12" ht="15.75" x14ac:dyDescent="0.25">
      <c r="A966" s="25" t="s">
        <v>136</v>
      </c>
      <c r="B966" s="16">
        <v>913</v>
      </c>
      <c r="C966" s="20" t="s">
        <v>253</v>
      </c>
      <c r="D966" s="20" t="s">
        <v>228</v>
      </c>
      <c r="E966" s="20" t="s">
        <v>137</v>
      </c>
      <c r="F966" s="20"/>
      <c r="G966" s="26">
        <f>G967</f>
        <v>6309.8</v>
      </c>
      <c r="H966" s="177"/>
    </row>
    <row r="967" spans="1:12" ht="31.5" x14ac:dyDescent="0.25">
      <c r="A967" s="25" t="s">
        <v>599</v>
      </c>
      <c r="B967" s="16">
        <v>913</v>
      </c>
      <c r="C967" s="20" t="s">
        <v>253</v>
      </c>
      <c r="D967" s="20" t="s">
        <v>228</v>
      </c>
      <c r="E967" s="20" t="s">
        <v>600</v>
      </c>
      <c r="F967" s="20"/>
      <c r="G967" s="26">
        <f>G968</f>
        <v>6309.8</v>
      </c>
      <c r="H967" s="177"/>
    </row>
    <row r="968" spans="1:12" ht="31.5" x14ac:dyDescent="0.25">
      <c r="A968" s="25" t="s">
        <v>325</v>
      </c>
      <c r="B968" s="16">
        <v>913</v>
      </c>
      <c r="C968" s="20" t="s">
        <v>253</v>
      </c>
      <c r="D968" s="20" t="s">
        <v>228</v>
      </c>
      <c r="E968" s="20" t="s">
        <v>601</v>
      </c>
      <c r="F968" s="20"/>
      <c r="G968" s="26">
        <f>G969+G971+G973</f>
        <v>6309.8</v>
      </c>
      <c r="H968" s="177"/>
    </row>
    <row r="969" spans="1:12" ht="94.5" x14ac:dyDescent="0.25">
      <c r="A969" s="25" t="s">
        <v>142</v>
      </c>
      <c r="B969" s="16">
        <v>913</v>
      </c>
      <c r="C969" s="20" t="s">
        <v>253</v>
      </c>
      <c r="D969" s="20" t="s">
        <v>228</v>
      </c>
      <c r="E969" s="20" t="s">
        <v>601</v>
      </c>
      <c r="F969" s="20" t="s">
        <v>143</v>
      </c>
      <c r="G969" s="26">
        <f>G970</f>
        <v>5371.7</v>
      </c>
      <c r="H969" s="177"/>
    </row>
    <row r="970" spans="1:12" ht="31.5" x14ac:dyDescent="0.25">
      <c r="A970" s="25" t="s">
        <v>223</v>
      </c>
      <c r="B970" s="16">
        <v>913</v>
      </c>
      <c r="C970" s="20" t="s">
        <v>253</v>
      </c>
      <c r="D970" s="20" t="s">
        <v>228</v>
      </c>
      <c r="E970" s="20" t="s">
        <v>601</v>
      </c>
      <c r="F970" s="20" t="s">
        <v>224</v>
      </c>
      <c r="G970" s="27">
        <v>5371.7</v>
      </c>
      <c r="H970" s="177"/>
    </row>
    <row r="971" spans="1:12" ht="31.5" x14ac:dyDescent="0.25">
      <c r="A971" s="25" t="s">
        <v>146</v>
      </c>
      <c r="B971" s="16">
        <v>913</v>
      </c>
      <c r="C971" s="20" t="s">
        <v>253</v>
      </c>
      <c r="D971" s="20" t="s">
        <v>228</v>
      </c>
      <c r="E971" s="20" t="s">
        <v>601</v>
      </c>
      <c r="F971" s="20" t="s">
        <v>147</v>
      </c>
      <c r="G971" s="26">
        <f>G972</f>
        <v>928.1</v>
      </c>
      <c r="H971" s="177"/>
    </row>
    <row r="972" spans="1:12" ht="47.25" x14ac:dyDescent="0.25">
      <c r="A972" s="25" t="s">
        <v>148</v>
      </c>
      <c r="B972" s="16">
        <v>913</v>
      </c>
      <c r="C972" s="20" t="s">
        <v>253</v>
      </c>
      <c r="D972" s="20" t="s">
        <v>228</v>
      </c>
      <c r="E972" s="20" t="s">
        <v>601</v>
      </c>
      <c r="F972" s="20" t="s">
        <v>149</v>
      </c>
      <c r="G972" s="27">
        <f>898.3+28.1+1.7</f>
        <v>928.1</v>
      </c>
      <c r="H972" s="106"/>
      <c r="I972" s="125"/>
    </row>
    <row r="973" spans="1:12" ht="15.75" x14ac:dyDescent="0.25">
      <c r="A973" s="25" t="s">
        <v>150</v>
      </c>
      <c r="B973" s="16">
        <v>913</v>
      </c>
      <c r="C973" s="20" t="s">
        <v>253</v>
      </c>
      <c r="D973" s="20" t="s">
        <v>228</v>
      </c>
      <c r="E973" s="20" t="s">
        <v>601</v>
      </c>
      <c r="F973" s="20" t="s">
        <v>160</v>
      </c>
      <c r="G973" s="26">
        <f>G974</f>
        <v>10</v>
      </c>
      <c r="H973" s="177"/>
    </row>
    <row r="974" spans="1:12" ht="15.75" x14ac:dyDescent="0.25">
      <c r="A974" s="25" t="s">
        <v>583</v>
      </c>
      <c r="B974" s="16">
        <v>913</v>
      </c>
      <c r="C974" s="20" t="s">
        <v>253</v>
      </c>
      <c r="D974" s="20" t="s">
        <v>228</v>
      </c>
      <c r="E974" s="20" t="s">
        <v>601</v>
      </c>
      <c r="F974" s="20" t="s">
        <v>153</v>
      </c>
      <c r="G974" s="26">
        <v>10</v>
      </c>
      <c r="H974" s="177"/>
    </row>
    <row r="975" spans="1:12" ht="18.75" x14ac:dyDescent="0.3">
      <c r="A975" s="48" t="s">
        <v>602</v>
      </c>
      <c r="B975" s="48"/>
      <c r="C975" s="24"/>
      <c r="D975" s="24"/>
      <c r="E975" s="24"/>
      <c r="F975" s="24"/>
      <c r="G975" s="49">
        <f>G963+G925+G748+G673+G498+G459+G220+G27+G10</f>
        <v>665442.18999999994</v>
      </c>
      <c r="H975" s="177"/>
      <c r="L975" s="116"/>
    </row>
    <row r="976" spans="1:12" x14ac:dyDescent="0.25">
      <c r="A976" s="50"/>
      <c r="B976" s="50"/>
      <c r="C976" s="50"/>
      <c r="D976" s="50"/>
      <c r="E976" s="50"/>
      <c r="F976" s="50"/>
      <c r="G976" s="50"/>
      <c r="I976" s="114"/>
    </row>
    <row r="977" spans="1:12" ht="18.75" x14ac:dyDescent="0.3">
      <c r="A977" s="50"/>
      <c r="B977" s="50"/>
      <c r="C977" s="51"/>
      <c r="D977" s="51"/>
      <c r="E977" s="51"/>
      <c r="F977" s="102" t="s">
        <v>603</v>
      </c>
      <c r="G977" s="52">
        <f>G975-G978</f>
        <v>460911.08999999991</v>
      </c>
    </row>
    <row r="978" spans="1:12" ht="18.75" x14ac:dyDescent="0.3">
      <c r="A978" s="50"/>
      <c r="B978" s="50"/>
      <c r="C978" s="51"/>
      <c r="D978" s="51"/>
      <c r="E978" s="51"/>
      <c r="F978" s="102" t="s">
        <v>604</v>
      </c>
      <c r="G978" s="52">
        <f>G98+G180+G186+G208+G214+G261+G273+G338+G444+G480+G494+G527+G581+G640+G694+G787+G827+G879+G623+G959</f>
        <v>204531.10000000003</v>
      </c>
      <c r="I978" s="118"/>
    </row>
    <row r="979" spans="1:12" ht="15.75" x14ac:dyDescent="0.25">
      <c r="A979" s="50"/>
      <c r="B979" s="50"/>
      <c r="C979" s="51"/>
      <c r="D979" s="53"/>
      <c r="E979" s="53"/>
      <c r="F979" s="53"/>
      <c r="G979" s="103"/>
    </row>
    <row r="980" spans="1:12" ht="15.75" x14ac:dyDescent="0.25">
      <c r="A980" s="50"/>
      <c r="B980" s="50"/>
      <c r="C980" s="51"/>
      <c r="D980" s="53"/>
      <c r="E980" s="53"/>
      <c r="F980" s="53"/>
      <c r="G980" s="51"/>
    </row>
    <row r="981" spans="1:12" ht="15.75" x14ac:dyDescent="0.25">
      <c r="A981" s="50"/>
      <c r="B981" s="50"/>
      <c r="C981" s="54">
        <v>1</v>
      </c>
      <c r="D981" s="53"/>
      <c r="E981" s="53"/>
      <c r="F981" s="53"/>
      <c r="G981" s="55">
        <f>G11+G28+G460+G499+G926+G749+G228</f>
        <v>118780.1</v>
      </c>
      <c r="H981" s="105"/>
      <c r="I981" s="119" t="e">
        <f>'пр.2 Рд,пр 20'!#REF!</f>
        <v>#REF!</v>
      </c>
      <c r="L981" s="105"/>
    </row>
    <row r="982" spans="1:12" ht="15.75" x14ac:dyDescent="0.25">
      <c r="A982" s="50"/>
      <c r="B982" s="50"/>
      <c r="C982" s="54">
        <v>2</v>
      </c>
      <c r="D982" s="53"/>
      <c r="E982" s="53"/>
      <c r="F982" s="53"/>
      <c r="G982" s="55">
        <f>G147</f>
        <v>0</v>
      </c>
      <c r="H982" s="105"/>
      <c r="I982" s="119">
        <v>0</v>
      </c>
      <c r="L982" s="105"/>
    </row>
    <row r="983" spans="1:12" ht="15.75" x14ac:dyDescent="0.25">
      <c r="A983" s="50"/>
      <c r="B983" s="50"/>
      <c r="C983" s="54">
        <v>3</v>
      </c>
      <c r="D983" s="53"/>
      <c r="E983" s="53"/>
      <c r="F983" s="53"/>
      <c r="G983" s="55">
        <f>G763+G159</f>
        <v>7209.4000000000005</v>
      </c>
      <c r="H983" s="105"/>
      <c r="I983" s="119" t="e">
        <f>'пр.2 Рд,пр 20'!#REF!</f>
        <v>#REF!</v>
      </c>
      <c r="L983" s="105"/>
    </row>
    <row r="984" spans="1:12" ht="15.75" x14ac:dyDescent="0.25">
      <c r="A984" s="50"/>
      <c r="B984" s="50"/>
      <c r="C984" s="54">
        <v>4</v>
      </c>
      <c r="D984" s="53"/>
      <c r="E984" s="53"/>
      <c r="F984" s="53"/>
      <c r="G984" s="55">
        <f>G177+G770</f>
        <v>20153.2</v>
      </c>
      <c r="H984" s="105"/>
      <c r="I984" s="119" t="e">
        <f>'пр.2 Рд,пр 20'!#REF!</f>
        <v>#REF!</v>
      </c>
      <c r="L984" s="105"/>
    </row>
    <row r="985" spans="1:12" ht="15.75" x14ac:dyDescent="0.25">
      <c r="A985" s="50"/>
      <c r="B985" s="50"/>
      <c r="C985" s="54">
        <v>5</v>
      </c>
      <c r="D985" s="53"/>
      <c r="E985" s="53"/>
      <c r="F985" s="53"/>
      <c r="G985" s="55">
        <f>G784+G477</f>
        <v>109165.59000000001</v>
      </c>
      <c r="H985" s="105"/>
      <c r="I985" s="119" t="e">
        <f>'пр.2 Рд,пр 20'!#REF!</f>
        <v>#REF!</v>
      </c>
      <c r="L985" s="105"/>
    </row>
    <row r="986" spans="1:12" ht="15.75" x14ac:dyDescent="0.25">
      <c r="A986" s="50"/>
      <c r="B986" s="50"/>
      <c r="C986" s="54">
        <v>7</v>
      </c>
      <c r="D986" s="53"/>
      <c r="E986" s="53"/>
      <c r="F986" s="53"/>
      <c r="G986" s="55">
        <f>G674+G506+G235</f>
        <v>290484.60000000003</v>
      </c>
      <c r="H986" s="105"/>
      <c r="I986" s="119" t="e">
        <f>'пр.2 Рд,пр 20'!#REF!</f>
        <v>#REF!</v>
      </c>
      <c r="L986" s="105"/>
    </row>
    <row r="987" spans="1:12" ht="15.75" x14ac:dyDescent="0.25">
      <c r="A987" s="50"/>
      <c r="B987" s="50"/>
      <c r="C987" s="54">
        <v>8</v>
      </c>
      <c r="D987" s="53"/>
      <c r="E987" s="53"/>
      <c r="F987" s="53"/>
      <c r="G987" s="55">
        <f>G277</f>
        <v>61699.8</v>
      </c>
      <c r="H987" s="105"/>
      <c r="I987" s="119" t="e">
        <f>'пр.2 Рд,пр 20'!#REF!</f>
        <v>#REF!</v>
      </c>
      <c r="L987" s="105"/>
    </row>
    <row r="988" spans="1:12" ht="15.75" x14ac:dyDescent="0.25">
      <c r="A988" s="50"/>
      <c r="B988" s="50"/>
      <c r="C988" s="54">
        <v>10</v>
      </c>
      <c r="D988" s="53"/>
      <c r="E988" s="53"/>
      <c r="F988" s="53"/>
      <c r="G988" s="55">
        <f>G918+G492+G388+G195</f>
        <v>16937</v>
      </c>
      <c r="H988" s="105"/>
      <c r="I988" s="119" t="e">
        <f>'пр.2 Рд,пр 20'!#REF!</f>
        <v>#REF!</v>
      </c>
      <c r="L988" s="105"/>
    </row>
    <row r="989" spans="1:12" ht="15.75" x14ac:dyDescent="0.25">
      <c r="A989" s="50"/>
      <c r="B989" s="50"/>
      <c r="C989" s="54">
        <v>11</v>
      </c>
      <c r="D989" s="53"/>
      <c r="E989" s="53"/>
      <c r="F989" s="53"/>
      <c r="G989" s="55">
        <f>G704</f>
        <v>34702.699999999997</v>
      </c>
      <c r="H989" s="105"/>
      <c r="I989" s="119" t="e">
        <f>'пр.2 Рд,пр 20'!#REF!</f>
        <v>#REF!</v>
      </c>
      <c r="L989" s="105"/>
    </row>
    <row r="990" spans="1:12" ht="15.75" x14ac:dyDescent="0.25">
      <c r="A990" s="50"/>
      <c r="B990" s="50"/>
      <c r="C990" s="54">
        <v>12</v>
      </c>
      <c r="D990" s="53"/>
      <c r="E990" s="53"/>
      <c r="F990" s="53"/>
      <c r="G990" s="55">
        <f>G964</f>
        <v>6309.8</v>
      </c>
      <c r="H990" s="105"/>
      <c r="I990" s="119" t="e">
        <f>'пр.2 Рд,пр 20'!#REF!</f>
        <v>#REF!</v>
      </c>
      <c r="L990" s="105"/>
    </row>
    <row r="991" spans="1:12" ht="15.75" x14ac:dyDescent="0.25">
      <c r="A991" s="50"/>
      <c r="B991" s="50"/>
      <c r="C991" s="55"/>
      <c r="D991" s="53"/>
      <c r="E991" s="53"/>
      <c r="F991" s="53"/>
      <c r="G991" s="104">
        <f>SUM(G981:G990)</f>
        <v>665442.19000000018</v>
      </c>
      <c r="H991" s="105"/>
      <c r="I991" s="119" t="e">
        <f>'пр.2 Рд,пр 20'!#REF!</f>
        <v>#REF!</v>
      </c>
      <c r="L991" s="105"/>
    </row>
    <row r="992" spans="1:12" x14ac:dyDescent="0.25">
      <c r="G992" s="105"/>
      <c r="H992" s="105"/>
      <c r="I992" s="119"/>
    </row>
    <row r="993" spans="4:9" x14ac:dyDescent="0.25">
      <c r="D993" s="1" t="s">
        <v>605</v>
      </c>
      <c r="E993" s="1">
        <v>50</v>
      </c>
      <c r="G993" s="105">
        <f>G778</f>
        <v>15124.1</v>
      </c>
      <c r="H993" s="105"/>
      <c r="I993" s="119"/>
    </row>
    <row r="994" spans="4:9" x14ac:dyDescent="0.25">
      <c r="E994" s="1">
        <v>51</v>
      </c>
      <c r="G994" s="105">
        <f>G390</f>
        <v>3693</v>
      </c>
      <c r="H994" s="105"/>
      <c r="I994" s="119"/>
    </row>
    <row r="995" spans="4:9" x14ac:dyDescent="0.25">
      <c r="E995" s="1">
        <v>52</v>
      </c>
      <c r="G995" s="105">
        <f>G508+G547+G634+G613</f>
        <v>89244.700000000012</v>
      </c>
      <c r="H995" s="105"/>
      <c r="I995" s="119"/>
    </row>
    <row r="996" spans="4:9" x14ac:dyDescent="0.25">
      <c r="E996" s="1">
        <v>53</v>
      </c>
      <c r="G996" s="105">
        <f>G57</f>
        <v>250</v>
      </c>
      <c r="H996" s="105"/>
      <c r="I996" s="119"/>
    </row>
    <row r="997" spans="4:9" x14ac:dyDescent="0.25">
      <c r="E997" s="1">
        <v>54</v>
      </c>
      <c r="G997" s="105">
        <f>G61+G954</f>
        <v>654</v>
      </c>
      <c r="H997" s="105"/>
      <c r="I997" s="119"/>
    </row>
    <row r="998" spans="4:9" x14ac:dyDescent="0.25">
      <c r="E998" s="1">
        <v>55</v>
      </c>
      <c r="G998" s="105">
        <f>G203</f>
        <v>10</v>
      </c>
      <c r="H998" s="105"/>
      <c r="I998" s="119"/>
    </row>
    <row r="999" spans="4:9" x14ac:dyDescent="0.25">
      <c r="E999" s="1">
        <v>56</v>
      </c>
      <c r="G999" s="105">
        <f>G73</f>
        <v>80</v>
      </c>
      <c r="H999" s="105"/>
      <c r="I999" s="119"/>
    </row>
    <row r="1000" spans="4:9" x14ac:dyDescent="0.25">
      <c r="E1000" s="1">
        <v>57</v>
      </c>
      <c r="G1000" s="105">
        <f>G726+G706+G676</f>
        <v>36478.9</v>
      </c>
      <c r="H1000" s="105"/>
      <c r="I1000" s="119"/>
    </row>
    <row r="1001" spans="4:9" x14ac:dyDescent="0.25">
      <c r="E1001" s="1">
        <v>58</v>
      </c>
      <c r="G1001" s="105">
        <f>G279+G237</f>
        <v>58528.700000000004</v>
      </c>
      <c r="H1001" s="105"/>
      <c r="I1001" s="119"/>
    </row>
    <row r="1002" spans="4:9" x14ac:dyDescent="0.25">
      <c r="E1002" s="1">
        <v>59</v>
      </c>
      <c r="G1002" s="105">
        <f>G333</f>
        <v>200</v>
      </c>
      <c r="H1002" s="105"/>
      <c r="I1002" s="119"/>
    </row>
    <row r="1003" spans="4:9" x14ac:dyDescent="0.25">
      <c r="E1003" s="1">
        <v>60</v>
      </c>
      <c r="G1003" s="105">
        <f>G848</f>
        <v>12375.499999999998</v>
      </c>
      <c r="H1003" s="105"/>
      <c r="I1003" s="119"/>
    </row>
    <row r="1004" spans="4:9" x14ac:dyDescent="0.25">
      <c r="E1004" s="1">
        <v>61</v>
      </c>
      <c r="G1004" s="105">
        <f>G86</f>
        <v>120</v>
      </c>
      <c r="H1004" s="105"/>
      <c r="I1004" s="119"/>
    </row>
    <row r="1005" spans="4:9" x14ac:dyDescent="0.25">
      <c r="E1005" s="1">
        <v>62</v>
      </c>
      <c r="G1005" s="105">
        <f>G801</f>
        <v>5567.9000000000005</v>
      </c>
      <c r="H1005" s="105"/>
      <c r="I1005" s="119"/>
    </row>
    <row r="1006" spans="4:9" x14ac:dyDescent="0.25">
      <c r="E1006" s="1">
        <v>63</v>
      </c>
      <c r="G1006" s="105">
        <f>G359+G646</f>
        <v>145</v>
      </c>
      <c r="H1006" s="105"/>
      <c r="I1006" s="119"/>
    </row>
    <row r="1007" spans="4:9" x14ac:dyDescent="0.25">
      <c r="E1007" s="1">
        <v>64</v>
      </c>
      <c r="G1007" s="105">
        <f>G90+G369</f>
        <v>34</v>
      </c>
      <c r="H1007" s="105"/>
      <c r="I1007" s="119"/>
    </row>
    <row r="1008" spans="4:9" x14ac:dyDescent="0.25">
      <c r="E1008" s="1">
        <v>65</v>
      </c>
      <c r="G1008" s="105">
        <f>G874</f>
        <v>600</v>
      </c>
      <c r="H1008" s="105"/>
      <c r="I1008" s="119"/>
    </row>
    <row r="1009" spans="7:9" x14ac:dyDescent="0.25">
      <c r="G1009" s="105">
        <f>SUM(G993:G1008)</f>
        <v>223105.80000000002</v>
      </c>
      <c r="H1009" s="105"/>
      <c r="I1009" s="119"/>
    </row>
    <row r="1010" spans="7:9" x14ac:dyDescent="0.25">
      <c r="G1010" s="105"/>
      <c r="H1010" s="105"/>
      <c r="I1010" s="119"/>
    </row>
  </sheetData>
  <mergeCells count="5">
    <mergeCell ref="A4:G4"/>
    <mergeCell ref="A5:G5"/>
    <mergeCell ref="J381:K387"/>
    <mergeCell ref="J666:K672"/>
    <mergeCell ref="J741:K747"/>
  </mergeCells>
  <pageMargins left="0.39370078740157483" right="0.39370078740157483" top="1.1811023622047245" bottom="0.39370078740157483" header="0.31496062992125984" footer="0.31496062992125984"/>
  <pageSetup paperSize="9" scale="65" orientation="portrait" r:id="rId1"/>
  <rowBreaks count="1" manualBreakCount="1">
    <brk id="975" max="6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58"/>
  <sheetViews>
    <sheetView view="pageBreakPreview" topLeftCell="A1081" zoomScale="89" zoomScaleNormal="100" zoomScaleSheetLayoutView="89" workbookViewId="0">
      <selection activeCell="M1084" sqref="M1084"/>
    </sheetView>
  </sheetViews>
  <sheetFormatPr defaultRowHeight="15" x14ac:dyDescent="0.25"/>
  <cols>
    <col min="1" max="1" width="55" style="362" customWidth="1"/>
    <col min="2" max="2" width="6.42578125" style="362" customWidth="1"/>
    <col min="3" max="3" width="6" style="362" customWidth="1"/>
    <col min="4" max="4" width="5.140625" style="362" customWidth="1"/>
    <col min="5" max="5" width="15.85546875" style="362" customWidth="1"/>
    <col min="6" max="6" width="7" style="362" customWidth="1"/>
    <col min="7" max="7" width="14.42578125" style="362" customWidth="1"/>
    <col min="8" max="8" width="15" style="362" customWidth="1"/>
    <col min="9" max="9" width="13.28515625" hidden="1" customWidth="1"/>
    <col min="10" max="11" width="0" hidden="1" customWidth="1"/>
    <col min="13" max="13" width="13.42578125" customWidth="1"/>
  </cols>
  <sheetData>
    <row r="1" spans="1:9" ht="18.75" customHeight="1" x14ac:dyDescent="0.25">
      <c r="A1" s="63"/>
      <c r="B1" s="63"/>
      <c r="C1" s="63"/>
      <c r="D1" s="63"/>
      <c r="G1" s="401" t="s">
        <v>1553</v>
      </c>
      <c r="H1" s="401"/>
      <c r="I1" s="222"/>
    </row>
    <row r="2" spans="1:9" ht="18.75" customHeight="1" x14ac:dyDescent="0.25">
      <c r="A2" s="63"/>
      <c r="B2" s="63"/>
      <c r="C2" s="63"/>
      <c r="D2" s="63"/>
      <c r="G2" s="401" t="s">
        <v>1552</v>
      </c>
      <c r="H2" s="401"/>
      <c r="I2" s="222"/>
    </row>
    <row r="3" spans="1:9" s="221" customFormat="1" ht="18.75" customHeight="1" x14ac:dyDescent="0.25">
      <c r="A3" s="63"/>
      <c r="B3" s="63"/>
      <c r="C3" s="63"/>
      <c r="D3" s="63"/>
      <c r="E3" s="362"/>
      <c r="F3" s="362"/>
      <c r="G3" s="401" t="s">
        <v>1551</v>
      </c>
      <c r="H3" s="401"/>
      <c r="I3" s="222"/>
    </row>
    <row r="4" spans="1:9" ht="15.75" x14ac:dyDescent="0.25">
      <c r="A4" s="416"/>
      <c r="B4" s="416"/>
      <c r="C4" s="416"/>
      <c r="D4" s="416"/>
      <c r="E4" s="416"/>
      <c r="F4" s="416"/>
      <c r="I4" s="222"/>
    </row>
    <row r="5" spans="1:9" ht="15.75" x14ac:dyDescent="0.25">
      <c r="A5" s="413" t="s">
        <v>1355</v>
      </c>
      <c r="B5" s="413"/>
      <c r="C5" s="413"/>
      <c r="D5" s="413"/>
      <c r="E5" s="413"/>
      <c r="F5" s="413"/>
      <c r="G5" s="413"/>
      <c r="H5" s="413"/>
      <c r="I5" s="222"/>
    </row>
    <row r="6" spans="1:9" ht="15.75" x14ac:dyDescent="0.25">
      <c r="A6" s="384"/>
      <c r="B6" s="384"/>
      <c r="C6" s="384"/>
      <c r="D6" s="384"/>
      <c r="E6" s="384"/>
      <c r="F6" s="384"/>
      <c r="I6" s="222"/>
    </row>
    <row r="7" spans="1:9" ht="15.75" x14ac:dyDescent="0.25">
      <c r="A7" s="13"/>
      <c r="B7" s="13"/>
      <c r="C7" s="13"/>
      <c r="D7" s="13"/>
      <c r="E7" s="13"/>
      <c r="F7" s="13"/>
      <c r="G7" s="195" t="s">
        <v>1</v>
      </c>
      <c r="H7" s="195"/>
      <c r="I7" s="222"/>
    </row>
    <row r="8" spans="1:9" ht="63" x14ac:dyDescent="0.25">
      <c r="A8" s="382" t="s">
        <v>125</v>
      </c>
      <c r="B8" s="382" t="s">
        <v>126</v>
      </c>
      <c r="C8" s="15" t="s">
        <v>127</v>
      </c>
      <c r="D8" s="15" t="s">
        <v>128</v>
      </c>
      <c r="E8" s="15" t="s">
        <v>129</v>
      </c>
      <c r="F8" s="15" t="s">
        <v>130</v>
      </c>
      <c r="G8" s="180" t="s">
        <v>1193</v>
      </c>
      <c r="H8" s="180" t="s">
        <v>1194</v>
      </c>
      <c r="I8" s="222"/>
    </row>
    <row r="9" spans="1:9" ht="31.5" x14ac:dyDescent="0.25">
      <c r="A9" s="367" t="s">
        <v>131</v>
      </c>
      <c r="B9" s="367">
        <v>901</v>
      </c>
      <c r="C9" s="368"/>
      <c r="D9" s="368"/>
      <c r="E9" s="368"/>
      <c r="F9" s="368"/>
      <c r="G9" s="369">
        <f>G10+G24</f>
        <v>20217</v>
      </c>
      <c r="H9" s="369">
        <f>H10+H24</f>
        <v>28071.599999999999</v>
      </c>
      <c r="I9" s="222"/>
    </row>
    <row r="10" spans="1:9" ht="15.75" x14ac:dyDescent="0.25">
      <c r="A10" s="370" t="s">
        <v>132</v>
      </c>
      <c r="B10" s="367">
        <v>901</v>
      </c>
      <c r="C10" s="371" t="s">
        <v>133</v>
      </c>
      <c r="D10" s="368"/>
      <c r="E10" s="368"/>
      <c r="F10" s="368"/>
      <c r="G10" s="369">
        <f t="shared" ref="G10:H12" si="0">G11</f>
        <v>12697.5</v>
      </c>
      <c r="H10" s="369">
        <f t="shared" si="0"/>
        <v>12697.5</v>
      </c>
      <c r="I10" s="222"/>
    </row>
    <row r="11" spans="1:9" ht="51" customHeight="1" x14ac:dyDescent="0.25">
      <c r="A11" s="370" t="s">
        <v>134</v>
      </c>
      <c r="B11" s="367">
        <v>901</v>
      </c>
      <c r="C11" s="371" t="s">
        <v>133</v>
      </c>
      <c r="D11" s="371" t="s">
        <v>135</v>
      </c>
      <c r="E11" s="371"/>
      <c r="F11" s="371"/>
      <c r="G11" s="369">
        <f t="shared" si="0"/>
        <v>12697.5</v>
      </c>
      <c r="H11" s="369">
        <f t="shared" si="0"/>
        <v>12697.5</v>
      </c>
      <c r="I11" s="222"/>
    </row>
    <row r="12" spans="1:9" ht="31.5" x14ac:dyDescent="0.25">
      <c r="A12" s="370" t="s">
        <v>988</v>
      </c>
      <c r="B12" s="367">
        <v>901</v>
      </c>
      <c r="C12" s="371" t="s">
        <v>133</v>
      </c>
      <c r="D12" s="371" t="s">
        <v>135</v>
      </c>
      <c r="E12" s="371" t="s">
        <v>902</v>
      </c>
      <c r="F12" s="371"/>
      <c r="G12" s="369">
        <f t="shared" si="0"/>
        <v>12697.5</v>
      </c>
      <c r="H12" s="369">
        <f t="shared" si="0"/>
        <v>12697.5</v>
      </c>
      <c r="I12" s="222"/>
    </row>
    <row r="13" spans="1:9" ht="15.75" x14ac:dyDescent="0.25">
      <c r="A13" s="370" t="s">
        <v>989</v>
      </c>
      <c r="B13" s="367">
        <v>901</v>
      </c>
      <c r="C13" s="371" t="s">
        <v>133</v>
      </c>
      <c r="D13" s="371" t="s">
        <v>135</v>
      </c>
      <c r="E13" s="371" t="s">
        <v>903</v>
      </c>
      <c r="F13" s="371"/>
      <c r="G13" s="369">
        <f>G14+G21</f>
        <v>12697.5</v>
      </c>
      <c r="H13" s="369">
        <f>H14+H21</f>
        <v>12697.5</v>
      </c>
      <c r="I13" s="222"/>
    </row>
    <row r="14" spans="1:9" ht="31.5" x14ac:dyDescent="0.25">
      <c r="A14" s="372" t="s">
        <v>965</v>
      </c>
      <c r="B14" s="366">
        <v>901</v>
      </c>
      <c r="C14" s="368" t="s">
        <v>133</v>
      </c>
      <c r="D14" s="368" t="s">
        <v>135</v>
      </c>
      <c r="E14" s="368" t="s">
        <v>904</v>
      </c>
      <c r="F14" s="368"/>
      <c r="G14" s="373">
        <f>G15+G17+G19</f>
        <v>12403.5</v>
      </c>
      <c r="H14" s="373">
        <f>H15+H17+H19</f>
        <v>12403.5</v>
      </c>
      <c r="I14" s="222"/>
    </row>
    <row r="15" spans="1:9" ht="78.75" x14ac:dyDescent="0.25">
      <c r="A15" s="372" t="s">
        <v>142</v>
      </c>
      <c r="B15" s="366">
        <v>901</v>
      </c>
      <c r="C15" s="368" t="s">
        <v>133</v>
      </c>
      <c r="D15" s="368" t="s">
        <v>135</v>
      </c>
      <c r="E15" s="368" t="s">
        <v>904</v>
      </c>
      <c r="F15" s="368" t="s">
        <v>143</v>
      </c>
      <c r="G15" s="373">
        <f>G16</f>
        <v>11575</v>
      </c>
      <c r="H15" s="373">
        <f>H16</f>
        <v>11575</v>
      </c>
      <c r="I15" s="222"/>
    </row>
    <row r="16" spans="1:9" ht="31.5" x14ac:dyDescent="0.25">
      <c r="A16" s="372" t="s">
        <v>144</v>
      </c>
      <c r="B16" s="366">
        <v>901</v>
      </c>
      <c r="C16" s="368" t="s">
        <v>133</v>
      </c>
      <c r="D16" s="368" t="s">
        <v>135</v>
      </c>
      <c r="E16" s="368" t="s">
        <v>904</v>
      </c>
      <c r="F16" s="368" t="s">
        <v>145</v>
      </c>
      <c r="G16" s="373">
        <f>11575</f>
        <v>11575</v>
      </c>
      <c r="H16" s="373">
        <f t="shared" ref="H16:H77" si="1">G16</f>
        <v>11575</v>
      </c>
      <c r="I16" s="222"/>
    </row>
    <row r="17" spans="1:9" ht="31.5" x14ac:dyDescent="0.25">
      <c r="A17" s="372" t="s">
        <v>146</v>
      </c>
      <c r="B17" s="366">
        <v>901</v>
      </c>
      <c r="C17" s="368" t="s">
        <v>133</v>
      </c>
      <c r="D17" s="368" t="s">
        <v>135</v>
      </c>
      <c r="E17" s="368" t="s">
        <v>904</v>
      </c>
      <c r="F17" s="368" t="s">
        <v>147</v>
      </c>
      <c r="G17" s="373">
        <f>G18</f>
        <v>800.5</v>
      </c>
      <c r="H17" s="373">
        <f>H18</f>
        <v>800.5</v>
      </c>
      <c r="I17" s="222"/>
    </row>
    <row r="18" spans="1:9" ht="31.5" x14ac:dyDescent="0.25">
      <c r="A18" s="372" t="s">
        <v>148</v>
      </c>
      <c r="B18" s="366">
        <v>901</v>
      </c>
      <c r="C18" s="368" t="s">
        <v>133</v>
      </c>
      <c r="D18" s="368" t="s">
        <v>135</v>
      </c>
      <c r="E18" s="368" t="s">
        <v>904</v>
      </c>
      <c r="F18" s="368" t="s">
        <v>149</v>
      </c>
      <c r="G18" s="373">
        <f>977+173.5-350</f>
        <v>800.5</v>
      </c>
      <c r="H18" s="373">
        <f t="shared" si="1"/>
        <v>800.5</v>
      </c>
      <c r="I18" s="222"/>
    </row>
    <row r="19" spans="1:9" ht="15.75" x14ac:dyDescent="0.25">
      <c r="A19" s="372" t="s">
        <v>150</v>
      </c>
      <c r="B19" s="366">
        <v>901</v>
      </c>
      <c r="C19" s="368" t="s">
        <v>133</v>
      </c>
      <c r="D19" s="368" t="s">
        <v>135</v>
      </c>
      <c r="E19" s="368" t="s">
        <v>904</v>
      </c>
      <c r="F19" s="368" t="s">
        <v>151</v>
      </c>
      <c r="G19" s="373">
        <f>G20</f>
        <v>28</v>
      </c>
      <c r="H19" s="373">
        <f>H20</f>
        <v>28</v>
      </c>
      <c r="I19" s="222"/>
    </row>
    <row r="20" spans="1:9" ht="15.75" x14ac:dyDescent="0.25">
      <c r="A20" s="372" t="s">
        <v>583</v>
      </c>
      <c r="B20" s="366">
        <v>901</v>
      </c>
      <c r="C20" s="368" t="s">
        <v>133</v>
      </c>
      <c r="D20" s="368" t="s">
        <v>135</v>
      </c>
      <c r="E20" s="368" t="s">
        <v>904</v>
      </c>
      <c r="F20" s="368" t="s">
        <v>153</v>
      </c>
      <c r="G20" s="373">
        <f>'Пр.4 ведом.20'!G20</f>
        <v>28</v>
      </c>
      <c r="H20" s="373">
        <f t="shared" si="1"/>
        <v>28</v>
      </c>
      <c r="I20" s="222"/>
    </row>
    <row r="21" spans="1:9" ht="47.25" x14ac:dyDescent="0.25">
      <c r="A21" s="372" t="s">
        <v>883</v>
      </c>
      <c r="B21" s="366">
        <v>901</v>
      </c>
      <c r="C21" s="368" t="s">
        <v>133</v>
      </c>
      <c r="D21" s="368" t="s">
        <v>135</v>
      </c>
      <c r="E21" s="368" t="s">
        <v>906</v>
      </c>
      <c r="F21" s="368"/>
      <c r="G21" s="373">
        <f>G22</f>
        <v>294</v>
      </c>
      <c r="H21" s="373">
        <f>H22</f>
        <v>294</v>
      </c>
      <c r="I21" s="222"/>
    </row>
    <row r="22" spans="1:9" ht="78.75" x14ac:dyDescent="0.25">
      <c r="A22" s="372" t="s">
        <v>142</v>
      </c>
      <c r="B22" s="366">
        <v>901</v>
      </c>
      <c r="C22" s="368" t="s">
        <v>133</v>
      </c>
      <c r="D22" s="368" t="s">
        <v>135</v>
      </c>
      <c r="E22" s="368" t="s">
        <v>906</v>
      </c>
      <c r="F22" s="368" t="s">
        <v>143</v>
      </c>
      <c r="G22" s="373">
        <f>G23</f>
        <v>294</v>
      </c>
      <c r="H22" s="373">
        <f>H23</f>
        <v>294</v>
      </c>
      <c r="I22" s="222"/>
    </row>
    <row r="23" spans="1:9" ht="31.5" x14ac:dyDescent="0.25">
      <c r="A23" s="372" t="s">
        <v>144</v>
      </c>
      <c r="B23" s="366">
        <v>901</v>
      </c>
      <c r="C23" s="368" t="s">
        <v>133</v>
      </c>
      <c r="D23" s="368" t="s">
        <v>135</v>
      </c>
      <c r="E23" s="368" t="s">
        <v>906</v>
      </c>
      <c r="F23" s="368" t="s">
        <v>145</v>
      </c>
      <c r="G23" s="373">
        <f>294</f>
        <v>294</v>
      </c>
      <c r="H23" s="373">
        <f t="shared" si="1"/>
        <v>294</v>
      </c>
      <c r="I23" s="222"/>
    </row>
    <row r="24" spans="1:9" s="221" customFormat="1" ht="15.75" x14ac:dyDescent="0.25">
      <c r="A24" s="370" t="s">
        <v>154</v>
      </c>
      <c r="B24" s="367">
        <v>901</v>
      </c>
      <c r="C24" s="371" t="s">
        <v>133</v>
      </c>
      <c r="D24" s="371" t="s">
        <v>155</v>
      </c>
      <c r="E24" s="371"/>
      <c r="F24" s="371"/>
      <c r="G24" s="369">
        <f t="shared" ref="G24:H28" si="2">G25</f>
        <v>7519.5</v>
      </c>
      <c r="H24" s="369">
        <f t="shared" si="2"/>
        <v>15374.1</v>
      </c>
      <c r="I24" s="222"/>
    </row>
    <row r="25" spans="1:9" s="221" customFormat="1" ht="15.75" x14ac:dyDescent="0.25">
      <c r="A25" s="370" t="s">
        <v>156</v>
      </c>
      <c r="B25" s="367">
        <v>901</v>
      </c>
      <c r="C25" s="371" t="s">
        <v>133</v>
      </c>
      <c r="D25" s="371" t="s">
        <v>155</v>
      </c>
      <c r="E25" s="371" t="s">
        <v>910</v>
      </c>
      <c r="F25" s="371"/>
      <c r="G25" s="369">
        <f t="shared" si="2"/>
        <v>7519.5</v>
      </c>
      <c r="H25" s="369">
        <f t="shared" si="2"/>
        <v>15374.1</v>
      </c>
      <c r="I25" s="222"/>
    </row>
    <row r="26" spans="1:9" s="221" customFormat="1" ht="31.5" x14ac:dyDescent="0.25">
      <c r="A26" s="370" t="s">
        <v>914</v>
      </c>
      <c r="B26" s="367">
        <v>901</v>
      </c>
      <c r="C26" s="371" t="s">
        <v>133</v>
      </c>
      <c r="D26" s="371" t="s">
        <v>155</v>
      </c>
      <c r="E26" s="371" t="s">
        <v>909</v>
      </c>
      <c r="F26" s="371"/>
      <c r="G26" s="369">
        <f t="shared" si="2"/>
        <v>7519.5</v>
      </c>
      <c r="H26" s="369">
        <f t="shared" si="2"/>
        <v>15374.1</v>
      </c>
      <c r="I26" s="222"/>
    </row>
    <row r="27" spans="1:9" s="221" customFormat="1" ht="15.75" x14ac:dyDescent="0.25">
      <c r="A27" s="372" t="s">
        <v>1361</v>
      </c>
      <c r="B27" s="366">
        <v>901</v>
      </c>
      <c r="C27" s="368" t="s">
        <v>133</v>
      </c>
      <c r="D27" s="368" t="s">
        <v>155</v>
      </c>
      <c r="E27" s="368" t="s">
        <v>1362</v>
      </c>
      <c r="F27" s="368"/>
      <c r="G27" s="373">
        <f t="shared" si="2"/>
        <v>7519.5</v>
      </c>
      <c r="H27" s="373">
        <f t="shared" si="2"/>
        <v>15374.1</v>
      </c>
      <c r="I27" s="222"/>
    </row>
    <row r="28" spans="1:9" s="221" customFormat="1" ht="15.75" x14ac:dyDescent="0.25">
      <c r="A28" s="372" t="s">
        <v>150</v>
      </c>
      <c r="B28" s="366">
        <v>901</v>
      </c>
      <c r="C28" s="368" t="s">
        <v>133</v>
      </c>
      <c r="D28" s="368" t="s">
        <v>155</v>
      </c>
      <c r="E28" s="368" t="s">
        <v>1362</v>
      </c>
      <c r="F28" s="368" t="s">
        <v>160</v>
      </c>
      <c r="G28" s="373">
        <f>G29</f>
        <v>7519.5</v>
      </c>
      <c r="H28" s="373">
        <f t="shared" si="2"/>
        <v>15374.1</v>
      </c>
      <c r="I28" s="222"/>
    </row>
    <row r="29" spans="1:9" s="221" customFormat="1" ht="15.75" x14ac:dyDescent="0.25">
      <c r="A29" s="372" t="s">
        <v>1361</v>
      </c>
      <c r="B29" s="366">
        <v>901</v>
      </c>
      <c r="C29" s="368" t="s">
        <v>133</v>
      </c>
      <c r="D29" s="368" t="s">
        <v>155</v>
      </c>
      <c r="E29" s="368" t="s">
        <v>1362</v>
      </c>
      <c r="F29" s="368" t="s">
        <v>1363</v>
      </c>
      <c r="G29" s="373">
        <f>7519.5</f>
        <v>7519.5</v>
      </c>
      <c r="H29" s="373">
        <v>15374.1</v>
      </c>
      <c r="I29" s="222"/>
    </row>
    <row r="30" spans="1:9" ht="15.75" x14ac:dyDescent="0.25">
      <c r="A30" s="367" t="s">
        <v>163</v>
      </c>
      <c r="B30" s="367">
        <v>902</v>
      </c>
      <c r="C30" s="368"/>
      <c r="D30" s="368"/>
      <c r="E30" s="368"/>
      <c r="F30" s="368"/>
      <c r="G30" s="369">
        <f>G31+G141+G160+G190+G134</f>
        <v>85978.6</v>
      </c>
      <c r="H30" s="369">
        <f>H31+H141+H160+H190+H134</f>
        <v>81035.3</v>
      </c>
      <c r="I30" s="222"/>
    </row>
    <row r="31" spans="1:9" ht="15.75" x14ac:dyDescent="0.25">
      <c r="A31" s="370" t="s">
        <v>132</v>
      </c>
      <c r="B31" s="367">
        <v>902</v>
      </c>
      <c r="C31" s="371" t="s">
        <v>133</v>
      </c>
      <c r="D31" s="368"/>
      <c r="E31" s="368"/>
      <c r="F31" s="368"/>
      <c r="G31" s="369">
        <f>G32+G87+G104+G96</f>
        <v>59374.400000000001</v>
      </c>
      <c r="H31" s="369">
        <f>H32+H87+H104+H96</f>
        <v>59431.1</v>
      </c>
      <c r="I31" s="222"/>
    </row>
    <row r="32" spans="1:9" ht="63" x14ac:dyDescent="0.25">
      <c r="A32" s="370" t="s">
        <v>164</v>
      </c>
      <c r="B32" s="367">
        <v>902</v>
      </c>
      <c r="C32" s="371" t="s">
        <v>133</v>
      </c>
      <c r="D32" s="371" t="s">
        <v>165</v>
      </c>
      <c r="E32" s="371"/>
      <c r="F32" s="371"/>
      <c r="G32" s="369">
        <f>G33+G69</f>
        <v>51574.400000000001</v>
      </c>
      <c r="H32" s="369">
        <f>H33+H69</f>
        <v>51631.1</v>
      </c>
      <c r="I32" s="222"/>
    </row>
    <row r="33" spans="1:9" ht="31.5" x14ac:dyDescent="0.25">
      <c r="A33" s="370" t="s">
        <v>988</v>
      </c>
      <c r="B33" s="367">
        <v>902</v>
      </c>
      <c r="C33" s="371" t="s">
        <v>133</v>
      </c>
      <c r="D33" s="371" t="s">
        <v>165</v>
      </c>
      <c r="E33" s="371" t="s">
        <v>902</v>
      </c>
      <c r="F33" s="371"/>
      <c r="G33" s="44">
        <f>G34+G50</f>
        <v>51050.9</v>
      </c>
      <c r="H33" s="44">
        <f>H34+H50</f>
        <v>51107.6</v>
      </c>
      <c r="I33" s="222"/>
    </row>
    <row r="34" spans="1:9" ht="15.75" x14ac:dyDescent="0.25">
      <c r="A34" s="370" t="s">
        <v>989</v>
      </c>
      <c r="B34" s="367">
        <v>902</v>
      </c>
      <c r="C34" s="371" t="s">
        <v>133</v>
      </c>
      <c r="D34" s="371" t="s">
        <v>165</v>
      </c>
      <c r="E34" s="371" t="s">
        <v>903</v>
      </c>
      <c r="F34" s="371"/>
      <c r="G34" s="44">
        <f>G35+G44+G47</f>
        <v>47928</v>
      </c>
      <c r="H34" s="44">
        <f>H35+H44+H47</f>
        <v>47918</v>
      </c>
      <c r="I34" s="222"/>
    </row>
    <row r="35" spans="1:9" ht="31.5" x14ac:dyDescent="0.25">
      <c r="A35" s="372" t="s">
        <v>965</v>
      </c>
      <c r="B35" s="366">
        <v>902</v>
      </c>
      <c r="C35" s="368" t="s">
        <v>133</v>
      </c>
      <c r="D35" s="368" t="s">
        <v>165</v>
      </c>
      <c r="E35" s="368" t="s">
        <v>904</v>
      </c>
      <c r="F35" s="368"/>
      <c r="G35" s="373">
        <f>G36+G38+G40+G42</f>
        <v>43412</v>
      </c>
      <c r="H35" s="373">
        <f>H36+H38+H40+H42</f>
        <v>43402</v>
      </c>
      <c r="I35" s="222"/>
    </row>
    <row r="36" spans="1:9" ht="78.75" x14ac:dyDescent="0.25">
      <c r="A36" s="372" t="s">
        <v>142</v>
      </c>
      <c r="B36" s="366">
        <v>902</v>
      </c>
      <c r="C36" s="368" t="s">
        <v>133</v>
      </c>
      <c r="D36" s="368" t="s">
        <v>165</v>
      </c>
      <c r="E36" s="368" t="s">
        <v>904</v>
      </c>
      <c r="F36" s="368" t="s">
        <v>143</v>
      </c>
      <c r="G36" s="373">
        <f>G37</f>
        <v>37513</v>
      </c>
      <c r="H36" s="373">
        <f>H37</f>
        <v>37513</v>
      </c>
      <c r="I36" s="222"/>
    </row>
    <row r="37" spans="1:9" ht="31.5" x14ac:dyDescent="0.25">
      <c r="A37" s="372" t="s">
        <v>144</v>
      </c>
      <c r="B37" s="366">
        <v>902</v>
      </c>
      <c r="C37" s="368" t="s">
        <v>133</v>
      </c>
      <c r="D37" s="368" t="s">
        <v>165</v>
      </c>
      <c r="E37" s="368" t="s">
        <v>904</v>
      </c>
      <c r="F37" s="368" t="s">
        <v>145</v>
      </c>
      <c r="G37" s="373">
        <f>37513</f>
        <v>37513</v>
      </c>
      <c r="H37" s="373">
        <f t="shared" si="1"/>
        <v>37513</v>
      </c>
      <c r="I37" s="222"/>
    </row>
    <row r="38" spans="1:9" ht="31.5" x14ac:dyDescent="0.25">
      <c r="A38" s="372" t="s">
        <v>146</v>
      </c>
      <c r="B38" s="366">
        <v>902</v>
      </c>
      <c r="C38" s="368" t="s">
        <v>133</v>
      </c>
      <c r="D38" s="368" t="s">
        <v>165</v>
      </c>
      <c r="E38" s="368" t="s">
        <v>904</v>
      </c>
      <c r="F38" s="368" t="s">
        <v>147</v>
      </c>
      <c r="G38" s="373">
        <f>G39</f>
        <v>5069</v>
      </c>
      <c r="H38" s="373">
        <f>H39</f>
        <v>5059</v>
      </c>
      <c r="I38" s="222"/>
    </row>
    <row r="39" spans="1:9" ht="31.5" x14ac:dyDescent="0.25">
      <c r="A39" s="372" t="s">
        <v>148</v>
      </c>
      <c r="B39" s="366">
        <v>902</v>
      </c>
      <c r="C39" s="368" t="s">
        <v>133</v>
      </c>
      <c r="D39" s="368" t="s">
        <v>165</v>
      </c>
      <c r="E39" s="368" t="s">
        <v>904</v>
      </c>
      <c r="F39" s="368" t="s">
        <v>149</v>
      </c>
      <c r="G39" s="373">
        <f>5912-809-18.9-15.1</f>
        <v>5069</v>
      </c>
      <c r="H39" s="373">
        <f>G39-10</f>
        <v>5059</v>
      </c>
      <c r="I39" s="222"/>
    </row>
    <row r="40" spans="1:9" ht="31.5" x14ac:dyDescent="0.25">
      <c r="A40" s="372" t="s">
        <v>263</v>
      </c>
      <c r="B40" s="366">
        <v>902</v>
      </c>
      <c r="C40" s="368" t="s">
        <v>133</v>
      </c>
      <c r="D40" s="368" t="s">
        <v>165</v>
      </c>
      <c r="E40" s="368" t="s">
        <v>904</v>
      </c>
      <c r="F40" s="368" t="s">
        <v>264</v>
      </c>
      <c r="G40" s="373">
        <f>G41</f>
        <v>755</v>
      </c>
      <c r="H40" s="373">
        <f>H41</f>
        <v>755</v>
      </c>
      <c r="I40" s="222"/>
    </row>
    <row r="41" spans="1:9" ht="31.5" x14ac:dyDescent="0.25">
      <c r="A41" s="372" t="s">
        <v>265</v>
      </c>
      <c r="B41" s="366">
        <v>902</v>
      </c>
      <c r="C41" s="368" t="s">
        <v>133</v>
      </c>
      <c r="D41" s="368" t="s">
        <v>165</v>
      </c>
      <c r="E41" s="368" t="s">
        <v>904</v>
      </c>
      <c r="F41" s="368" t="s">
        <v>266</v>
      </c>
      <c r="G41" s="373">
        <f>755</f>
        <v>755</v>
      </c>
      <c r="H41" s="373">
        <f t="shared" si="1"/>
        <v>755</v>
      </c>
      <c r="I41" s="222"/>
    </row>
    <row r="42" spans="1:9" ht="15.75" x14ac:dyDescent="0.25">
      <c r="A42" s="372" t="s">
        <v>150</v>
      </c>
      <c r="B42" s="366">
        <v>902</v>
      </c>
      <c r="C42" s="368" t="s">
        <v>133</v>
      </c>
      <c r="D42" s="368" t="s">
        <v>165</v>
      </c>
      <c r="E42" s="368" t="s">
        <v>904</v>
      </c>
      <c r="F42" s="368" t="s">
        <v>160</v>
      </c>
      <c r="G42" s="373">
        <f>G43</f>
        <v>75</v>
      </c>
      <c r="H42" s="373">
        <f>H43</f>
        <v>75</v>
      </c>
      <c r="I42" s="222"/>
    </row>
    <row r="43" spans="1:9" ht="15.75" x14ac:dyDescent="0.25">
      <c r="A43" s="372" t="s">
        <v>583</v>
      </c>
      <c r="B43" s="366">
        <v>902</v>
      </c>
      <c r="C43" s="368" t="s">
        <v>133</v>
      </c>
      <c r="D43" s="368" t="s">
        <v>165</v>
      </c>
      <c r="E43" s="368" t="s">
        <v>904</v>
      </c>
      <c r="F43" s="368" t="s">
        <v>153</v>
      </c>
      <c r="G43" s="373">
        <f>75</f>
        <v>75</v>
      </c>
      <c r="H43" s="373">
        <f t="shared" si="1"/>
        <v>75</v>
      </c>
      <c r="I43" s="222"/>
    </row>
    <row r="44" spans="1:9" ht="31.5" x14ac:dyDescent="0.25">
      <c r="A44" s="372" t="s">
        <v>884</v>
      </c>
      <c r="B44" s="366">
        <v>902</v>
      </c>
      <c r="C44" s="368" t="s">
        <v>133</v>
      </c>
      <c r="D44" s="368" t="s">
        <v>165</v>
      </c>
      <c r="E44" s="368" t="s">
        <v>905</v>
      </c>
      <c r="F44" s="368"/>
      <c r="G44" s="373">
        <f>G45</f>
        <v>2962</v>
      </c>
      <c r="H44" s="373">
        <f t="shared" si="1"/>
        <v>2962</v>
      </c>
      <c r="I44" s="222"/>
    </row>
    <row r="45" spans="1:9" ht="78.75" x14ac:dyDescent="0.25">
      <c r="A45" s="372" t="s">
        <v>142</v>
      </c>
      <c r="B45" s="366">
        <v>902</v>
      </c>
      <c r="C45" s="368" t="s">
        <v>133</v>
      </c>
      <c r="D45" s="368" t="s">
        <v>165</v>
      </c>
      <c r="E45" s="368" t="s">
        <v>905</v>
      </c>
      <c r="F45" s="368" t="s">
        <v>143</v>
      </c>
      <c r="G45" s="373">
        <f>G46</f>
        <v>2962</v>
      </c>
      <c r="H45" s="373">
        <f>H46</f>
        <v>2962</v>
      </c>
      <c r="I45" s="222"/>
    </row>
    <row r="46" spans="1:9" ht="31.5" x14ac:dyDescent="0.25">
      <c r="A46" s="372" t="s">
        <v>144</v>
      </c>
      <c r="B46" s="366">
        <v>902</v>
      </c>
      <c r="C46" s="368" t="s">
        <v>133</v>
      </c>
      <c r="D46" s="368" t="s">
        <v>165</v>
      </c>
      <c r="E46" s="368" t="s">
        <v>905</v>
      </c>
      <c r="F46" s="368" t="s">
        <v>145</v>
      </c>
      <c r="G46" s="373">
        <f>2962</f>
        <v>2962</v>
      </c>
      <c r="H46" s="373">
        <f t="shared" si="1"/>
        <v>2962</v>
      </c>
      <c r="I46" s="222"/>
    </row>
    <row r="47" spans="1:9" ht="47.25" x14ac:dyDescent="0.25">
      <c r="A47" s="372" t="s">
        <v>883</v>
      </c>
      <c r="B47" s="366">
        <v>902</v>
      </c>
      <c r="C47" s="368" t="s">
        <v>133</v>
      </c>
      <c r="D47" s="368" t="s">
        <v>165</v>
      </c>
      <c r="E47" s="368" t="s">
        <v>906</v>
      </c>
      <c r="F47" s="368"/>
      <c r="G47" s="373">
        <f>G48</f>
        <v>1554</v>
      </c>
      <c r="H47" s="373">
        <f>H48</f>
        <v>1554</v>
      </c>
      <c r="I47" s="222"/>
    </row>
    <row r="48" spans="1:9" ht="78.75" x14ac:dyDescent="0.25">
      <c r="A48" s="372" t="s">
        <v>142</v>
      </c>
      <c r="B48" s="366">
        <v>902</v>
      </c>
      <c r="C48" s="368" t="s">
        <v>133</v>
      </c>
      <c r="D48" s="368" t="s">
        <v>165</v>
      </c>
      <c r="E48" s="368" t="s">
        <v>906</v>
      </c>
      <c r="F48" s="368" t="s">
        <v>143</v>
      </c>
      <c r="G48" s="373">
        <f>G49</f>
        <v>1554</v>
      </c>
      <c r="H48" s="373">
        <f>H49</f>
        <v>1554</v>
      </c>
      <c r="I48" s="222"/>
    </row>
    <row r="49" spans="1:9" ht="31.5" x14ac:dyDescent="0.25">
      <c r="A49" s="372" t="s">
        <v>144</v>
      </c>
      <c r="B49" s="366">
        <v>902</v>
      </c>
      <c r="C49" s="368" t="s">
        <v>133</v>
      </c>
      <c r="D49" s="368" t="s">
        <v>165</v>
      </c>
      <c r="E49" s="368" t="s">
        <v>906</v>
      </c>
      <c r="F49" s="368" t="s">
        <v>145</v>
      </c>
      <c r="G49" s="373">
        <f>1554</f>
        <v>1554</v>
      </c>
      <c r="H49" s="373">
        <f t="shared" si="1"/>
        <v>1554</v>
      </c>
      <c r="I49" s="222"/>
    </row>
    <row r="50" spans="1:9" ht="31.5" x14ac:dyDescent="0.25">
      <c r="A50" s="370" t="s">
        <v>930</v>
      </c>
      <c r="B50" s="367">
        <v>902</v>
      </c>
      <c r="C50" s="371" t="s">
        <v>133</v>
      </c>
      <c r="D50" s="371" t="s">
        <v>165</v>
      </c>
      <c r="E50" s="371" t="s">
        <v>907</v>
      </c>
      <c r="F50" s="371"/>
      <c r="G50" s="369">
        <f>G51+G54+G59+G64</f>
        <v>3122.9</v>
      </c>
      <c r="H50" s="369">
        <f>H51+H54+H59+H64</f>
        <v>3189.6</v>
      </c>
      <c r="I50" s="222"/>
    </row>
    <row r="51" spans="1:9" ht="47.25" x14ac:dyDescent="0.25">
      <c r="A51" s="372" t="s">
        <v>800</v>
      </c>
      <c r="B51" s="366">
        <v>902</v>
      </c>
      <c r="C51" s="368" t="s">
        <v>133</v>
      </c>
      <c r="D51" s="368" t="s">
        <v>165</v>
      </c>
      <c r="E51" s="368" t="s">
        <v>990</v>
      </c>
      <c r="F51" s="371"/>
      <c r="G51" s="373">
        <f>G52</f>
        <v>6.3</v>
      </c>
      <c r="H51" s="373">
        <f>H52</f>
        <v>51</v>
      </c>
      <c r="I51" s="222"/>
    </row>
    <row r="52" spans="1:9" ht="31.5" x14ac:dyDescent="0.25">
      <c r="A52" s="372" t="s">
        <v>146</v>
      </c>
      <c r="B52" s="366">
        <v>902</v>
      </c>
      <c r="C52" s="368" t="s">
        <v>133</v>
      </c>
      <c r="D52" s="368" t="s">
        <v>165</v>
      </c>
      <c r="E52" s="368" t="s">
        <v>990</v>
      </c>
      <c r="F52" s="368" t="s">
        <v>147</v>
      </c>
      <c r="G52" s="373">
        <f>G53</f>
        <v>6.3</v>
      </c>
      <c r="H52" s="373">
        <f>H53</f>
        <v>51</v>
      </c>
      <c r="I52" s="222"/>
    </row>
    <row r="53" spans="1:9" ht="31.5" x14ac:dyDescent="0.25">
      <c r="A53" s="372" t="s">
        <v>148</v>
      </c>
      <c r="B53" s="366">
        <v>902</v>
      </c>
      <c r="C53" s="368" t="s">
        <v>133</v>
      </c>
      <c r="D53" s="368" t="s">
        <v>165</v>
      </c>
      <c r="E53" s="368" t="s">
        <v>990</v>
      </c>
      <c r="F53" s="368" t="s">
        <v>149</v>
      </c>
      <c r="G53" s="373">
        <v>6.3</v>
      </c>
      <c r="H53" s="373">
        <v>51</v>
      </c>
      <c r="I53" s="222"/>
    </row>
    <row r="54" spans="1:9" ht="47.25" x14ac:dyDescent="0.25">
      <c r="A54" s="31" t="s">
        <v>204</v>
      </c>
      <c r="B54" s="366">
        <v>902</v>
      </c>
      <c r="C54" s="368" t="s">
        <v>133</v>
      </c>
      <c r="D54" s="368" t="s">
        <v>165</v>
      </c>
      <c r="E54" s="368" t="s">
        <v>991</v>
      </c>
      <c r="F54" s="368"/>
      <c r="G54" s="373">
        <f>G55+G57</f>
        <v>567.40000000000009</v>
      </c>
      <c r="H54" s="373">
        <f>H55+H57</f>
        <v>589.40000000000009</v>
      </c>
      <c r="I54" s="222"/>
    </row>
    <row r="55" spans="1:9" ht="78.75" x14ac:dyDescent="0.25">
      <c r="A55" s="372" t="s">
        <v>142</v>
      </c>
      <c r="B55" s="366">
        <v>902</v>
      </c>
      <c r="C55" s="368" t="s">
        <v>133</v>
      </c>
      <c r="D55" s="368" t="s">
        <v>165</v>
      </c>
      <c r="E55" s="368" t="s">
        <v>991</v>
      </c>
      <c r="F55" s="368" t="s">
        <v>143</v>
      </c>
      <c r="G55" s="373">
        <f>G56</f>
        <v>528.70000000000005</v>
      </c>
      <c r="H55" s="373">
        <f>H56</f>
        <v>528.70000000000005</v>
      </c>
      <c r="I55" s="222"/>
    </row>
    <row r="56" spans="1:9" ht="31.5" x14ac:dyDescent="0.25">
      <c r="A56" s="372" t="s">
        <v>144</v>
      </c>
      <c r="B56" s="366">
        <v>902</v>
      </c>
      <c r="C56" s="368" t="s">
        <v>133</v>
      </c>
      <c r="D56" s="368" t="s">
        <v>165</v>
      </c>
      <c r="E56" s="368" t="s">
        <v>991</v>
      </c>
      <c r="F56" s="368" t="s">
        <v>145</v>
      </c>
      <c r="G56" s="373">
        <f>528.7</f>
        <v>528.70000000000005</v>
      </c>
      <c r="H56" s="373">
        <f t="shared" si="1"/>
        <v>528.70000000000005</v>
      </c>
      <c r="I56" s="222"/>
    </row>
    <row r="57" spans="1:9" ht="31.5" x14ac:dyDescent="0.25">
      <c r="A57" s="372" t="s">
        <v>146</v>
      </c>
      <c r="B57" s="366">
        <v>902</v>
      </c>
      <c r="C57" s="368" t="s">
        <v>133</v>
      </c>
      <c r="D57" s="368" t="s">
        <v>165</v>
      </c>
      <c r="E57" s="368" t="s">
        <v>991</v>
      </c>
      <c r="F57" s="368" t="s">
        <v>147</v>
      </c>
      <c r="G57" s="373">
        <f>G58</f>
        <v>38.700000000000003</v>
      </c>
      <c r="H57" s="373">
        <f>H58</f>
        <v>60.7</v>
      </c>
      <c r="I57" s="222"/>
    </row>
    <row r="58" spans="1:9" ht="31.5" x14ac:dyDescent="0.25">
      <c r="A58" s="372" t="s">
        <v>148</v>
      </c>
      <c r="B58" s="366">
        <v>902</v>
      </c>
      <c r="C58" s="368" t="s">
        <v>133</v>
      </c>
      <c r="D58" s="368" t="s">
        <v>165</v>
      </c>
      <c r="E58" s="368" t="s">
        <v>991</v>
      </c>
      <c r="F58" s="368" t="s">
        <v>149</v>
      </c>
      <c r="G58" s="373">
        <v>38.700000000000003</v>
      </c>
      <c r="H58" s="373">
        <v>60.7</v>
      </c>
      <c r="I58" s="222"/>
    </row>
    <row r="59" spans="1:9" ht="47.25" x14ac:dyDescent="0.25">
      <c r="A59" s="31" t="s">
        <v>209</v>
      </c>
      <c r="B59" s="366">
        <v>902</v>
      </c>
      <c r="C59" s="368" t="s">
        <v>133</v>
      </c>
      <c r="D59" s="368" t="s">
        <v>165</v>
      </c>
      <c r="E59" s="368" t="s">
        <v>1195</v>
      </c>
      <c r="F59" s="368"/>
      <c r="G59" s="373">
        <f>G60+G62</f>
        <v>1433.3</v>
      </c>
      <c r="H59" s="373">
        <f>H60+H62</f>
        <v>1433.3</v>
      </c>
      <c r="I59" s="222"/>
    </row>
    <row r="60" spans="1:9" ht="78.75" x14ac:dyDescent="0.25">
      <c r="A60" s="372" t="s">
        <v>142</v>
      </c>
      <c r="B60" s="366">
        <v>902</v>
      </c>
      <c r="C60" s="368" t="s">
        <v>133</v>
      </c>
      <c r="D60" s="368" t="s">
        <v>165</v>
      </c>
      <c r="E60" s="368" t="s">
        <v>1195</v>
      </c>
      <c r="F60" s="368" t="s">
        <v>143</v>
      </c>
      <c r="G60" s="373">
        <f>G61</f>
        <v>1372.1</v>
      </c>
      <c r="H60" s="373">
        <f>H61</f>
        <v>1372.1</v>
      </c>
      <c r="I60" s="222"/>
    </row>
    <row r="61" spans="1:9" ht="31.5" x14ac:dyDescent="0.25">
      <c r="A61" s="372" t="s">
        <v>144</v>
      </c>
      <c r="B61" s="366">
        <v>902</v>
      </c>
      <c r="C61" s="368" t="s">
        <v>133</v>
      </c>
      <c r="D61" s="368" t="s">
        <v>165</v>
      </c>
      <c r="E61" s="368" t="s">
        <v>1195</v>
      </c>
      <c r="F61" s="368" t="s">
        <v>145</v>
      </c>
      <c r="G61" s="373">
        <f>1372.1</f>
        <v>1372.1</v>
      </c>
      <c r="H61" s="373">
        <f t="shared" si="1"/>
        <v>1372.1</v>
      </c>
      <c r="I61" s="222"/>
    </row>
    <row r="62" spans="1:9" ht="31.5" x14ac:dyDescent="0.25">
      <c r="A62" s="372" t="s">
        <v>146</v>
      </c>
      <c r="B62" s="366">
        <v>902</v>
      </c>
      <c r="C62" s="368" t="s">
        <v>133</v>
      </c>
      <c r="D62" s="368" t="s">
        <v>165</v>
      </c>
      <c r="E62" s="368" t="s">
        <v>1195</v>
      </c>
      <c r="F62" s="368" t="s">
        <v>147</v>
      </c>
      <c r="G62" s="373">
        <f>G63</f>
        <v>61.2</v>
      </c>
      <c r="H62" s="373">
        <f>H63</f>
        <v>61.2</v>
      </c>
      <c r="I62" s="222"/>
    </row>
    <row r="63" spans="1:9" ht="31.5" x14ac:dyDescent="0.25">
      <c r="A63" s="372" t="s">
        <v>148</v>
      </c>
      <c r="B63" s="366">
        <v>902</v>
      </c>
      <c r="C63" s="368" t="s">
        <v>133</v>
      </c>
      <c r="D63" s="368" t="s">
        <v>165</v>
      </c>
      <c r="E63" s="368" t="s">
        <v>1195</v>
      </c>
      <c r="F63" s="368" t="s">
        <v>149</v>
      </c>
      <c r="G63" s="373">
        <f>61.2</f>
        <v>61.2</v>
      </c>
      <c r="H63" s="373">
        <f t="shared" si="1"/>
        <v>61.2</v>
      </c>
      <c r="I63" s="222"/>
    </row>
    <row r="64" spans="1:9" ht="47.25" x14ac:dyDescent="0.25">
      <c r="A64" s="31" t="s">
        <v>211</v>
      </c>
      <c r="B64" s="366">
        <v>902</v>
      </c>
      <c r="C64" s="368" t="s">
        <v>133</v>
      </c>
      <c r="D64" s="368" t="s">
        <v>165</v>
      </c>
      <c r="E64" s="368" t="s">
        <v>992</v>
      </c>
      <c r="F64" s="368"/>
      <c r="G64" s="373">
        <f>G65+G67</f>
        <v>1115.9000000000001</v>
      </c>
      <c r="H64" s="373">
        <f>H65+H67</f>
        <v>1115.9000000000001</v>
      </c>
      <c r="I64" s="222"/>
    </row>
    <row r="65" spans="1:9" ht="78.75" x14ac:dyDescent="0.25">
      <c r="A65" s="372" t="s">
        <v>142</v>
      </c>
      <c r="B65" s="366">
        <v>902</v>
      </c>
      <c r="C65" s="368" t="s">
        <v>133</v>
      </c>
      <c r="D65" s="368" t="s">
        <v>165</v>
      </c>
      <c r="E65" s="368" t="s">
        <v>992</v>
      </c>
      <c r="F65" s="368" t="s">
        <v>143</v>
      </c>
      <c r="G65" s="373">
        <f>G66</f>
        <v>1026.5</v>
      </c>
      <c r="H65" s="373">
        <f>H66</f>
        <v>1026.5</v>
      </c>
      <c r="I65" s="222"/>
    </row>
    <row r="66" spans="1:9" ht="31.5" x14ac:dyDescent="0.25">
      <c r="A66" s="372" t="s">
        <v>144</v>
      </c>
      <c r="B66" s="366">
        <v>902</v>
      </c>
      <c r="C66" s="368" t="s">
        <v>133</v>
      </c>
      <c r="D66" s="368" t="s">
        <v>165</v>
      </c>
      <c r="E66" s="368" t="s">
        <v>992</v>
      </c>
      <c r="F66" s="368" t="s">
        <v>145</v>
      </c>
      <c r="G66" s="373">
        <f>1026.5</f>
        <v>1026.5</v>
      </c>
      <c r="H66" s="373">
        <f t="shared" si="1"/>
        <v>1026.5</v>
      </c>
      <c r="I66" s="222"/>
    </row>
    <row r="67" spans="1:9" ht="31.5" x14ac:dyDescent="0.25">
      <c r="A67" s="372" t="s">
        <v>213</v>
      </c>
      <c r="B67" s="366">
        <v>902</v>
      </c>
      <c r="C67" s="368" t="s">
        <v>133</v>
      </c>
      <c r="D67" s="368" t="s">
        <v>165</v>
      </c>
      <c r="E67" s="368" t="s">
        <v>992</v>
      </c>
      <c r="F67" s="368" t="s">
        <v>147</v>
      </c>
      <c r="G67" s="373">
        <f>G68</f>
        <v>89.4</v>
      </c>
      <c r="H67" s="373">
        <f>H68</f>
        <v>89.4</v>
      </c>
      <c r="I67" s="222"/>
    </row>
    <row r="68" spans="1:9" ht="31.5" x14ac:dyDescent="0.25">
      <c r="A68" s="372" t="s">
        <v>148</v>
      </c>
      <c r="B68" s="366">
        <v>902</v>
      </c>
      <c r="C68" s="368" t="s">
        <v>133</v>
      </c>
      <c r="D68" s="368" t="s">
        <v>165</v>
      </c>
      <c r="E68" s="368" t="s">
        <v>992</v>
      </c>
      <c r="F68" s="368" t="s">
        <v>149</v>
      </c>
      <c r="G68" s="373">
        <f>89.4</f>
        <v>89.4</v>
      </c>
      <c r="H68" s="373">
        <f t="shared" si="1"/>
        <v>89.4</v>
      </c>
      <c r="I68" s="222"/>
    </row>
    <row r="69" spans="1:9" ht="47.25" x14ac:dyDescent="0.25">
      <c r="A69" s="370" t="s">
        <v>1426</v>
      </c>
      <c r="B69" s="367">
        <v>902</v>
      </c>
      <c r="C69" s="371" t="s">
        <v>133</v>
      </c>
      <c r="D69" s="371" t="s">
        <v>165</v>
      </c>
      <c r="E69" s="371" t="s">
        <v>177</v>
      </c>
      <c r="F69" s="371"/>
      <c r="G69" s="369">
        <f>G70+G74+G80</f>
        <v>523.5</v>
      </c>
      <c r="H69" s="369">
        <f>H70+H74+H80</f>
        <v>523.5</v>
      </c>
      <c r="I69" s="222"/>
    </row>
    <row r="70" spans="1:9" ht="63" x14ac:dyDescent="0.25">
      <c r="A70" s="248" t="s">
        <v>1153</v>
      </c>
      <c r="B70" s="367">
        <v>902</v>
      </c>
      <c r="C70" s="371" t="s">
        <v>133</v>
      </c>
      <c r="D70" s="371" t="s">
        <v>165</v>
      </c>
      <c r="E70" s="364" t="s">
        <v>893</v>
      </c>
      <c r="F70" s="371"/>
      <c r="G70" s="369">
        <f t="shared" ref="G70:H72" si="3">G71</f>
        <v>446</v>
      </c>
      <c r="H70" s="369">
        <f t="shared" si="3"/>
        <v>446</v>
      </c>
      <c r="I70" s="222"/>
    </row>
    <row r="71" spans="1:9" ht="31.5" x14ac:dyDescent="0.25">
      <c r="A71" s="375" t="s">
        <v>1152</v>
      </c>
      <c r="B71" s="366">
        <v>902</v>
      </c>
      <c r="C71" s="368" t="s">
        <v>133</v>
      </c>
      <c r="D71" s="368" t="s">
        <v>165</v>
      </c>
      <c r="E71" s="376" t="s">
        <v>885</v>
      </c>
      <c r="F71" s="368"/>
      <c r="G71" s="373">
        <f t="shared" si="3"/>
        <v>446</v>
      </c>
      <c r="H71" s="373">
        <f t="shared" si="3"/>
        <v>446</v>
      </c>
      <c r="I71" s="222"/>
    </row>
    <row r="72" spans="1:9" ht="31.5" x14ac:dyDescent="0.25">
      <c r="A72" s="372" t="s">
        <v>146</v>
      </c>
      <c r="B72" s="366">
        <v>902</v>
      </c>
      <c r="C72" s="368" t="s">
        <v>133</v>
      </c>
      <c r="D72" s="368" t="s">
        <v>165</v>
      </c>
      <c r="E72" s="376" t="s">
        <v>885</v>
      </c>
      <c r="F72" s="368" t="s">
        <v>147</v>
      </c>
      <c r="G72" s="373">
        <f t="shared" si="3"/>
        <v>446</v>
      </c>
      <c r="H72" s="373">
        <f t="shared" si="3"/>
        <v>446</v>
      </c>
      <c r="I72" s="222"/>
    </row>
    <row r="73" spans="1:9" ht="31.5" x14ac:dyDescent="0.25">
      <c r="A73" s="372" t="s">
        <v>148</v>
      </c>
      <c r="B73" s="366">
        <v>902</v>
      </c>
      <c r="C73" s="368" t="s">
        <v>133</v>
      </c>
      <c r="D73" s="368" t="s">
        <v>165</v>
      </c>
      <c r="E73" s="376" t="s">
        <v>885</v>
      </c>
      <c r="F73" s="368" t="s">
        <v>149</v>
      </c>
      <c r="G73" s="373">
        <f>446</f>
        <v>446</v>
      </c>
      <c r="H73" s="373">
        <f t="shared" si="1"/>
        <v>446</v>
      </c>
      <c r="I73" s="222"/>
    </row>
    <row r="74" spans="1:9" ht="63" x14ac:dyDescent="0.25">
      <c r="A74" s="247" t="s">
        <v>887</v>
      </c>
      <c r="B74" s="367">
        <v>902</v>
      </c>
      <c r="C74" s="371" t="s">
        <v>133</v>
      </c>
      <c r="D74" s="371" t="s">
        <v>165</v>
      </c>
      <c r="E74" s="364" t="s">
        <v>894</v>
      </c>
      <c r="F74" s="371"/>
      <c r="G74" s="369">
        <f>G75</f>
        <v>77</v>
      </c>
      <c r="H74" s="369">
        <f>H75</f>
        <v>77</v>
      </c>
      <c r="I74" s="222"/>
    </row>
    <row r="75" spans="1:9" ht="47.25" x14ac:dyDescent="0.25">
      <c r="A75" s="178" t="s">
        <v>180</v>
      </c>
      <c r="B75" s="366">
        <v>902</v>
      </c>
      <c r="C75" s="368" t="s">
        <v>133</v>
      </c>
      <c r="D75" s="368" t="s">
        <v>165</v>
      </c>
      <c r="E75" s="376" t="s">
        <v>886</v>
      </c>
      <c r="F75" s="368"/>
      <c r="G75" s="373">
        <f>G76+G78</f>
        <v>77</v>
      </c>
      <c r="H75" s="373">
        <f>H76+H78</f>
        <v>77</v>
      </c>
      <c r="I75" s="222"/>
    </row>
    <row r="76" spans="1:9" ht="78.75" x14ac:dyDescent="0.25">
      <c r="A76" s="372" t="s">
        <v>142</v>
      </c>
      <c r="B76" s="366">
        <v>902</v>
      </c>
      <c r="C76" s="368" t="s">
        <v>133</v>
      </c>
      <c r="D76" s="368" t="s">
        <v>165</v>
      </c>
      <c r="E76" s="376" t="s">
        <v>886</v>
      </c>
      <c r="F76" s="368" t="s">
        <v>143</v>
      </c>
      <c r="G76" s="373">
        <f>G77</f>
        <v>37</v>
      </c>
      <c r="H76" s="373">
        <f>H77</f>
        <v>37</v>
      </c>
      <c r="I76" s="222"/>
    </row>
    <row r="77" spans="1:9" ht="31.5" x14ac:dyDescent="0.25">
      <c r="A77" s="372" t="s">
        <v>144</v>
      </c>
      <c r="B77" s="366">
        <v>902</v>
      </c>
      <c r="C77" s="368" t="s">
        <v>133</v>
      </c>
      <c r="D77" s="368" t="s">
        <v>165</v>
      </c>
      <c r="E77" s="376" t="s">
        <v>886</v>
      </c>
      <c r="F77" s="368" t="s">
        <v>145</v>
      </c>
      <c r="G77" s="373">
        <f>37</f>
        <v>37</v>
      </c>
      <c r="H77" s="373">
        <f t="shared" si="1"/>
        <v>37</v>
      </c>
      <c r="I77" s="222"/>
    </row>
    <row r="78" spans="1:9" ht="31.5" x14ac:dyDescent="0.25">
      <c r="A78" s="372" t="s">
        <v>146</v>
      </c>
      <c r="B78" s="366">
        <v>902</v>
      </c>
      <c r="C78" s="368" t="s">
        <v>133</v>
      </c>
      <c r="D78" s="368" t="s">
        <v>165</v>
      </c>
      <c r="E78" s="376" t="s">
        <v>886</v>
      </c>
      <c r="F78" s="368" t="s">
        <v>147</v>
      </c>
      <c r="G78" s="373">
        <f>G79</f>
        <v>40</v>
      </c>
      <c r="H78" s="373">
        <f>H79</f>
        <v>40</v>
      </c>
      <c r="I78" s="222"/>
    </row>
    <row r="79" spans="1:9" ht="31.5" x14ac:dyDescent="0.25">
      <c r="A79" s="372" t="s">
        <v>148</v>
      </c>
      <c r="B79" s="366">
        <v>902</v>
      </c>
      <c r="C79" s="368" t="s">
        <v>133</v>
      </c>
      <c r="D79" s="368" t="s">
        <v>165</v>
      </c>
      <c r="E79" s="376" t="s">
        <v>886</v>
      </c>
      <c r="F79" s="368" t="s">
        <v>149</v>
      </c>
      <c r="G79" s="373">
        <f>40</f>
        <v>40</v>
      </c>
      <c r="H79" s="373">
        <f t="shared" ref="H79:H147" si="4">G79</f>
        <v>40</v>
      </c>
      <c r="I79" s="222"/>
    </row>
    <row r="80" spans="1:9" ht="63" x14ac:dyDescent="0.25">
      <c r="A80" s="249" t="s">
        <v>1154</v>
      </c>
      <c r="B80" s="367">
        <v>902</v>
      </c>
      <c r="C80" s="371" t="s">
        <v>133</v>
      </c>
      <c r="D80" s="371" t="s">
        <v>165</v>
      </c>
      <c r="E80" s="364" t="s">
        <v>895</v>
      </c>
      <c r="F80" s="371"/>
      <c r="G80" s="369">
        <f>G81+G84</f>
        <v>0.5</v>
      </c>
      <c r="H80" s="369">
        <f>H81+H84</f>
        <v>0.5</v>
      </c>
      <c r="I80" s="222"/>
    </row>
    <row r="81" spans="1:9" ht="47.25" x14ac:dyDescent="0.25">
      <c r="A81" s="33" t="s">
        <v>206</v>
      </c>
      <c r="B81" s="366">
        <v>902</v>
      </c>
      <c r="C81" s="368" t="s">
        <v>133</v>
      </c>
      <c r="D81" s="368" t="s">
        <v>165</v>
      </c>
      <c r="E81" s="376" t="s">
        <v>888</v>
      </c>
      <c r="F81" s="368"/>
      <c r="G81" s="373">
        <f>G82</f>
        <v>0.5</v>
      </c>
      <c r="H81" s="373">
        <f>H82</f>
        <v>0.5</v>
      </c>
      <c r="I81" s="222"/>
    </row>
    <row r="82" spans="1:9" ht="31.5" x14ac:dyDescent="0.25">
      <c r="A82" s="372" t="s">
        <v>146</v>
      </c>
      <c r="B82" s="366">
        <v>902</v>
      </c>
      <c r="C82" s="368" t="s">
        <v>133</v>
      </c>
      <c r="D82" s="368" t="s">
        <v>165</v>
      </c>
      <c r="E82" s="376" t="s">
        <v>888</v>
      </c>
      <c r="F82" s="368" t="s">
        <v>147</v>
      </c>
      <c r="G82" s="373">
        <f>G83</f>
        <v>0.5</v>
      </c>
      <c r="H82" s="373">
        <f>H83</f>
        <v>0.5</v>
      </c>
      <c r="I82" s="222"/>
    </row>
    <row r="83" spans="1:9" ht="31.5" x14ac:dyDescent="0.25">
      <c r="A83" s="372" t="s">
        <v>148</v>
      </c>
      <c r="B83" s="366">
        <v>902</v>
      </c>
      <c r="C83" s="368" t="s">
        <v>133</v>
      </c>
      <c r="D83" s="368" t="s">
        <v>165</v>
      </c>
      <c r="E83" s="376" t="s">
        <v>888</v>
      </c>
      <c r="F83" s="368" t="s">
        <v>149</v>
      </c>
      <c r="G83" s="373">
        <f>0.5</f>
        <v>0.5</v>
      </c>
      <c r="H83" s="373">
        <f t="shared" si="4"/>
        <v>0.5</v>
      </c>
      <c r="I83" s="222"/>
    </row>
    <row r="84" spans="1:9" ht="47.25" hidden="1" x14ac:dyDescent="0.25">
      <c r="A84" s="33" t="s">
        <v>206</v>
      </c>
      <c r="B84" s="366">
        <v>902</v>
      </c>
      <c r="C84" s="368" t="s">
        <v>133</v>
      </c>
      <c r="D84" s="368" t="s">
        <v>165</v>
      </c>
      <c r="E84" s="368" t="s">
        <v>889</v>
      </c>
      <c r="F84" s="368"/>
      <c r="G84" s="373">
        <f>'Пр.4 ведом.20'!G83</f>
        <v>0</v>
      </c>
      <c r="H84" s="373">
        <f t="shared" si="4"/>
        <v>0</v>
      </c>
      <c r="I84" s="222"/>
    </row>
    <row r="85" spans="1:9" ht="31.5" hidden="1" x14ac:dyDescent="0.25">
      <c r="A85" s="372" t="s">
        <v>146</v>
      </c>
      <c r="B85" s="366">
        <v>902</v>
      </c>
      <c r="C85" s="368" t="s">
        <v>133</v>
      </c>
      <c r="D85" s="368" t="s">
        <v>165</v>
      </c>
      <c r="E85" s="368" t="s">
        <v>889</v>
      </c>
      <c r="F85" s="368" t="s">
        <v>147</v>
      </c>
      <c r="G85" s="373">
        <f>'Пр.4 ведом.20'!G84</f>
        <v>0</v>
      </c>
      <c r="H85" s="373">
        <f t="shared" si="4"/>
        <v>0</v>
      </c>
      <c r="I85" s="222"/>
    </row>
    <row r="86" spans="1:9" ht="31.5" hidden="1" x14ac:dyDescent="0.25">
      <c r="A86" s="372" t="s">
        <v>148</v>
      </c>
      <c r="B86" s="366">
        <v>902</v>
      </c>
      <c r="C86" s="368" t="s">
        <v>133</v>
      </c>
      <c r="D86" s="368" t="s">
        <v>165</v>
      </c>
      <c r="E86" s="368" t="s">
        <v>889</v>
      </c>
      <c r="F86" s="368" t="s">
        <v>149</v>
      </c>
      <c r="G86" s="373">
        <f>'Пр.4 ведом.20'!G85</f>
        <v>0</v>
      </c>
      <c r="H86" s="373">
        <f t="shared" si="4"/>
        <v>0</v>
      </c>
      <c r="I86" s="222"/>
    </row>
    <row r="87" spans="1:9" ht="47.25" x14ac:dyDescent="0.25">
      <c r="A87" s="370" t="s">
        <v>134</v>
      </c>
      <c r="B87" s="367">
        <v>902</v>
      </c>
      <c r="C87" s="371" t="s">
        <v>133</v>
      </c>
      <c r="D87" s="371" t="s">
        <v>135</v>
      </c>
      <c r="E87" s="371"/>
      <c r="F87" s="368"/>
      <c r="G87" s="369">
        <f>G88</f>
        <v>940</v>
      </c>
      <c r="H87" s="369">
        <f>H88</f>
        <v>940</v>
      </c>
      <c r="I87" s="222"/>
    </row>
    <row r="88" spans="1:9" ht="31.5" x14ac:dyDescent="0.25">
      <c r="A88" s="370" t="s">
        <v>988</v>
      </c>
      <c r="B88" s="367">
        <v>902</v>
      </c>
      <c r="C88" s="371" t="s">
        <v>133</v>
      </c>
      <c r="D88" s="371" t="s">
        <v>135</v>
      </c>
      <c r="E88" s="371" t="s">
        <v>902</v>
      </c>
      <c r="F88" s="371"/>
      <c r="G88" s="369">
        <f>G89</f>
        <v>940</v>
      </c>
      <c r="H88" s="369">
        <f>H89</f>
        <v>940</v>
      </c>
      <c r="I88" s="222"/>
    </row>
    <row r="89" spans="1:9" ht="15.75" x14ac:dyDescent="0.25">
      <c r="A89" s="370" t="s">
        <v>989</v>
      </c>
      <c r="B89" s="367">
        <v>902</v>
      </c>
      <c r="C89" s="371" t="s">
        <v>133</v>
      </c>
      <c r="D89" s="371" t="s">
        <v>135</v>
      </c>
      <c r="E89" s="371" t="s">
        <v>903</v>
      </c>
      <c r="F89" s="371"/>
      <c r="G89" s="369">
        <f>G90+G93</f>
        <v>940</v>
      </c>
      <c r="H89" s="369">
        <f>H90+H93</f>
        <v>940</v>
      </c>
      <c r="I89" s="222"/>
    </row>
    <row r="90" spans="1:9" ht="31.5" x14ac:dyDescent="0.25">
      <c r="A90" s="372" t="s">
        <v>965</v>
      </c>
      <c r="B90" s="366">
        <v>902</v>
      </c>
      <c r="C90" s="368" t="s">
        <v>133</v>
      </c>
      <c r="D90" s="368" t="s">
        <v>135</v>
      </c>
      <c r="E90" s="368" t="s">
        <v>904</v>
      </c>
      <c r="F90" s="368"/>
      <c r="G90" s="373">
        <f>G91</f>
        <v>899</v>
      </c>
      <c r="H90" s="373">
        <f>H91</f>
        <v>899</v>
      </c>
      <c r="I90" s="222"/>
    </row>
    <row r="91" spans="1:9" ht="78.75" x14ac:dyDescent="0.25">
      <c r="A91" s="372" t="s">
        <v>142</v>
      </c>
      <c r="B91" s="366">
        <v>902</v>
      </c>
      <c r="C91" s="368" t="s">
        <v>133</v>
      </c>
      <c r="D91" s="368" t="s">
        <v>135</v>
      </c>
      <c r="E91" s="368" t="s">
        <v>904</v>
      </c>
      <c r="F91" s="368" t="s">
        <v>143</v>
      </c>
      <c r="G91" s="373">
        <f>G92</f>
        <v>899</v>
      </c>
      <c r="H91" s="373">
        <f>H92</f>
        <v>899</v>
      </c>
      <c r="I91" s="222"/>
    </row>
    <row r="92" spans="1:9" ht="31.5" x14ac:dyDescent="0.25">
      <c r="A92" s="372" t="s">
        <v>144</v>
      </c>
      <c r="B92" s="366">
        <v>902</v>
      </c>
      <c r="C92" s="368" t="s">
        <v>133</v>
      </c>
      <c r="D92" s="368" t="s">
        <v>135</v>
      </c>
      <c r="E92" s="368" t="s">
        <v>904</v>
      </c>
      <c r="F92" s="368" t="s">
        <v>145</v>
      </c>
      <c r="G92" s="373">
        <f>899</f>
        <v>899</v>
      </c>
      <c r="H92" s="373">
        <f t="shared" si="4"/>
        <v>899</v>
      </c>
      <c r="I92" s="222"/>
    </row>
    <row r="93" spans="1:9" ht="47.25" x14ac:dyDescent="0.25">
      <c r="A93" s="372" t="s">
        <v>883</v>
      </c>
      <c r="B93" s="366">
        <v>902</v>
      </c>
      <c r="C93" s="368" t="s">
        <v>133</v>
      </c>
      <c r="D93" s="368" t="s">
        <v>135</v>
      </c>
      <c r="E93" s="368" t="s">
        <v>906</v>
      </c>
      <c r="F93" s="368"/>
      <c r="G93" s="373">
        <f>G94</f>
        <v>41</v>
      </c>
      <c r="H93" s="373">
        <f>H94</f>
        <v>41</v>
      </c>
      <c r="I93" s="222"/>
    </row>
    <row r="94" spans="1:9" ht="78.75" x14ac:dyDescent="0.25">
      <c r="A94" s="372" t="s">
        <v>142</v>
      </c>
      <c r="B94" s="366">
        <v>902</v>
      </c>
      <c r="C94" s="368" t="s">
        <v>133</v>
      </c>
      <c r="D94" s="368" t="s">
        <v>135</v>
      </c>
      <c r="E94" s="368" t="s">
        <v>906</v>
      </c>
      <c r="F94" s="368" t="s">
        <v>143</v>
      </c>
      <c r="G94" s="373">
        <f>G95</f>
        <v>41</v>
      </c>
      <c r="H94" s="373">
        <f>H95</f>
        <v>41</v>
      </c>
      <c r="I94" s="222"/>
    </row>
    <row r="95" spans="1:9" ht="31.5" x14ac:dyDescent="0.25">
      <c r="A95" s="372" t="s">
        <v>144</v>
      </c>
      <c r="B95" s="366">
        <v>902</v>
      </c>
      <c r="C95" s="368" t="s">
        <v>133</v>
      </c>
      <c r="D95" s="368" t="s">
        <v>135</v>
      </c>
      <c r="E95" s="368" t="s">
        <v>906</v>
      </c>
      <c r="F95" s="368" t="s">
        <v>145</v>
      </c>
      <c r="G95" s="373">
        <f>41</f>
        <v>41</v>
      </c>
      <c r="H95" s="373">
        <f t="shared" si="4"/>
        <v>41</v>
      </c>
      <c r="I95" s="222"/>
    </row>
    <row r="96" spans="1:9" s="221" customFormat="1" ht="15.75" hidden="1" x14ac:dyDescent="0.25">
      <c r="A96" s="370" t="s">
        <v>1373</v>
      </c>
      <c r="B96" s="367">
        <v>902</v>
      </c>
      <c r="C96" s="371" t="s">
        <v>133</v>
      </c>
      <c r="D96" s="371" t="s">
        <v>279</v>
      </c>
      <c r="E96" s="371"/>
      <c r="F96" s="368"/>
      <c r="G96" s="369">
        <f t="shared" ref="G96:H98" si="5">G97</f>
        <v>0</v>
      </c>
      <c r="H96" s="369">
        <f t="shared" si="5"/>
        <v>0</v>
      </c>
      <c r="I96" s="222"/>
    </row>
    <row r="97" spans="1:9" s="221" customFormat="1" ht="15.75" hidden="1" x14ac:dyDescent="0.25">
      <c r="A97" s="370" t="s">
        <v>156</v>
      </c>
      <c r="B97" s="367">
        <v>902</v>
      </c>
      <c r="C97" s="371" t="s">
        <v>133</v>
      </c>
      <c r="D97" s="371" t="s">
        <v>279</v>
      </c>
      <c r="E97" s="371" t="s">
        <v>910</v>
      </c>
      <c r="F97" s="368"/>
      <c r="G97" s="369">
        <f t="shared" si="5"/>
        <v>0</v>
      </c>
      <c r="H97" s="369">
        <f t="shared" si="5"/>
        <v>0</v>
      </c>
      <c r="I97" s="222"/>
    </row>
    <row r="98" spans="1:9" s="221" customFormat="1" ht="31.5" hidden="1" x14ac:dyDescent="0.25">
      <c r="A98" s="370" t="s">
        <v>914</v>
      </c>
      <c r="B98" s="367">
        <v>902</v>
      </c>
      <c r="C98" s="371" t="s">
        <v>133</v>
      </c>
      <c r="D98" s="371" t="s">
        <v>279</v>
      </c>
      <c r="E98" s="371" t="s">
        <v>909</v>
      </c>
      <c r="F98" s="368"/>
      <c r="G98" s="369">
        <f t="shared" si="5"/>
        <v>0</v>
      </c>
      <c r="H98" s="369">
        <f t="shared" si="5"/>
        <v>0</v>
      </c>
      <c r="I98" s="222"/>
    </row>
    <row r="99" spans="1:9" s="221" customFormat="1" ht="15.75" hidden="1" x14ac:dyDescent="0.25">
      <c r="A99" s="45" t="s">
        <v>214</v>
      </c>
      <c r="B99" s="366">
        <v>902</v>
      </c>
      <c r="C99" s="368" t="s">
        <v>133</v>
      </c>
      <c r="D99" s="368" t="s">
        <v>279</v>
      </c>
      <c r="E99" s="368" t="s">
        <v>1372</v>
      </c>
      <c r="F99" s="368"/>
      <c r="G99" s="373">
        <f>G100+G102</f>
        <v>0</v>
      </c>
      <c r="H99" s="373">
        <f>H100+H102</f>
        <v>0</v>
      </c>
      <c r="I99" s="222"/>
    </row>
    <row r="100" spans="1:9" s="221" customFormat="1" ht="78.75" hidden="1" x14ac:dyDescent="0.25">
      <c r="A100" s="372" t="s">
        <v>142</v>
      </c>
      <c r="B100" s="366">
        <v>902</v>
      </c>
      <c r="C100" s="368" t="s">
        <v>133</v>
      </c>
      <c r="D100" s="368" t="s">
        <v>279</v>
      </c>
      <c r="E100" s="368" t="s">
        <v>1372</v>
      </c>
      <c r="F100" s="368" t="s">
        <v>143</v>
      </c>
      <c r="G100" s="373">
        <f>G101</f>
        <v>0</v>
      </c>
      <c r="H100" s="373">
        <f>H101</f>
        <v>0</v>
      </c>
      <c r="I100" s="222"/>
    </row>
    <row r="101" spans="1:9" s="221" customFormat="1" ht="31.5" hidden="1" x14ac:dyDescent="0.25">
      <c r="A101" s="372" t="s">
        <v>144</v>
      </c>
      <c r="B101" s="366">
        <v>902</v>
      </c>
      <c r="C101" s="368" t="s">
        <v>133</v>
      </c>
      <c r="D101" s="368" t="s">
        <v>279</v>
      </c>
      <c r="E101" s="368" t="s">
        <v>1372</v>
      </c>
      <c r="F101" s="368" t="s">
        <v>145</v>
      </c>
      <c r="G101" s="373">
        <v>0</v>
      </c>
      <c r="H101" s="373">
        <v>0</v>
      </c>
      <c r="I101" s="222"/>
    </row>
    <row r="102" spans="1:9" s="221" customFormat="1" ht="31.5" hidden="1" x14ac:dyDescent="0.25">
      <c r="A102" s="372" t="s">
        <v>213</v>
      </c>
      <c r="B102" s="366">
        <v>902</v>
      </c>
      <c r="C102" s="368" t="s">
        <v>133</v>
      </c>
      <c r="D102" s="368" t="s">
        <v>279</v>
      </c>
      <c r="E102" s="368" t="s">
        <v>1372</v>
      </c>
      <c r="F102" s="368" t="s">
        <v>147</v>
      </c>
      <c r="G102" s="373">
        <f>G103</f>
        <v>0</v>
      </c>
      <c r="H102" s="373">
        <f>H103</f>
        <v>0</v>
      </c>
      <c r="I102" s="222"/>
    </row>
    <row r="103" spans="1:9" s="221" customFormat="1" ht="31.5" hidden="1" x14ac:dyDescent="0.25">
      <c r="A103" s="372" t="s">
        <v>148</v>
      </c>
      <c r="B103" s="366">
        <v>902</v>
      </c>
      <c r="C103" s="368" t="s">
        <v>133</v>
      </c>
      <c r="D103" s="368" t="s">
        <v>279</v>
      </c>
      <c r="E103" s="368" t="s">
        <v>1372</v>
      </c>
      <c r="F103" s="368" t="s">
        <v>149</v>
      </c>
      <c r="G103" s="373">
        <v>0</v>
      </c>
      <c r="H103" s="373">
        <v>0</v>
      </c>
      <c r="I103" s="222"/>
    </row>
    <row r="104" spans="1:9" ht="15.75" x14ac:dyDescent="0.25">
      <c r="A104" s="370" t="s">
        <v>154</v>
      </c>
      <c r="B104" s="367">
        <v>902</v>
      </c>
      <c r="C104" s="371" t="s">
        <v>133</v>
      </c>
      <c r="D104" s="371" t="s">
        <v>155</v>
      </c>
      <c r="E104" s="371"/>
      <c r="F104" s="371"/>
      <c r="G104" s="369">
        <f>G115+G124+G105+G129</f>
        <v>6860</v>
      </c>
      <c r="H104" s="369">
        <f>H115+H124+H105+H129</f>
        <v>6860</v>
      </c>
      <c r="I104" s="222"/>
    </row>
    <row r="105" spans="1:9" ht="15.75" x14ac:dyDescent="0.25">
      <c r="A105" s="370" t="s">
        <v>156</v>
      </c>
      <c r="B105" s="367">
        <v>902</v>
      </c>
      <c r="C105" s="371" t="s">
        <v>133</v>
      </c>
      <c r="D105" s="371" t="s">
        <v>155</v>
      </c>
      <c r="E105" s="371" t="s">
        <v>910</v>
      </c>
      <c r="F105" s="371"/>
      <c r="G105" s="369">
        <f>G106</f>
        <v>6680</v>
      </c>
      <c r="H105" s="369">
        <f>H106</f>
        <v>6680</v>
      </c>
      <c r="I105" s="222"/>
    </row>
    <row r="106" spans="1:9" ht="31.5" x14ac:dyDescent="0.25">
      <c r="A106" s="370" t="s">
        <v>993</v>
      </c>
      <c r="B106" s="367">
        <v>902</v>
      </c>
      <c r="C106" s="371" t="s">
        <v>133</v>
      </c>
      <c r="D106" s="371" t="s">
        <v>155</v>
      </c>
      <c r="E106" s="371" t="s">
        <v>911</v>
      </c>
      <c r="F106" s="371"/>
      <c r="G106" s="369">
        <f>G107+G112</f>
        <v>6680</v>
      </c>
      <c r="H106" s="369">
        <f>H107+H112</f>
        <v>6680</v>
      </c>
      <c r="I106" s="222"/>
    </row>
    <row r="107" spans="1:9" ht="31.5" x14ac:dyDescent="0.25">
      <c r="A107" s="372" t="s">
        <v>999</v>
      </c>
      <c r="B107" s="366">
        <v>902</v>
      </c>
      <c r="C107" s="368" t="s">
        <v>133</v>
      </c>
      <c r="D107" s="368" t="s">
        <v>155</v>
      </c>
      <c r="E107" s="368" t="s">
        <v>912</v>
      </c>
      <c r="F107" s="368"/>
      <c r="G107" s="373">
        <f>G108+G110</f>
        <v>6554</v>
      </c>
      <c r="H107" s="373">
        <f>H108+H110</f>
        <v>6554</v>
      </c>
      <c r="I107" s="222"/>
    </row>
    <row r="108" spans="1:9" ht="78.75" x14ac:dyDescent="0.25">
      <c r="A108" s="372" t="s">
        <v>142</v>
      </c>
      <c r="B108" s="366">
        <v>902</v>
      </c>
      <c r="C108" s="368" t="s">
        <v>133</v>
      </c>
      <c r="D108" s="368" t="s">
        <v>155</v>
      </c>
      <c r="E108" s="368" t="s">
        <v>912</v>
      </c>
      <c r="F108" s="368" t="s">
        <v>143</v>
      </c>
      <c r="G108" s="373">
        <f>G109</f>
        <v>5343</v>
      </c>
      <c r="H108" s="373">
        <f>H109</f>
        <v>5343</v>
      </c>
      <c r="I108" s="222"/>
    </row>
    <row r="109" spans="1:9" ht="15.75" x14ac:dyDescent="0.25">
      <c r="A109" s="372" t="s">
        <v>223</v>
      </c>
      <c r="B109" s="366">
        <v>902</v>
      </c>
      <c r="C109" s="368" t="s">
        <v>133</v>
      </c>
      <c r="D109" s="368" t="s">
        <v>155</v>
      </c>
      <c r="E109" s="368" t="s">
        <v>912</v>
      </c>
      <c r="F109" s="368" t="s">
        <v>224</v>
      </c>
      <c r="G109" s="373">
        <f>5343</f>
        <v>5343</v>
      </c>
      <c r="H109" s="373">
        <f t="shared" si="4"/>
        <v>5343</v>
      </c>
      <c r="I109" s="222"/>
    </row>
    <row r="110" spans="1:9" ht="31.5" x14ac:dyDescent="0.25">
      <c r="A110" s="372" t="s">
        <v>213</v>
      </c>
      <c r="B110" s="366">
        <v>902</v>
      </c>
      <c r="C110" s="368" t="s">
        <v>133</v>
      </c>
      <c r="D110" s="368" t="s">
        <v>155</v>
      </c>
      <c r="E110" s="368" t="s">
        <v>912</v>
      </c>
      <c r="F110" s="368" t="s">
        <v>147</v>
      </c>
      <c r="G110" s="373">
        <f>G111</f>
        <v>1211</v>
      </c>
      <c r="H110" s="373">
        <f>H111</f>
        <v>1211</v>
      </c>
      <c r="I110" s="222"/>
    </row>
    <row r="111" spans="1:9" ht="31.5" x14ac:dyDescent="0.25">
      <c r="A111" s="372" t="s">
        <v>148</v>
      </c>
      <c r="B111" s="366">
        <v>902</v>
      </c>
      <c r="C111" s="368" t="s">
        <v>133</v>
      </c>
      <c r="D111" s="368" t="s">
        <v>155</v>
      </c>
      <c r="E111" s="368" t="s">
        <v>912</v>
      </c>
      <c r="F111" s="368" t="s">
        <v>149</v>
      </c>
      <c r="G111" s="373">
        <f>1211</f>
        <v>1211</v>
      </c>
      <c r="H111" s="373">
        <f t="shared" si="4"/>
        <v>1211</v>
      </c>
      <c r="I111" s="222"/>
    </row>
    <row r="112" spans="1:9" ht="47.25" x14ac:dyDescent="0.25">
      <c r="A112" s="372" t="s">
        <v>883</v>
      </c>
      <c r="B112" s="366">
        <v>902</v>
      </c>
      <c r="C112" s="368" t="s">
        <v>133</v>
      </c>
      <c r="D112" s="368" t="s">
        <v>155</v>
      </c>
      <c r="E112" s="368" t="s">
        <v>913</v>
      </c>
      <c r="F112" s="368"/>
      <c r="G112" s="373">
        <f>G113</f>
        <v>126</v>
      </c>
      <c r="H112" s="373">
        <f>H113</f>
        <v>126</v>
      </c>
      <c r="I112" s="222"/>
    </row>
    <row r="113" spans="1:9" ht="78.75" x14ac:dyDescent="0.25">
      <c r="A113" s="372" t="s">
        <v>142</v>
      </c>
      <c r="B113" s="366">
        <v>902</v>
      </c>
      <c r="C113" s="368" t="s">
        <v>133</v>
      </c>
      <c r="D113" s="368" t="s">
        <v>155</v>
      </c>
      <c r="E113" s="368" t="s">
        <v>913</v>
      </c>
      <c r="F113" s="368" t="s">
        <v>143</v>
      </c>
      <c r="G113" s="373">
        <f>G114</f>
        <v>126</v>
      </c>
      <c r="H113" s="373">
        <f>H114</f>
        <v>126</v>
      </c>
      <c r="I113" s="222"/>
    </row>
    <row r="114" spans="1:9" ht="15.75" x14ac:dyDescent="0.25">
      <c r="A114" s="372" t="s">
        <v>223</v>
      </c>
      <c r="B114" s="366">
        <v>902</v>
      </c>
      <c r="C114" s="368" t="s">
        <v>133</v>
      </c>
      <c r="D114" s="368" t="s">
        <v>155</v>
      </c>
      <c r="E114" s="368" t="s">
        <v>913</v>
      </c>
      <c r="F114" s="368" t="s">
        <v>224</v>
      </c>
      <c r="G114" s="373">
        <f>126</f>
        <v>126</v>
      </c>
      <c r="H114" s="373">
        <f t="shared" si="4"/>
        <v>126</v>
      </c>
      <c r="I114" s="222"/>
    </row>
    <row r="115" spans="1:9" ht="63" x14ac:dyDescent="0.25">
      <c r="A115" s="41" t="s">
        <v>1425</v>
      </c>
      <c r="B115" s="367">
        <v>902</v>
      </c>
      <c r="C115" s="371" t="s">
        <v>133</v>
      </c>
      <c r="D115" s="371" t="s">
        <v>155</v>
      </c>
      <c r="E115" s="371" t="s">
        <v>726</v>
      </c>
      <c r="F115" s="250"/>
      <c r="G115" s="369">
        <f>G116+G120</f>
        <v>40</v>
      </c>
      <c r="H115" s="369">
        <f>H116+H120</f>
        <v>40</v>
      </c>
      <c r="I115" s="222"/>
    </row>
    <row r="116" spans="1:9" ht="47.25" x14ac:dyDescent="0.25">
      <c r="A116" s="238" t="s">
        <v>890</v>
      </c>
      <c r="B116" s="367">
        <v>902</v>
      </c>
      <c r="C116" s="371" t="s">
        <v>133</v>
      </c>
      <c r="D116" s="371" t="s">
        <v>155</v>
      </c>
      <c r="E116" s="371" t="s">
        <v>896</v>
      </c>
      <c r="F116" s="250"/>
      <c r="G116" s="369">
        <f t="shared" ref="G116:H118" si="6">G117</f>
        <v>25</v>
      </c>
      <c r="H116" s="369">
        <f t="shared" si="6"/>
        <v>25</v>
      </c>
      <c r="I116" s="222"/>
    </row>
    <row r="117" spans="1:9" ht="31.5" x14ac:dyDescent="0.25">
      <c r="A117" s="99" t="s">
        <v>797</v>
      </c>
      <c r="B117" s="366">
        <v>902</v>
      </c>
      <c r="C117" s="368" t="s">
        <v>133</v>
      </c>
      <c r="D117" s="368" t="s">
        <v>155</v>
      </c>
      <c r="E117" s="368" t="s">
        <v>891</v>
      </c>
      <c r="F117" s="32"/>
      <c r="G117" s="373">
        <f t="shared" si="6"/>
        <v>25</v>
      </c>
      <c r="H117" s="373">
        <f t="shared" si="6"/>
        <v>25</v>
      </c>
      <c r="I117" s="222"/>
    </row>
    <row r="118" spans="1:9" ht="31.5" x14ac:dyDescent="0.25">
      <c r="A118" s="372" t="s">
        <v>146</v>
      </c>
      <c r="B118" s="366">
        <v>902</v>
      </c>
      <c r="C118" s="368" t="s">
        <v>133</v>
      </c>
      <c r="D118" s="368" t="s">
        <v>155</v>
      </c>
      <c r="E118" s="368" t="s">
        <v>891</v>
      </c>
      <c r="F118" s="32" t="s">
        <v>147</v>
      </c>
      <c r="G118" s="373">
        <f t="shared" si="6"/>
        <v>25</v>
      </c>
      <c r="H118" s="373">
        <f t="shared" si="6"/>
        <v>25</v>
      </c>
      <c r="I118" s="222"/>
    </row>
    <row r="119" spans="1:9" ht="31.5" x14ac:dyDescent="0.25">
      <c r="A119" s="372" t="s">
        <v>148</v>
      </c>
      <c r="B119" s="366">
        <v>902</v>
      </c>
      <c r="C119" s="368" t="s">
        <v>133</v>
      </c>
      <c r="D119" s="368" t="s">
        <v>155</v>
      </c>
      <c r="E119" s="368" t="s">
        <v>891</v>
      </c>
      <c r="F119" s="32" t="s">
        <v>149</v>
      </c>
      <c r="G119" s="373">
        <v>25</v>
      </c>
      <c r="H119" s="373">
        <v>25</v>
      </c>
      <c r="I119" s="222"/>
    </row>
    <row r="120" spans="1:9" ht="31.5" x14ac:dyDescent="0.25">
      <c r="A120" s="239" t="s">
        <v>1186</v>
      </c>
      <c r="B120" s="367">
        <v>902</v>
      </c>
      <c r="C120" s="371" t="s">
        <v>133</v>
      </c>
      <c r="D120" s="371" t="s">
        <v>155</v>
      </c>
      <c r="E120" s="371" t="s">
        <v>897</v>
      </c>
      <c r="F120" s="250"/>
      <c r="G120" s="369">
        <f t="shared" ref="G120:H122" si="7">G121</f>
        <v>15</v>
      </c>
      <c r="H120" s="369">
        <f t="shared" si="7"/>
        <v>15</v>
      </c>
      <c r="I120" s="222"/>
    </row>
    <row r="121" spans="1:9" ht="31.5" x14ac:dyDescent="0.25">
      <c r="A121" s="99" t="s">
        <v>798</v>
      </c>
      <c r="B121" s="366">
        <v>902</v>
      </c>
      <c r="C121" s="368" t="s">
        <v>133</v>
      </c>
      <c r="D121" s="368" t="s">
        <v>155</v>
      </c>
      <c r="E121" s="368" t="s">
        <v>892</v>
      </c>
      <c r="F121" s="32"/>
      <c r="G121" s="373">
        <f t="shared" si="7"/>
        <v>15</v>
      </c>
      <c r="H121" s="373">
        <f t="shared" si="7"/>
        <v>15</v>
      </c>
      <c r="I121" s="222"/>
    </row>
    <row r="122" spans="1:9" ht="31.5" x14ac:dyDescent="0.25">
      <c r="A122" s="372" t="s">
        <v>146</v>
      </c>
      <c r="B122" s="366">
        <v>902</v>
      </c>
      <c r="C122" s="368" t="s">
        <v>133</v>
      </c>
      <c r="D122" s="368" t="s">
        <v>155</v>
      </c>
      <c r="E122" s="368" t="s">
        <v>892</v>
      </c>
      <c r="F122" s="32" t="s">
        <v>147</v>
      </c>
      <c r="G122" s="373">
        <f t="shared" si="7"/>
        <v>15</v>
      </c>
      <c r="H122" s="373">
        <f t="shared" si="7"/>
        <v>15</v>
      </c>
      <c r="I122" s="222"/>
    </row>
    <row r="123" spans="1:9" ht="31.5" x14ac:dyDescent="0.25">
      <c r="A123" s="372" t="s">
        <v>148</v>
      </c>
      <c r="B123" s="366">
        <v>902</v>
      </c>
      <c r="C123" s="368" t="s">
        <v>133</v>
      </c>
      <c r="D123" s="368" t="s">
        <v>155</v>
      </c>
      <c r="E123" s="368" t="s">
        <v>892</v>
      </c>
      <c r="F123" s="32" t="s">
        <v>149</v>
      </c>
      <c r="G123" s="373">
        <f>15</f>
        <v>15</v>
      </c>
      <c r="H123" s="373">
        <f t="shared" si="4"/>
        <v>15</v>
      </c>
      <c r="I123" s="222"/>
    </row>
    <row r="124" spans="1:9" ht="78.75" x14ac:dyDescent="0.25">
      <c r="A124" s="41" t="s">
        <v>1424</v>
      </c>
      <c r="B124" s="367">
        <v>902</v>
      </c>
      <c r="C124" s="8" t="s">
        <v>133</v>
      </c>
      <c r="D124" s="8" t="s">
        <v>155</v>
      </c>
      <c r="E124" s="384" t="s">
        <v>859</v>
      </c>
      <c r="F124" s="8"/>
      <c r="G124" s="369">
        <f t="shared" ref="G124:H127" si="8">G125</f>
        <v>40</v>
      </c>
      <c r="H124" s="369">
        <f t="shared" si="8"/>
        <v>40</v>
      </c>
      <c r="I124" s="222"/>
    </row>
    <row r="125" spans="1:9" ht="47.25" x14ac:dyDescent="0.25">
      <c r="A125" s="240" t="s">
        <v>898</v>
      </c>
      <c r="B125" s="367">
        <v>902</v>
      </c>
      <c r="C125" s="8" t="s">
        <v>133</v>
      </c>
      <c r="D125" s="8" t="s">
        <v>155</v>
      </c>
      <c r="E125" s="210" t="s">
        <v>1262</v>
      </c>
      <c r="F125" s="8"/>
      <c r="G125" s="369">
        <f t="shared" si="8"/>
        <v>40</v>
      </c>
      <c r="H125" s="369">
        <f t="shared" si="8"/>
        <v>40</v>
      </c>
      <c r="I125" s="222"/>
    </row>
    <row r="126" spans="1:9" ht="31.5" x14ac:dyDescent="0.25">
      <c r="A126" s="98" t="s">
        <v>186</v>
      </c>
      <c r="B126" s="366">
        <v>902</v>
      </c>
      <c r="C126" s="9" t="s">
        <v>133</v>
      </c>
      <c r="D126" s="9" t="s">
        <v>155</v>
      </c>
      <c r="E126" s="363" t="s">
        <v>899</v>
      </c>
      <c r="F126" s="9"/>
      <c r="G126" s="373">
        <f t="shared" si="8"/>
        <v>40</v>
      </c>
      <c r="H126" s="373">
        <f t="shared" si="8"/>
        <v>40</v>
      </c>
      <c r="I126" s="222"/>
    </row>
    <row r="127" spans="1:9" ht="31.5" x14ac:dyDescent="0.25">
      <c r="A127" s="372" t="s">
        <v>146</v>
      </c>
      <c r="B127" s="366">
        <v>902</v>
      </c>
      <c r="C127" s="9" t="s">
        <v>133</v>
      </c>
      <c r="D127" s="9" t="s">
        <v>155</v>
      </c>
      <c r="E127" s="363" t="s">
        <v>899</v>
      </c>
      <c r="F127" s="9" t="s">
        <v>147</v>
      </c>
      <c r="G127" s="373">
        <f t="shared" si="8"/>
        <v>40</v>
      </c>
      <c r="H127" s="373">
        <f t="shared" si="8"/>
        <v>40</v>
      </c>
      <c r="I127" s="222"/>
    </row>
    <row r="128" spans="1:9" ht="31.5" x14ac:dyDescent="0.25">
      <c r="A128" s="372" t="s">
        <v>148</v>
      </c>
      <c r="B128" s="366">
        <v>902</v>
      </c>
      <c r="C128" s="9" t="s">
        <v>133</v>
      </c>
      <c r="D128" s="9" t="s">
        <v>155</v>
      </c>
      <c r="E128" s="363" t="s">
        <v>899</v>
      </c>
      <c r="F128" s="9" t="s">
        <v>149</v>
      </c>
      <c r="G128" s="373">
        <v>40</v>
      </c>
      <c r="H128" s="373">
        <v>40</v>
      </c>
      <c r="I128" s="222"/>
    </row>
    <row r="129" spans="1:9" ht="63" x14ac:dyDescent="0.25">
      <c r="A129" s="41" t="s">
        <v>1423</v>
      </c>
      <c r="B129" s="367">
        <v>902</v>
      </c>
      <c r="C129" s="8" t="s">
        <v>133</v>
      </c>
      <c r="D129" s="8" t="s">
        <v>155</v>
      </c>
      <c r="E129" s="210" t="s">
        <v>860</v>
      </c>
      <c r="F129" s="8"/>
      <c r="G129" s="369">
        <f>G131</f>
        <v>100</v>
      </c>
      <c r="H129" s="369">
        <f>H131</f>
        <v>100</v>
      </c>
      <c r="I129" s="222"/>
    </row>
    <row r="130" spans="1:9" ht="31.5" x14ac:dyDescent="0.25">
      <c r="A130" s="58" t="s">
        <v>900</v>
      </c>
      <c r="B130" s="367">
        <v>902</v>
      </c>
      <c r="C130" s="8" t="s">
        <v>133</v>
      </c>
      <c r="D130" s="8" t="s">
        <v>155</v>
      </c>
      <c r="E130" s="210" t="s">
        <v>908</v>
      </c>
      <c r="F130" s="8"/>
      <c r="G130" s="369">
        <f t="shared" ref="G130:H132" si="9">G131</f>
        <v>100</v>
      </c>
      <c r="H130" s="369">
        <f t="shared" si="9"/>
        <v>100</v>
      </c>
      <c r="I130" s="222"/>
    </row>
    <row r="131" spans="1:9" ht="15.75" x14ac:dyDescent="0.25">
      <c r="A131" s="45" t="s">
        <v>865</v>
      </c>
      <c r="B131" s="366">
        <v>902</v>
      </c>
      <c r="C131" s="9" t="s">
        <v>133</v>
      </c>
      <c r="D131" s="9" t="s">
        <v>155</v>
      </c>
      <c r="E131" s="363" t="s">
        <v>901</v>
      </c>
      <c r="F131" s="9"/>
      <c r="G131" s="373">
        <f t="shared" si="9"/>
        <v>100</v>
      </c>
      <c r="H131" s="373">
        <f t="shared" si="9"/>
        <v>100</v>
      </c>
      <c r="I131" s="222"/>
    </row>
    <row r="132" spans="1:9" ht="31.5" x14ac:dyDescent="0.25">
      <c r="A132" s="372" t="s">
        <v>146</v>
      </c>
      <c r="B132" s="366">
        <v>902</v>
      </c>
      <c r="C132" s="9" t="s">
        <v>133</v>
      </c>
      <c r="D132" s="9" t="s">
        <v>155</v>
      </c>
      <c r="E132" s="363" t="s">
        <v>901</v>
      </c>
      <c r="F132" s="9" t="s">
        <v>147</v>
      </c>
      <c r="G132" s="373">
        <f t="shared" si="9"/>
        <v>100</v>
      </c>
      <c r="H132" s="373">
        <f t="shared" si="9"/>
        <v>100</v>
      </c>
      <c r="I132" s="222"/>
    </row>
    <row r="133" spans="1:9" ht="31.5" x14ac:dyDescent="0.25">
      <c r="A133" s="372" t="s">
        <v>148</v>
      </c>
      <c r="B133" s="366">
        <v>902</v>
      </c>
      <c r="C133" s="9" t="s">
        <v>133</v>
      </c>
      <c r="D133" s="9" t="s">
        <v>155</v>
      </c>
      <c r="E133" s="363" t="s">
        <v>901</v>
      </c>
      <c r="F133" s="9" t="s">
        <v>149</v>
      </c>
      <c r="G133" s="373">
        <v>100</v>
      </c>
      <c r="H133" s="373">
        <v>100</v>
      </c>
      <c r="I133" s="222"/>
    </row>
    <row r="134" spans="1:9" ht="15.75" hidden="1" x14ac:dyDescent="0.25">
      <c r="A134" s="370" t="s">
        <v>227</v>
      </c>
      <c r="B134" s="367">
        <v>902</v>
      </c>
      <c r="C134" s="371" t="s">
        <v>228</v>
      </c>
      <c r="D134" s="371"/>
      <c r="E134" s="371"/>
      <c r="F134" s="371"/>
      <c r="G134" s="369">
        <f t="shared" ref="G134:H137" si="10">G135</f>
        <v>0</v>
      </c>
      <c r="H134" s="369">
        <f t="shared" si="10"/>
        <v>0</v>
      </c>
      <c r="I134" s="222"/>
    </row>
    <row r="135" spans="1:9" ht="15.75" hidden="1" x14ac:dyDescent="0.25">
      <c r="A135" s="370" t="s">
        <v>233</v>
      </c>
      <c r="B135" s="367">
        <v>902</v>
      </c>
      <c r="C135" s="371" t="s">
        <v>228</v>
      </c>
      <c r="D135" s="371" t="s">
        <v>234</v>
      </c>
      <c r="E135" s="371"/>
      <c r="F135" s="371"/>
      <c r="G135" s="369">
        <f t="shared" si="10"/>
        <v>0</v>
      </c>
      <c r="H135" s="369">
        <f t="shared" si="10"/>
        <v>0</v>
      </c>
      <c r="I135" s="222"/>
    </row>
    <row r="136" spans="1:9" ht="15.75" hidden="1" x14ac:dyDescent="0.25">
      <c r="A136" s="370" t="s">
        <v>156</v>
      </c>
      <c r="B136" s="367">
        <v>902</v>
      </c>
      <c r="C136" s="371" t="s">
        <v>228</v>
      </c>
      <c r="D136" s="371" t="s">
        <v>234</v>
      </c>
      <c r="E136" s="371" t="s">
        <v>910</v>
      </c>
      <c r="F136" s="371"/>
      <c r="G136" s="369">
        <f t="shared" si="10"/>
        <v>0</v>
      </c>
      <c r="H136" s="369">
        <f t="shared" si="10"/>
        <v>0</v>
      </c>
      <c r="I136" s="222"/>
    </row>
    <row r="137" spans="1:9" ht="31.5" hidden="1" x14ac:dyDescent="0.25">
      <c r="A137" s="370" t="s">
        <v>914</v>
      </c>
      <c r="B137" s="367">
        <v>902</v>
      </c>
      <c r="C137" s="371" t="s">
        <v>228</v>
      </c>
      <c r="D137" s="371" t="s">
        <v>234</v>
      </c>
      <c r="E137" s="371" t="s">
        <v>909</v>
      </c>
      <c r="F137" s="371"/>
      <c r="G137" s="369">
        <f t="shared" si="10"/>
        <v>0</v>
      </c>
      <c r="H137" s="369">
        <f t="shared" si="10"/>
        <v>0</v>
      </c>
      <c r="I137" s="222"/>
    </row>
    <row r="138" spans="1:9" ht="15.75" hidden="1" x14ac:dyDescent="0.25">
      <c r="A138" s="372" t="s">
        <v>235</v>
      </c>
      <c r="B138" s="366">
        <v>902</v>
      </c>
      <c r="C138" s="368" t="s">
        <v>228</v>
      </c>
      <c r="D138" s="368" t="s">
        <v>234</v>
      </c>
      <c r="E138" s="368" t="s">
        <v>915</v>
      </c>
      <c r="F138" s="368"/>
      <c r="G138" s="373">
        <f>'Пр.4 ведом.20'!G137</f>
        <v>0</v>
      </c>
      <c r="H138" s="373">
        <f t="shared" si="4"/>
        <v>0</v>
      </c>
      <c r="I138" s="222"/>
    </row>
    <row r="139" spans="1:9" ht="31.5" hidden="1" x14ac:dyDescent="0.25">
      <c r="A139" s="372" t="s">
        <v>213</v>
      </c>
      <c r="B139" s="366">
        <v>902</v>
      </c>
      <c r="C139" s="368" t="s">
        <v>228</v>
      </c>
      <c r="D139" s="368" t="s">
        <v>234</v>
      </c>
      <c r="E139" s="368" t="s">
        <v>915</v>
      </c>
      <c r="F139" s="368" t="s">
        <v>147</v>
      </c>
      <c r="G139" s="373">
        <f>'Пр.4 ведом.20'!G138</f>
        <v>0</v>
      </c>
      <c r="H139" s="373">
        <f t="shared" si="4"/>
        <v>0</v>
      </c>
      <c r="I139" s="222"/>
    </row>
    <row r="140" spans="1:9" ht="31.5" hidden="1" x14ac:dyDescent="0.25">
      <c r="A140" s="372" t="s">
        <v>148</v>
      </c>
      <c r="B140" s="366">
        <v>902</v>
      </c>
      <c r="C140" s="368" t="s">
        <v>228</v>
      </c>
      <c r="D140" s="368" t="s">
        <v>234</v>
      </c>
      <c r="E140" s="368" t="s">
        <v>915</v>
      </c>
      <c r="F140" s="368" t="s">
        <v>149</v>
      </c>
      <c r="G140" s="373">
        <f>'Пр.4 ведом.20'!G139</f>
        <v>0</v>
      </c>
      <c r="H140" s="373">
        <f t="shared" si="4"/>
        <v>0</v>
      </c>
      <c r="I140" s="222"/>
    </row>
    <row r="141" spans="1:9" ht="31.5" x14ac:dyDescent="0.25">
      <c r="A141" s="370" t="s">
        <v>237</v>
      </c>
      <c r="B141" s="367">
        <v>902</v>
      </c>
      <c r="C141" s="371" t="s">
        <v>230</v>
      </c>
      <c r="D141" s="371"/>
      <c r="E141" s="371"/>
      <c r="F141" s="371"/>
      <c r="G141" s="369">
        <f>G142</f>
        <v>7922</v>
      </c>
      <c r="H141" s="369">
        <f>H142</f>
        <v>7922</v>
      </c>
      <c r="I141" s="222"/>
    </row>
    <row r="142" spans="1:9" ht="47.25" x14ac:dyDescent="0.25">
      <c r="A142" s="370" t="s">
        <v>238</v>
      </c>
      <c r="B142" s="367">
        <v>902</v>
      </c>
      <c r="C142" s="371" t="s">
        <v>230</v>
      </c>
      <c r="D142" s="371" t="s">
        <v>234</v>
      </c>
      <c r="E142" s="368"/>
      <c r="F142" s="368"/>
      <c r="G142" s="369">
        <f>G143</f>
        <v>7922</v>
      </c>
      <c r="H142" s="369">
        <f>H143</f>
        <v>7922</v>
      </c>
      <c r="I142" s="222"/>
    </row>
    <row r="143" spans="1:9" ht="15.75" x14ac:dyDescent="0.25">
      <c r="A143" s="370" t="s">
        <v>156</v>
      </c>
      <c r="B143" s="367">
        <v>902</v>
      </c>
      <c r="C143" s="371" t="s">
        <v>230</v>
      </c>
      <c r="D143" s="371" t="s">
        <v>234</v>
      </c>
      <c r="E143" s="371" t="s">
        <v>910</v>
      </c>
      <c r="F143" s="371"/>
      <c r="G143" s="369">
        <f>G144+G151</f>
        <v>7922</v>
      </c>
      <c r="H143" s="369">
        <f>H144+H151</f>
        <v>7922</v>
      </c>
      <c r="I143" s="222"/>
    </row>
    <row r="144" spans="1:9" ht="31.5" x14ac:dyDescent="0.25">
      <c r="A144" s="370" t="s">
        <v>914</v>
      </c>
      <c r="B144" s="367">
        <v>902</v>
      </c>
      <c r="C144" s="371" t="s">
        <v>230</v>
      </c>
      <c r="D144" s="371" t="s">
        <v>234</v>
      </c>
      <c r="E144" s="371" t="s">
        <v>909</v>
      </c>
      <c r="F144" s="371"/>
      <c r="G144" s="369">
        <f>G145+G148</f>
        <v>1982</v>
      </c>
      <c r="H144" s="369">
        <f>H145+H148</f>
        <v>1982</v>
      </c>
      <c r="I144" s="222"/>
    </row>
    <row r="145" spans="1:13" ht="47.25" x14ac:dyDescent="0.25">
      <c r="A145" s="372" t="s">
        <v>239</v>
      </c>
      <c r="B145" s="366">
        <v>902</v>
      </c>
      <c r="C145" s="368" t="s">
        <v>230</v>
      </c>
      <c r="D145" s="368" t="s">
        <v>234</v>
      </c>
      <c r="E145" s="368" t="s">
        <v>919</v>
      </c>
      <c r="F145" s="368"/>
      <c r="G145" s="373">
        <f>G146</f>
        <v>1785</v>
      </c>
      <c r="H145" s="373">
        <f>H146</f>
        <v>1785</v>
      </c>
      <c r="I145" s="222"/>
    </row>
    <row r="146" spans="1:13" ht="31.5" x14ac:dyDescent="0.25">
      <c r="A146" s="372" t="s">
        <v>213</v>
      </c>
      <c r="B146" s="366">
        <v>902</v>
      </c>
      <c r="C146" s="368" t="s">
        <v>230</v>
      </c>
      <c r="D146" s="368" t="s">
        <v>234</v>
      </c>
      <c r="E146" s="368" t="s">
        <v>919</v>
      </c>
      <c r="F146" s="368" t="s">
        <v>147</v>
      </c>
      <c r="G146" s="373">
        <f>G147</f>
        <v>1785</v>
      </c>
      <c r="H146" s="373">
        <f>H147</f>
        <v>1785</v>
      </c>
      <c r="I146" s="222"/>
    </row>
    <row r="147" spans="1:13" ht="31.5" x14ac:dyDescent="0.25">
      <c r="A147" s="372" t="s">
        <v>148</v>
      </c>
      <c r="B147" s="366">
        <v>902</v>
      </c>
      <c r="C147" s="368" t="s">
        <v>230</v>
      </c>
      <c r="D147" s="368" t="s">
        <v>234</v>
      </c>
      <c r="E147" s="368" t="s">
        <v>919</v>
      </c>
      <c r="F147" s="368" t="s">
        <v>149</v>
      </c>
      <c r="G147" s="373">
        <f>1785</f>
        <v>1785</v>
      </c>
      <c r="H147" s="373">
        <f t="shared" si="4"/>
        <v>1785</v>
      </c>
      <c r="I147" s="222"/>
    </row>
    <row r="148" spans="1:13" ht="15.75" x14ac:dyDescent="0.25">
      <c r="A148" s="372" t="s">
        <v>245</v>
      </c>
      <c r="B148" s="366">
        <v>902</v>
      </c>
      <c r="C148" s="368" t="s">
        <v>230</v>
      </c>
      <c r="D148" s="368" t="s">
        <v>234</v>
      </c>
      <c r="E148" s="368" t="s">
        <v>920</v>
      </c>
      <c r="F148" s="368"/>
      <c r="G148" s="373">
        <f>G149</f>
        <v>197</v>
      </c>
      <c r="H148" s="373">
        <f>H149</f>
        <v>197</v>
      </c>
      <c r="I148" s="222"/>
    </row>
    <row r="149" spans="1:13" ht="31.5" x14ac:dyDescent="0.25">
      <c r="A149" s="372" t="s">
        <v>213</v>
      </c>
      <c r="B149" s="366">
        <v>902</v>
      </c>
      <c r="C149" s="368" t="s">
        <v>230</v>
      </c>
      <c r="D149" s="368" t="s">
        <v>234</v>
      </c>
      <c r="E149" s="368" t="s">
        <v>920</v>
      </c>
      <c r="F149" s="368" t="s">
        <v>147</v>
      </c>
      <c r="G149" s="373">
        <f>G150</f>
        <v>197</v>
      </c>
      <c r="H149" s="373">
        <f>H150</f>
        <v>197</v>
      </c>
      <c r="I149" s="222"/>
    </row>
    <row r="150" spans="1:13" ht="31.5" x14ac:dyDescent="0.25">
      <c r="A150" s="372" t="s">
        <v>148</v>
      </c>
      <c r="B150" s="366">
        <v>902</v>
      </c>
      <c r="C150" s="368" t="s">
        <v>230</v>
      </c>
      <c r="D150" s="368" t="s">
        <v>234</v>
      </c>
      <c r="E150" s="368" t="s">
        <v>920</v>
      </c>
      <c r="F150" s="368" t="s">
        <v>149</v>
      </c>
      <c r="G150" s="373">
        <f>197</f>
        <v>197</v>
      </c>
      <c r="H150" s="373">
        <f t="shared" ref="H150:H213" si="11">G150</f>
        <v>197</v>
      </c>
      <c r="I150" s="222"/>
    </row>
    <row r="151" spans="1:13" ht="31.5" x14ac:dyDescent="0.25">
      <c r="A151" s="370" t="s">
        <v>994</v>
      </c>
      <c r="B151" s="367">
        <v>902</v>
      </c>
      <c r="C151" s="371" t="s">
        <v>230</v>
      </c>
      <c r="D151" s="371" t="s">
        <v>234</v>
      </c>
      <c r="E151" s="371" t="s">
        <v>916</v>
      </c>
      <c r="F151" s="371"/>
      <c r="G151" s="369">
        <f>G152+G157</f>
        <v>5940</v>
      </c>
      <c r="H151" s="369">
        <f>H152+H157</f>
        <v>5940</v>
      </c>
      <c r="I151" s="222"/>
    </row>
    <row r="152" spans="1:13" ht="31.5" x14ac:dyDescent="0.25">
      <c r="A152" s="372" t="s">
        <v>998</v>
      </c>
      <c r="B152" s="366">
        <v>902</v>
      </c>
      <c r="C152" s="368" t="s">
        <v>230</v>
      </c>
      <c r="D152" s="368" t="s">
        <v>234</v>
      </c>
      <c r="E152" s="368" t="s">
        <v>917</v>
      </c>
      <c r="F152" s="368"/>
      <c r="G152" s="373">
        <f>G153+G155</f>
        <v>5688</v>
      </c>
      <c r="H152" s="373">
        <f>H153+H155</f>
        <v>5688</v>
      </c>
      <c r="I152" s="222"/>
    </row>
    <row r="153" spans="1:13" ht="78.75" x14ac:dyDescent="0.25">
      <c r="A153" s="372" t="s">
        <v>142</v>
      </c>
      <c r="B153" s="366">
        <v>902</v>
      </c>
      <c r="C153" s="368" t="s">
        <v>230</v>
      </c>
      <c r="D153" s="368" t="s">
        <v>234</v>
      </c>
      <c r="E153" s="368" t="s">
        <v>917</v>
      </c>
      <c r="F153" s="368" t="s">
        <v>143</v>
      </c>
      <c r="G153" s="373">
        <f>G154</f>
        <v>5525</v>
      </c>
      <c r="H153" s="373">
        <f t="shared" si="11"/>
        <v>5525</v>
      </c>
      <c r="I153" s="222"/>
    </row>
    <row r="154" spans="1:13" ht="15.75" x14ac:dyDescent="0.25">
      <c r="A154" s="372" t="s">
        <v>223</v>
      </c>
      <c r="B154" s="366">
        <v>902</v>
      </c>
      <c r="C154" s="368" t="s">
        <v>230</v>
      </c>
      <c r="D154" s="368" t="s">
        <v>234</v>
      </c>
      <c r="E154" s="368" t="s">
        <v>917</v>
      </c>
      <c r="F154" s="368" t="s">
        <v>224</v>
      </c>
      <c r="G154" s="373">
        <f>5525</f>
        <v>5525</v>
      </c>
      <c r="H154" s="373">
        <f t="shared" si="11"/>
        <v>5525</v>
      </c>
      <c r="I154" s="222"/>
    </row>
    <row r="155" spans="1:13" ht="31.5" x14ac:dyDescent="0.25">
      <c r="A155" s="372" t="s">
        <v>213</v>
      </c>
      <c r="B155" s="366">
        <v>902</v>
      </c>
      <c r="C155" s="368" t="s">
        <v>230</v>
      </c>
      <c r="D155" s="368" t="s">
        <v>234</v>
      </c>
      <c r="E155" s="368" t="s">
        <v>917</v>
      </c>
      <c r="F155" s="368" t="s">
        <v>147</v>
      </c>
      <c r="G155" s="373">
        <f>G156</f>
        <v>163</v>
      </c>
      <c r="H155" s="373">
        <f>H156</f>
        <v>163</v>
      </c>
      <c r="I155" s="222"/>
    </row>
    <row r="156" spans="1:13" ht="31.5" x14ac:dyDescent="0.25">
      <c r="A156" s="372" t="s">
        <v>148</v>
      </c>
      <c r="B156" s="366">
        <v>902</v>
      </c>
      <c r="C156" s="368" t="s">
        <v>230</v>
      </c>
      <c r="D156" s="368" t="s">
        <v>234</v>
      </c>
      <c r="E156" s="368" t="s">
        <v>917</v>
      </c>
      <c r="F156" s="368" t="s">
        <v>149</v>
      </c>
      <c r="G156" s="373">
        <f>163</f>
        <v>163</v>
      </c>
      <c r="H156" s="373">
        <f t="shared" si="11"/>
        <v>163</v>
      </c>
      <c r="I156" s="222"/>
    </row>
    <row r="157" spans="1:13" ht="47.25" x14ac:dyDescent="0.25">
      <c r="A157" s="372" t="s">
        <v>883</v>
      </c>
      <c r="B157" s="366">
        <v>902</v>
      </c>
      <c r="C157" s="368" t="s">
        <v>230</v>
      </c>
      <c r="D157" s="368" t="s">
        <v>234</v>
      </c>
      <c r="E157" s="368" t="s">
        <v>918</v>
      </c>
      <c r="F157" s="368"/>
      <c r="G157" s="373">
        <f>G158</f>
        <v>252</v>
      </c>
      <c r="H157" s="373">
        <f>H158</f>
        <v>252</v>
      </c>
      <c r="I157" s="222"/>
    </row>
    <row r="158" spans="1:13" ht="78.75" x14ac:dyDescent="0.25">
      <c r="A158" s="372" t="s">
        <v>142</v>
      </c>
      <c r="B158" s="366">
        <v>902</v>
      </c>
      <c r="C158" s="368" t="s">
        <v>230</v>
      </c>
      <c r="D158" s="368" t="s">
        <v>234</v>
      </c>
      <c r="E158" s="368" t="s">
        <v>918</v>
      </c>
      <c r="F158" s="368" t="s">
        <v>143</v>
      </c>
      <c r="G158" s="373">
        <f>G159</f>
        <v>252</v>
      </c>
      <c r="H158" s="373">
        <f>H159</f>
        <v>252</v>
      </c>
      <c r="I158" s="222"/>
    </row>
    <row r="159" spans="1:13" ht="19.5" customHeight="1" x14ac:dyDescent="0.25">
      <c r="A159" s="372" t="s">
        <v>223</v>
      </c>
      <c r="B159" s="366">
        <v>902</v>
      </c>
      <c r="C159" s="368" t="s">
        <v>230</v>
      </c>
      <c r="D159" s="368" t="s">
        <v>234</v>
      </c>
      <c r="E159" s="368" t="s">
        <v>918</v>
      </c>
      <c r="F159" s="368" t="s">
        <v>224</v>
      </c>
      <c r="G159" s="373">
        <f>252</f>
        <v>252</v>
      </c>
      <c r="H159" s="373">
        <f t="shared" si="11"/>
        <v>252</v>
      </c>
      <c r="I159" s="222"/>
    </row>
    <row r="160" spans="1:13" ht="15.75" x14ac:dyDescent="0.25">
      <c r="A160" s="370" t="s">
        <v>247</v>
      </c>
      <c r="B160" s="367">
        <v>902</v>
      </c>
      <c r="C160" s="371" t="s">
        <v>165</v>
      </c>
      <c r="D160" s="371"/>
      <c r="E160" s="371"/>
      <c r="F160" s="368"/>
      <c r="G160" s="369">
        <f>G174+G161</f>
        <v>594.79999999999995</v>
      </c>
      <c r="H160" s="369">
        <f>H174+H161</f>
        <v>594.79999999999995</v>
      </c>
      <c r="I160" s="222"/>
      <c r="M160" s="22"/>
    </row>
    <row r="161" spans="1:9" ht="15.75" x14ac:dyDescent="0.25">
      <c r="A161" s="370" t="s">
        <v>248</v>
      </c>
      <c r="B161" s="367">
        <v>902</v>
      </c>
      <c r="C161" s="371" t="s">
        <v>165</v>
      </c>
      <c r="D161" s="371" t="s">
        <v>249</v>
      </c>
      <c r="E161" s="371"/>
      <c r="F161" s="368"/>
      <c r="G161" s="369">
        <f>G162</f>
        <v>306</v>
      </c>
      <c r="H161" s="369">
        <f>H162</f>
        <v>306</v>
      </c>
      <c r="I161" s="222"/>
    </row>
    <row r="162" spans="1:9" ht="47.25" x14ac:dyDescent="0.25">
      <c r="A162" s="34" t="s">
        <v>196</v>
      </c>
      <c r="B162" s="367">
        <v>902</v>
      </c>
      <c r="C162" s="371" t="s">
        <v>165</v>
      </c>
      <c r="D162" s="371" t="s">
        <v>249</v>
      </c>
      <c r="E162" s="210" t="s">
        <v>197</v>
      </c>
      <c r="F162" s="250"/>
      <c r="G162" s="369">
        <f>G163+G170</f>
        <v>306</v>
      </c>
      <c r="H162" s="369">
        <f>H163+H170</f>
        <v>306</v>
      </c>
      <c r="I162" s="222"/>
    </row>
    <row r="163" spans="1:9" ht="31.5" x14ac:dyDescent="0.25">
      <c r="A163" s="34" t="s">
        <v>1157</v>
      </c>
      <c r="B163" s="367">
        <v>902</v>
      </c>
      <c r="C163" s="371" t="s">
        <v>165</v>
      </c>
      <c r="D163" s="371" t="s">
        <v>249</v>
      </c>
      <c r="E163" s="285" t="s">
        <v>921</v>
      </c>
      <c r="F163" s="250"/>
      <c r="G163" s="369">
        <f>G164+G167</f>
        <v>256</v>
      </c>
      <c r="H163" s="369">
        <f>H164+H167</f>
        <v>256</v>
      </c>
      <c r="I163" s="222"/>
    </row>
    <row r="164" spans="1:9" ht="15.75" x14ac:dyDescent="0.25">
      <c r="A164" s="372" t="s">
        <v>922</v>
      </c>
      <c r="B164" s="366">
        <v>902</v>
      </c>
      <c r="C164" s="368" t="s">
        <v>165</v>
      </c>
      <c r="D164" s="368" t="s">
        <v>249</v>
      </c>
      <c r="E164" s="368" t="s">
        <v>966</v>
      </c>
      <c r="F164" s="32"/>
      <c r="G164" s="373">
        <f>G165</f>
        <v>1</v>
      </c>
      <c r="H164" s="373">
        <f>H165</f>
        <v>1</v>
      </c>
      <c r="I164" s="222"/>
    </row>
    <row r="165" spans="1:9" ht="15.75" x14ac:dyDescent="0.25">
      <c r="A165" s="375" t="s">
        <v>150</v>
      </c>
      <c r="B165" s="366">
        <v>902</v>
      </c>
      <c r="C165" s="368" t="s">
        <v>165</v>
      </c>
      <c r="D165" s="368" t="s">
        <v>249</v>
      </c>
      <c r="E165" s="368" t="s">
        <v>966</v>
      </c>
      <c r="F165" s="32" t="s">
        <v>160</v>
      </c>
      <c r="G165" s="373">
        <f>G166</f>
        <v>1</v>
      </c>
      <c r="H165" s="373">
        <f>H166</f>
        <v>1</v>
      </c>
      <c r="I165" s="222"/>
    </row>
    <row r="166" spans="1:9" ht="47.25" x14ac:dyDescent="0.25">
      <c r="A166" s="375" t="s">
        <v>199</v>
      </c>
      <c r="B166" s="366">
        <v>902</v>
      </c>
      <c r="C166" s="368" t="s">
        <v>165</v>
      </c>
      <c r="D166" s="368" t="s">
        <v>249</v>
      </c>
      <c r="E166" s="368" t="s">
        <v>966</v>
      </c>
      <c r="F166" s="32" t="s">
        <v>175</v>
      </c>
      <c r="G166" s="373">
        <f>1</f>
        <v>1</v>
      </c>
      <c r="H166" s="373">
        <f t="shared" si="11"/>
        <v>1</v>
      </c>
      <c r="I166" s="222"/>
    </row>
    <row r="167" spans="1:9" ht="31.5" x14ac:dyDescent="0.25">
      <c r="A167" s="372" t="s">
        <v>250</v>
      </c>
      <c r="B167" s="366">
        <v>902</v>
      </c>
      <c r="C167" s="368" t="s">
        <v>165</v>
      </c>
      <c r="D167" s="368" t="s">
        <v>249</v>
      </c>
      <c r="E167" s="368" t="s">
        <v>925</v>
      </c>
      <c r="F167" s="368"/>
      <c r="G167" s="373">
        <f>G168</f>
        <v>255</v>
      </c>
      <c r="H167" s="373">
        <f>H168</f>
        <v>255</v>
      </c>
      <c r="I167" s="222"/>
    </row>
    <row r="168" spans="1:9" ht="15.75" x14ac:dyDescent="0.25">
      <c r="A168" s="372" t="s">
        <v>150</v>
      </c>
      <c r="B168" s="366">
        <v>902</v>
      </c>
      <c r="C168" s="368" t="s">
        <v>165</v>
      </c>
      <c r="D168" s="368" t="s">
        <v>249</v>
      </c>
      <c r="E168" s="368" t="s">
        <v>925</v>
      </c>
      <c r="F168" s="368" t="s">
        <v>160</v>
      </c>
      <c r="G168" s="373">
        <f>G169</f>
        <v>255</v>
      </c>
      <c r="H168" s="373">
        <f>H169</f>
        <v>255</v>
      </c>
      <c r="I168" s="222"/>
    </row>
    <row r="169" spans="1:9" ht="47.25" x14ac:dyDescent="0.25">
      <c r="A169" s="372" t="s">
        <v>199</v>
      </c>
      <c r="B169" s="366">
        <v>902</v>
      </c>
      <c r="C169" s="368" t="s">
        <v>165</v>
      </c>
      <c r="D169" s="368" t="s">
        <v>249</v>
      </c>
      <c r="E169" s="368" t="s">
        <v>925</v>
      </c>
      <c r="F169" s="368" t="s">
        <v>175</v>
      </c>
      <c r="G169" s="373">
        <f>255</f>
        <v>255</v>
      </c>
      <c r="H169" s="373">
        <f t="shared" si="11"/>
        <v>255</v>
      </c>
      <c r="I169" s="222"/>
    </row>
    <row r="170" spans="1:9" ht="47.25" x14ac:dyDescent="0.25">
      <c r="A170" s="241" t="s">
        <v>1158</v>
      </c>
      <c r="B170" s="367">
        <v>902</v>
      </c>
      <c r="C170" s="371" t="s">
        <v>165</v>
      </c>
      <c r="D170" s="371" t="s">
        <v>249</v>
      </c>
      <c r="E170" s="210" t="s">
        <v>924</v>
      </c>
      <c r="F170" s="250"/>
      <c r="G170" s="369">
        <f t="shared" ref="G170:H172" si="12">G171</f>
        <v>50</v>
      </c>
      <c r="H170" s="369">
        <f t="shared" si="12"/>
        <v>50</v>
      </c>
      <c r="I170" s="222"/>
    </row>
    <row r="171" spans="1:9" ht="15.75" x14ac:dyDescent="0.25">
      <c r="A171" s="372" t="s">
        <v>923</v>
      </c>
      <c r="B171" s="366">
        <v>902</v>
      </c>
      <c r="C171" s="368" t="s">
        <v>165</v>
      </c>
      <c r="D171" s="368" t="s">
        <v>249</v>
      </c>
      <c r="E171" s="363" t="s">
        <v>967</v>
      </c>
      <c r="F171" s="32"/>
      <c r="G171" s="373">
        <f t="shared" si="12"/>
        <v>50</v>
      </c>
      <c r="H171" s="373">
        <f t="shared" si="12"/>
        <v>50</v>
      </c>
      <c r="I171" s="222"/>
    </row>
    <row r="172" spans="1:9" ht="15.75" x14ac:dyDescent="0.25">
      <c r="A172" s="375" t="s">
        <v>150</v>
      </c>
      <c r="B172" s="366">
        <v>902</v>
      </c>
      <c r="C172" s="368" t="s">
        <v>165</v>
      </c>
      <c r="D172" s="368" t="s">
        <v>249</v>
      </c>
      <c r="E172" s="363" t="s">
        <v>967</v>
      </c>
      <c r="F172" s="32" t="s">
        <v>160</v>
      </c>
      <c r="G172" s="373">
        <f t="shared" si="12"/>
        <v>50</v>
      </c>
      <c r="H172" s="373">
        <f t="shared" si="12"/>
        <v>50</v>
      </c>
      <c r="I172" s="222"/>
    </row>
    <row r="173" spans="1:9" ht="47.25" x14ac:dyDescent="0.25">
      <c r="A173" s="375" t="s">
        <v>199</v>
      </c>
      <c r="B173" s="366">
        <v>902</v>
      </c>
      <c r="C173" s="368" t="s">
        <v>165</v>
      </c>
      <c r="D173" s="368" t="s">
        <v>249</v>
      </c>
      <c r="E173" s="363" t="s">
        <v>967</v>
      </c>
      <c r="F173" s="32" t="s">
        <v>175</v>
      </c>
      <c r="G173" s="373">
        <f>50</f>
        <v>50</v>
      </c>
      <c r="H173" s="373">
        <f t="shared" si="11"/>
        <v>50</v>
      </c>
      <c r="I173" s="222"/>
    </row>
    <row r="174" spans="1:9" ht="31.5" x14ac:dyDescent="0.25">
      <c r="A174" s="370" t="s">
        <v>252</v>
      </c>
      <c r="B174" s="367">
        <v>902</v>
      </c>
      <c r="C174" s="371" t="s">
        <v>165</v>
      </c>
      <c r="D174" s="371" t="s">
        <v>253</v>
      </c>
      <c r="E174" s="371"/>
      <c r="F174" s="371"/>
      <c r="G174" s="369">
        <f>G175+G182</f>
        <v>288.8</v>
      </c>
      <c r="H174" s="369">
        <f>H175+H182</f>
        <v>288.8</v>
      </c>
      <c r="I174" s="222"/>
    </row>
    <row r="175" spans="1:9" ht="31.5" x14ac:dyDescent="0.25">
      <c r="A175" s="370" t="s">
        <v>988</v>
      </c>
      <c r="B175" s="367">
        <v>902</v>
      </c>
      <c r="C175" s="371" t="s">
        <v>165</v>
      </c>
      <c r="D175" s="371" t="s">
        <v>253</v>
      </c>
      <c r="E175" s="371" t="s">
        <v>902</v>
      </c>
      <c r="F175" s="371"/>
      <c r="G175" s="369">
        <f>G176</f>
        <v>288.8</v>
      </c>
      <c r="H175" s="369">
        <f>H176</f>
        <v>288.8</v>
      </c>
      <c r="I175" s="222"/>
    </row>
    <row r="176" spans="1:9" ht="31.5" x14ac:dyDescent="0.25">
      <c r="A176" s="370" t="s">
        <v>930</v>
      </c>
      <c r="B176" s="367">
        <v>902</v>
      </c>
      <c r="C176" s="371" t="s">
        <v>165</v>
      </c>
      <c r="D176" s="371" t="s">
        <v>253</v>
      </c>
      <c r="E176" s="371" t="s">
        <v>907</v>
      </c>
      <c r="F176" s="371"/>
      <c r="G176" s="369">
        <f>G177+G187</f>
        <v>288.8</v>
      </c>
      <c r="H176" s="369">
        <f>H177+H187</f>
        <v>288.8</v>
      </c>
      <c r="I176" s="222"/>
    </row>
    <row r="177" spans="1:9" ht="63" x14ac:dyDescent="0.25">
      <c r="A177" s="31" t="s">
        <v>256</v>
      </c>
      <c r="B177" s="366">
        <v>902</v>
      </c>
      <c r="C177" s="368" t="s">
        <v>165</v>
      </c>
      <c r="D177" s="368" t="s">
        <v>253</v>
      </c>
      <c r="E177" s="368" t="s">
        <v>995</v>
      </c>
      <c r="F177" s="368"/>
      <c r="G177" s="373">
        <f>G178+G180</f>
        <v>288.8</v>
      </c>
      <c r="H177" s="373">
        <f>H178+H180</f>
        <v>288.8</v>
      </c>
      <c r="I177" s="222"/>
    </row>
    <row r="178" spans="1:9" ht="78.75" x14ac:dyDescent="0.25">
      <c r="A178" s="372" t="s">
        <v>142</v>
      </c>
      <c r="B178" s="366">
        <v>902</v>
      </c>
      <c r="C178" s="368" t="s">
        <v>165</v>
      </c>
      <c r="D178" s="368" t="s">
        <v>253</v>
      </c>
      <c r="E178" s="368" t="s">
        <v>995</v>
      </c>
      <c r="F178" s="368" t="s">
        <v>143</v>
      </c>
      <c r="G178" s="373">
        <f>G179</f>
        <v>187</v>
      </c>
      <c r="H178" s="373">
        <f>H179</f>
        <v>187</v>
      </c>
      <c r="I178" s="222"/>
    </row>
    <row r="179" spans="1:9" ht="31.5" x14ac:dyDescent="0.25">
      <c r="A179" s="372" t="s">
        <v>144</v>
      </c>
      <c r="B179" s="366">
        <v>902</v>
      </c>
      <c r="C179" s="368" t="s">
        <v>165</v>
      </c>
      <c r="D179" s="368" t="s">
        <v>253</v>
      </c>
      <c r="E179" s="368" t="s">
        <v>995</v>
      </c>
      <c r="F179" s="368" t="s">
        <v>145</v>
      </c>
      <c r="G179" s="373">
        <v>187</v>
      </c>
      <c r="H179" s="373">
        <f t="shared" si="11"/>
        <v>187</v>
      </c>
      <c r="I179" s="222"/>
    </row>
    <row r="180" spans="1:9" ht="31.5" x14ac:dyDescent="0.25">
      <c r="A180" s="372" t="s">
        <v>146</v>
      </c>
      <c r="B180" s="366">
        <v>902</v>
      </c>
      <c r="C180" s="368" t="s">
        <v>165</v>
      </c>
      <c r="D180" s="368" t="s">
        <v>253</v>
      </c>
      <c r="E180" s="368" t="s">
        <v>995</v>
      </c>
      <c r="F180" s="368" t="s">
        <v>147</v>
      </c>
      <c r="G180" s="373">
        <f>G181</f>
        <v>101.8</v>
      </c>
      <c r="H180" s="373">
        <f>H181</f>
        <v>101.8</v>
      </c>
      <c r="I180" s="222"/>
    </row>
    <row r="181" spans="1:9" ht="31.5" x14ac:dyDescent="0.25">
      <c r="A181" s="372" t="s">
        <v>148</v>
      </c>
      <c r="B181" s="366">
        <v>902</v>
      </c>
      <c r="C181" s="368" t="s">
        <v>165</v>
      </c>
      <c r="D181" s="368" t="s">
        <v>253</v>
      </c>
      <c r="E181" s="368" t="s">
        <v>995</v>
      </c>
      <c r="F181" s="368" t="s">
        <v>149</v>
      </c>
      <c r="G181" s="373">
        <v>101.8</v>
      </c>
      <c r="H181" s="373">
        <f t="shared" si="11"/>
        <v>101.8</v>
      </c>
      <c r="I181" s="222"/>
    </row>
    <row r="182" spans="1:9" ht="47.25" hidden="1" x14ac:dyDescent="0.25">
      <c r="A182" s="370" t="s">
        <v>1239</v>
      </c>
      <c r="B182" s="367">
        <v>902</v>
      </c>
      <c r="C182" s="371" t="s">
        <v>165</v>
      </c>
      <c r="D182" s="371" t="s">
        <v>253</v>
      </c>
      <c r="E182" s="371" t="s">
        <v>171</v>
      </c>
      <c r="F182" s="371"/>
      <c r="G182" s="369">
        <f>G183</f>
        <v>0</v>
      </c>
      <c r="H182" s="369">
        <f>H183</f>
        <v>0</v>
      </c>
      <c r="I182" s="222"/>
    </row>
    <row r="183" spans="1:9" ht="47.25" hidden="1" x14ac:dyDescent="0.25">
      <c r="A183" s="370" t="s">
        <v>1243</v>
      </c>
      <c r="B183" s="367">
        <v>902</v>
      </c>
      <c r="C183" s="371" t="s">
        <v>165</v>
      </c>
      <c r="D183" s="371" t="s">
        <v>253</v>
      </c>
      <c r="E183" s="371" t="s">
        <v>1240</v>
      </c>
      <c r="F183" s="371"/>
      <c r="G183" s="369">
        <f>G184+G187</f>
        <v>0</v>
      </c>
      <c r="H183" s="369">
        <f>H184+H187</f>
        <v>0</v>
      </c>
      <c r="I183" s="222"/>
    </row>
    <row r="184" spans="1:9" ht="31.5" hidden="1" x14ac:dyDescent="0.25">
      <c r="A184" s="372" t="s">
        <v>1244</v>
      </c>
      <c r="B184" s="366">
        <v>902</v>
      </c>
      <c r="C184" s="368" t="s">
        <v>165</v>
      </c>
      <c r="D184" s="368" t="s">
        <v>253</v>
      </c>
      <c r="E184" s="368" t="s">
        <v>1241</v>
      </c>
      <c r="F184" s="368"/>
      <c r="G184" s="373">
        <f>'Пр.4 ведом.20'!G183</f>
        <v>0</v>
      </c>
      <c r="H184" s="373">
        <f t="shared" si="11"/>
        <v>0</v>
      </c>
      <c r="I184" s="222"/>
    </row>
    <row r="185" spans="1:9" ht="15.75" hidden="1" x14ac:dyDescent="0.25">
      <c r="A185" s="372" t="s">
        <v>150</v>
      </c>
      <c r="B185" s="366">
        <v>902</v>
      </c>
      <c r="C185" s="368" t="s">
        <v>165</v>
      </c>
      <c r="D185" s="368" t="s">
        <v>253</v>
      </c>
      <c r="E185" s="368" t="s">
        <v>1241</v>
      </c>
      <c r="F185" s="368" t="s">
        <v>160</v>
      </c>
      <c r="G185" s="373">
        <f>'Пр.4 ведом.20'!G184</f>
        <v>0</v>
      </c>
      <c r="H185" s="373">
        <f t="shared" si="11"/>
        <v>0</v>
      </c>
      <c r="I185" s="222"/>
    </row>
    <row r="186" spans="1:9" ht="47.25" hidden="1" x14ac:dyDescent="0.25">
      <c r="A186" s="372" t="s">
        <v>199</v>
      </c>
      <c r="B186" s="366">
        <v>902</v>
      </c>
      <c r="C186" s="368" t="s">
        <v>165</v>
      </c>
      <c r="D186" s="368" t="s">
        <v>253</v>
      </c>
      <c r="E186" s="368" t="s">
        <v>1241</v>
      </c>
      <c r="F186" s="368" t="s">
        <v>175</v>
      </c>
      <c r="G186" s="373">
        <f>'Пр.4 ведом.20'!G185</f>
        <v>0</v>
      </c>
      <c r="H186" s="373">
        <f t="shared" si="11"/>
        <v>0</v>
      </c>
      <c r="I186" s="222"/>
    </row>
    <row r="187" spans="1:9" ht="31.5" hidden="1" x14ac:dyDescent="0.25">
      <c r="A187" s="372" t="s">
        <v>254</v>
      </c>
      <c r="B187" s="366">
        <v>902</v>
      </c>
      <c r="C187" s="368" t="s">
        <v>165</v>
      </c>
      <c r="D187" s="368" t="s">
        <v>253</v>
      </c>
      <c r="E187" s="368" t="s">
        <v>1242</v>
      </c>
      <c r="F187" s="371"/>
      <c r="G187" s="373">
        <f>'Пр.4 ведом.20'!G186</f>
        <v>0</v>
      </c>
      <c r="H187" s="373">
        <f t="shared" si="11"/>
        <v>0</v>
      </c>
      <c r="I187" s="222"/>
    </row>
    <row r="188" spans="1:9" ht="15.75" hidden="1" x14ac:dyDescent="0.25">
      <c r="A188" s="372" t="s">
        <v>150</v>
      </c>
      <c r="B188" s="366">
        <v>902</v>
      </c>
      <c r="C188" s="368" t="s">
        <v>165</v>
      </c>
      <c r="D188" s="368" t="s">
        <v>253</v>
      </c>
      <c r="E188" s="368" t="s">
        <v>1242</v>
      </c>
      <c r="F188" s="368" t="s">
        <v>160</v>
      </c>
      <c r="G188" s="373">
        <f>'Пр.4 ведом.20'!G187</f>
        <v>0</v>
      </c>
      <c r="H188" s="373">
        <f t="shared" si="11"/>
        <v>0</v>
      </c>
      <c r="I188" s="222"/>
    </row>
    <row r="189" spans="1:9" ht="47.25" hidden="1" x14ac:dyDescent="0.25">
      <c r="A189" s="372" t="s">
        <v>199</v>
      </c>
      <c r="B189" s="366">
        <v>902</v>
      </c>
      <c r="C189" s="368" t="s">
        <v>165</v>
      </c>
      <c r="D189" s="368" t="s">
        <v>253</v>
      </c>
      <c r="E189" s="368" t="s">
        <v>1242</v>
      </c>
      <c r="F189" s="368" t="s">
        <v>175</v>
      </c>
      <c r="G189" s="373">
        <f>'Пр.4 ведом.20'!G188</f>
        <v>0</v>
      </c>
      <c r="H189" s="373">
        <f t="shared" si="11"/>
        <v>0</v>
      </c>
      <c r="I189" s="222"/>
    </row>
    <row r="190" spans="1:9" ht="15.75" x14ac:dyDescent="0.25">
      <c r="A190" s="370" t="s">
        <v>258</v>
      </c>
      <c r="B190" s="367">
        <v>902</v>
      </c>
      <c r="C190" s="371" t="s">
        <v>259</v>
      </c>
      <c r="D190" s="371"/>
      <c r="E190" s="371"/>
      <c r="F190" s="371"/>
      <c r="G190" s="369">
        <f>G191+G197+G206</f>
        <v>18087.400000000001</v>
      </c>
      <c r="H190" s="369">
        <f>H191+H197+H206</f>
        <v>13087.4</v>
      </c>
      <c r="I190" s="222"/>
    </row>
    <row r="191" spans="1:9" ht="15.75" x14ac:dyDescent="0.25">
      <c r="A191" s="370" t="s">
        <v>260</v>
      </c>
      <c r="B191" s="367">
        <v>902</v>
      </c>
      <c r="C191" s="371" t="s">
        <v>259</v>
      </c>
      <c r="D191" s="371" t="s">
        <v>133</v>
      </c>
      <c r="E191" s="371"/>
      <c r="F191" s="371"/>
      <c r="G191" s="369">
        <f t="shared" ref="G191:H191" si="13">G192</f>
        <v>9456</v>
      </c>
      <c r="H191" s="369">
        <f t="shared" si="13"/>
        <v>9456</v>
      </c>
      <c r="I191" s="222"/>
    </row>
    <row r="192" spans="1:9" ht="15.75" x14ac:dyDescent="0.25">
      <c r="A192" s="370" t="s">
        <v>156</v>
      </c>
      <c r="B192" s="367">
        <v>902</v>
      </c>
      <c r="C192" s="371" t="s">
        <v>259</v>
      </c>
      <c r="D192" s="371" t="s">
        <v>133</v>
      </c>
      <c r="E192" s="371" t="s">
        <v>910</v>
      </c>
      <c r="F192" s="371"/>
      <c r="G192" s="369">
        <f t="shared" ref="G192:H195" si="14">G193</f>
        <v>9456</v>
      </c>
      <c r="H192" s="369">
        <f t="shared" si="14"/>
        <v>9456</v>
      </c>
      <c r="I192" s="222"/>
    </row>
    <row r="193" spans="1:9" ht="31.5" x14ac:dyDescent="0.25">
      <c r="A193" s="370" t="s">
        <v>914</v>
      </c>
      <c r="B193" s="367">
        <v>902</v>
      </c>
      <c r="C193" s="371" t="s">
        <v>259</v>
      </c>
      <c r="D193" s="371" t="s">
        <v>133</v>
      </c>
      <c r="E193" s="371" t="s">
        <v>909</v>
      </c>
      <c r="F193" s="371"/>
      <c r="G193" s="369">
        <f t="shared" si="14"/>
        <v>9456</v>
      </c>
      <c r="H193" s="369">
        <f t="shared" si="14"/>
        <v>9456</v>
      </c>
      <c r="I193" s="222"/>
    </row>
    <row r="194" spans="1:9" ht="15.75" x14ac:dyDescent="0.25">
      <c r="A194" s="372" t="s">
        <v>261</v>
      </c>
      <c r="B194" s="366">
        <v>902</v>
      </c>
      <c r="C194" s="368" t="s">
        <v>259</v>
      </c>
      <c r="D194" s="368" t="s">
        <v>133</v>
      </c>
      <c r="E194" s="368" t="s">
        <v>926</v>
      </c>
      <c r="F194" s="368"/>
      <c r="G194" s="373">
        <f t="shared" si="14"/>
        <v>9456</v>
      </c>
      <c r="H194" s="373">
        <f t="shared" si="14"/>
        <v>9456</v>
      </c>
      <c r="I194" s="222"/>
    </row>
    <row r="195" spans="1:9" ht="22.7" customHeight="1" x14ac:dyDescent="0.25">
      <c r="A195" s="372" t="s">
        <v>263</v>
      </c>
      <c r="B195" s="366">
        <v>902</v>
      </c>
      <c r="C195" s="368" t="s">
        <v>259</v>
      </c>
      <c r="D195" s="368" t="s">
        <v>133</v>
      </c>
      <c r="E195" s="368" t="s">
        <v>926</v>
      </c>
      <c r="F195" s="368" t="s">
        <v>264</v>
      </c>
      <c r="G195" s="373">
        <f t="shared" si="14"/>
        <v>9456</v>
      </c>
      <c r="H195" s="373">
        <f t="shared" si="14"/>
        <v>9456</v>
      </c>
      <c r="I195" s="222"/>
    </row>
    <row r="196" spans="1:9" ht="31.5" x14ac:dyDescent="0.25">
      <c r="A196" s="372" t="s">
        <v>265</v>
      </c>
      <c r="B196" s="366">
        <v>902</v>
      </c>
      <c r="C196" s="368" t="s">
        <v>259</v>
      </c>
      <c r="D196" s="368" t="s">
        <v>133</v>
      </c>
      <c r="E196" s="368" t="s">
        <v>926</v>
      </c>
      <c r="F196" s="368" t="s">
        <v>266</v>
      </c>
      <c r="G196" s="373">
        <f>9456</f>
        <v>9456</v>
      </c>
      <c r="H196" s="373">
        <f t="shared" si="11"/>
        <v>9456</v>
      </c>
      <c r="I196" s="222"/>
    </row>
    <row r="197" spans="1:9" ht="15.75" x14ac:dyDescent="0.25">
      <c r="A197" s="370" t="s">
        <v>267</v>
      </c>
      <c r="B197" s="367">
        <v>902</v>
      </c>
      <c r="C197" s="371" t="s">
        <v>259</v>
      </c>
      <c r="D197" s="371" t="s">
        <v>230</v>
      </c>
      <c r="E197" s="368"/>
      <c r="F197" s="368"/>
      <c r="G197" s="369">
        <f>G198</f>
        <v>5010</v>
      </c>
      <c r="H197" s="369">
        <f>H198</f>
        <v>10</v>
      </c>
      <c r="I197" s="222"/>
    </row>
    <row r="198" spans="1:9" ht="78.75" x14ac:dyDescent="0.25">
      <c r="A198" s="370" t="s">
        <v>268</v>
      </c>
      <c r="B198" s="367">
        <v>902</v>
      </c>
      <c r="C198" s="371" t="s">
        <v>259</v>
      </c>
      <c r="D198" s="371" t="s">
        <v>230</v>
      </c>
      <c r="E198" s="371" t="s">
        <v>269</v>
      </c>
      <c r="F198" s="371"/>
      <c r="G198" s="369">
        <f>G199</f>
        <v>5010</v>
      </c>
      <c r="H198" s="369">
        <f>H199</f>
        <v>10</v>
      </c>
      <c r="I198" s="222"/>
    </row>
    <row r="199" spans="1:9" ht="47.25" x14ac:dyDescent="0.25">
      <c r="A199" s="370" t="s">
        <v>929</v>
      </c>
      <c r="B199" s="367">
        <v>902</v>
      </c>
      <c r="C199" s="371" t="s">
        <v>259</v>
      </c>
      <c r="D199" s="371" t="s">
        <v>230</v>
      </c>
      <c r="E199" s="371" t="s">
        <v>927</v>
      </c>
      <c r="F199" s="371"/>
      <c r="G199" s="369">
        <f>G200+G203</f>
        <v>5010</v>
      </c>
      <c r="H199" s="369">
        <f>H200+H203</f>
        <v>10</v>
      </c>
      <c r="I199" s="222"/>
    </row>
    <row r="200" spans="1:9" ht="31.5" x14ac:dyDescent="0.25">
      <c r="A200" s="372" t="s">
        <v>928</v>
      </c>
      <c r="B200" s="366">
        <v>902</v>
      </c>
      <c r="C200" s="368" t="s">
        <v>259</v>
      </c>
      <c r="D200" s="368" t="s">
        <v>230</v>
      </c>
      <c r="E200" s="368" t="s">
        <v>1474</v>
      </c>
      <c r="F200" s="368"/>
      <c r="G200" s="373">
        <f>G201</f>
        <v>10</v>
      </c>
      <c r="H200" s="373">
        <f>H201</f>
        <v>10</v>
      </c>
      <c r="I200" s="222"/>
    </row>
    <row r="201" spans="1:9" ht="19.5" customHeight="1" x14ac:dyDescent="0.25">
      <c r="A201" s="372" t="s">
        <v>263</v>
      </c>
      <c r="B201" s="366">
        <v>902</v>
      </c>
      <c r="C201" s="368" t="s">
        <v>259</v>
      </c>
      <c r="D201" s="368" t="s">
        <v>230</v>
      </c>
      <c r="E201" s="368" t="s">
        <v>1474</v>
      </c>
      <c r="F201" s="368" t="s">
        <v>264</v>
      </c>
      <c r="G201" s="373">
        <f>G202</f>
        <v>10</v>
      </c>
      <c r="H201" s="373">
        <f>H202</f>
        <v>10</v>
      </c>
      <c r="I201" s="222"/>
    </row>
    <row r="202" spans="1:9" ht="31.5" x14ac:dyDescent="0.25">
      <c r="A202" s="372" t="s">
        <v>265</v>
      </c>
      <c r="B202" s="366">
        <v>902</v>
      </c>
      <c r="C202" s="368" t="s">
        <v>259</v>
      </c>
      <c r="D202" s="368" t="s">
        <v>230</v>
      </c>
      <c r="E202" s="368" t="s">
        <v>1474</v>
      </c>
      <c r="F202" s="368" t="s">
        <v>266</v>
      </c>
      <c r="G202" s="373">
        <f>10</f>
        <v>10</v>
      </c>
      <c r="H202" s="373">
        <f t="shared" si="11"/>
        <v>10</v>
      </c>
      <c r="I202" s="222"/>
    </row>
    <row r="203" spans="1:9" s="221" customFormat="1" ht="63" x14ac:dyDescent="0.25">
      <c r="A203" s="372" t="s">
        <v>1473</v>
      </c>
      <c r="B203" s="366">
        <v>902</v>
      </c>
      <c r="C203" s="368" t="s">
        <v>259</v>
      </c>
      <c r="D203" s="368" t="s">
        <v>230</v>
      </c>
      <c r="E203" s="368" t="s">
        <v>1421</v>
      </c>
      <c r="F203" s="368"/>
      <c r="G203" s="373">
        <f>G204</f>
        <v>5000</v>
      </c>
      <c r="H203" s="373">
        <f>H204</f>
        <v>0</v>
      </c>
      <c r="I203" s="222"/>
    </row>
    <row r="204" spans="1:9" s="221" customFormat="1" ht="20.25" customHeight="1" x14ac:dyDescent="0.25">
      <c r="A204" s="372" t="s">
        <v>263</v>
      </c>
      <c r="B204" s="366">
        <v>902</v>
      </c>
      <c r="C204" s="368" t="s">
        <v>259</v>
      </c>
      <c r="D204" s="368" t="s">
        <v>230</v>
      </c>
      <c r="E204" s="368" t="s">
        <v>1421</v>
      </c>
      <c r="F204" s="368" t="s">
        <v>264</v>
      </c>
      <c r="G204" s="373">
        <f>G205</f>
        <v>5000</v>
      </c>
      <c r="H204" s="373">
        <f>H205</f>
        <v>0</v>
      </c>
      <c r="I204" s="222"/>
    </row>
    <row r="205" spans="1:9" s="221" customFormat="1" ht="31.5" x14ac:dyDescent="0.25">
      <c r="A205" s="372" t="s">
        <v>265</v>
      </c>
      <c r="B205" s="366">
        <v>902</v>
      </c>
      <c r="C205" s="368" t="s">
        <v>259</v>
      </c>
      <c r="D205" s="368" t="s">
        <v>230</v>
      </c>
      <c r="E205" s="368" t="s">
        <v>1421</v>
      </c>
      <c r="F205" s="368" t="s">
        <v>266</v>
      </c>
      <c r="G205" s="373">
        <v>5000</v>
      </c>
      <c r="H205" s="373">
        <v>0</v>
      </c>
      <c r="I205" s="222"/>
    </row>
    <row r="206" spans="1:9" ht="15.75" x14ac:dyDescent="0.25">
      <c r="A206" s="370" t="s">
        <v>273</v>
      </c>
      <c r="B206" s="367">
        <v>902</v>
      </c>
      <c r="C206" s="371" t="s">
        <v>259</v>
      </c>
      <c r="D206" s="371" t="s">
        <v>135</v>
      </c>
      <c r="E206" s="371"/>
      <c r="F206" s="371"/>
      <c r="G206" s="369">
        <f t="shared" ref="G206:H208" si="15">G207</f>
        <v>3621.4</v>
      </c>
      <c r="H206" s="369">
        <f t="shared" si="15"/>
        <v>3621.4</v>
      </c>
      <c r="I206" s="222"/>
    </row>
    <row r="207" spans="1:9" ht="31.5" x14ac:dyDescent="0.25">
      <c r="A207" s="370" t="s">
        <v>988</v>
      </c>
      <c r="B207" s="367">
        <v>902</v>
      </c>
      <c r="C207" s="371" t="s">
        <v>259</v>
      </c>
      <c r="D207" s="371" t="s">
        <v>135</v>
      </c>
      <c r="E207" s="371" t="s">
        <v>902</v>
      </c>
      <c r="F207" s="371"/>
      <c r="G207" s="369">
        <f t="shared" si="15"/>
        <v>3621.4</v>
      </c>
      <c r="H207" s="369">
        <f t="shared" si="15"/>
        <v>3621.4</v>
      </c>
      <c r="I207" s="222"/>
    </row>
    <row r="208" spans="1:9" ht="31.5" x14ac:dyDescent="0.25">
      <c r="A208" s="370" t="s">
        <v>930</v>
      </c>
      <c r="B208" s="367">
        <v>902</v>
      </c>
      <c r="C208" s="371" t="s">
        <v>259</v>
      </c>
      <c r="D208" s="371" t="s">
        <v>135</v>
      </c>
      <c r="E208" s="371" t="s">
        <v>907</v>
      </c>
      <c r="F208" s="371"/>
      <c r="G208" s="369">
        <f t="shared" si="15"/>
        <v>3621.4</v>
      </c>
      <c r="H208" s="369">
        <f t="shared" si="15"/>
        <v>3621.4</v>
      </c>
      <c r="I208" s="222"/>
    </row>
    <row r="209" spans="1:9" ht="47.25" x14ac:dyDescent="0.25">
      <c r="A209" s="31" t="s">
        <v>274</v>
      </c>
      <c r="B209" s="366">
        <v>902</v>
      </c>
      <c r="C209" s="368" t="s">
        <v>259</v>
      </c>
      <c r="D209" s="368" t="s">
        <v>135</v>
      </c>
      <c r="E209" s="368" t="s">
        <v>996</v>
      </c>
      <c r="F209" s="368"/>
      <c r="G209" s="373">
        <f>G210+G212</f>
        <v>3621.4</v>
      </c>
      <c r="H209" s="373">
        <f>H210+H212</f>
        <v>3621.4</v>
      </c>
      <c r="I209" s="222"/>
    </row>
    <row r="210" spans="1:9" ht="78.75" x14ac:dyDescent="0.25">
      <c r="A210" s="372" t="s">
        <v>142</v>
      </c>
      <c r="B210" s="366">
        <v>902</v>
      </c>
      <c r="C210" s="368" t="s">
        <v>259</v>
      </c>
      <c r="D210" s="368" t="s">
        <v>135</v>
      </c>
      <c r="E210" s="368" t="s">
        <v>996</v>
      </c>
      <c r="F210" s="368" t="s">
        <v>143</v>
      </c>
      <c r="G210" s="373">
        <f>G211</f>
        <v>3353.3</v>
      </c>
      <c r="H210" s="373">
        <f>H211</f>
        <v>3353.3</v>
      </c>
      <c r="I210" s="222"/>
    </row>
    <row r="211" spans="1:9" ht="31.5" x14ac:dyDescent="0.25">
      <c r="A211" s="372" t="s">
        <v>144</v>
      </c>
      <c r="B211" s="366">
        <v>902</v>
      </c>
      <c r="C211" s="368" t="s">
        <v>259</v>
      </c>
      <c r="D211" s="368" t="s">
        <v>135</v>
      </c>
      <c r="E211" s="368" t="s">
        <v>996</v>
      </c>
      <c r="F211" s="368" t="s">
        <v>145</v>
      </c>
      <c r="G211" s="373">
        <f>3353.3</f>
        <v>3353.3</v>
      </c>
      <c r="H211" s="373">
        <f t="shared" si="11"/>
        <v>3353.3</v>
      </c>
      <c r="I211" s="222"/>
    </row>
    <row r="212" spans="1:9" ht="31.5" x14ac:dyDescent="0.25">
      <c r="A212" s="372" t="s">
        <v>146</v>
      </c>
      <c r="B212" s="366">
        <v>902</v>
      </c>
      <c r="C212" s="368" t="s">
        <v>259</v>
      </c>
      <c r="D212" s="368" t="s">
        <v>135</v>
      </c>
      <c r="E212" s="368" t="s">
        <v>996</v>
      </c>
      <c r="F212" s="368" t="s">
        <v>147</v>
      </c>
      <c r="G212" s="373">
        <f>G213</f>
        <v>268.10000000000002</v>
      </c>
      <c r="H212" s="373">
        <f>H213</f>
        <v>268.10000000000002</v>
      </c>
      <c r="I212" s="222"/>
    </row>
    <row r="213" spans="1:9" ht="31.5" x14ac:dyDescent="0.25">
      <c r="A213" s="372" t="s">
        <v>148</v>
      </c>
      <c r="B213" s="366">
        <v>902</v>
      </c>
      <c r="C213" s="368" t="s">
        <v>259</v>
      </c>
      <c r="D213" s="368" t="s">
        <v>135</v>
      </c>
      <c r="E213" s="368" t="s">
        <v>996</v>
      </c>
      <c r="F213" s="368" t="s">
        <v>149</v>
      </c>
      <c r="G213" s="373">
        <f>268.1</f>
        <v>268.10000000000002</v>
      </c>
      <c r="H213" s="373">
        <f t="shared" si="11"/>
        <v>268.10000000000002</v>
      </c>
      <c r="I213" s="222"/>
    </row>
    <row r="214" spans="1:9" ht="47.25" x14ac:dyDescent="0.25">
      <c r="A214" s="367" t="s">
        <v>276</v>
      </c>
      <c r="B214" s="367">
        <v>903</v>
      </c>
      <c r="C214" s="368"/>
      <c r="D214" s="368"/>
      <c r="E214" s="368"/>
      <c r="F214" s="368"/>
      <c r="G214" s="369">
        <f>G277+G341+G444+G215+G248+G473</f>
        <v>95886.212</v>
      </c>
      <c r="H214" s="369">
        <f>H277+H341+H444+H215+H248+H473</f>
        <v>93500.599999999991</v>
      </c>
      <c r="I214" s="222"/>
    </row>
    <row r="215" spans="1:9" ht="15.75" x14ac:dyDescent="0.25">
      <c r="A215" s="370" t="s">
        <v>132</v>
      </c>
      <c r="B215" s="367">
        <v>903</v>
      </c>
      <c r="C215" s="371" t="s">
        <v>133</v>
      </c>
      <c r="D215" s="368"/>
      <c r="E215" s="368"/>
      <c r="F215" s="368"/>
      <c r="G215" s="369">
        <f>G216</f>
        <v>120</v>
      </c>
      <c r="H215" s="369">
        <f>H216</f>
        <v>120</v>
      </c>
      <c r="I215" s="222"/>
    </row>
    <row r="216" spans="1:9" ht="15.75" x14ac:dyDescent="0.25">
      <c r="A216" s="370" t="s">
        <v>154</v>
      </c>
      <c r="B216" s="367">
        <v>903</v>
      </c>
      <c r="C216" s="371" t="s">
        <v>133</v>
      </c>
      <c r="D216" s="371" t="s">
        <v>155</v>
      </c>
      <c r="E216" s="368"/>
      <c r="F216" s="368"/>
      <c r="G216" s="369">
        <f>G217+G226+G243</f>
        <v>120</v>
      </c>
      <c r="H216" s="369">
        <f>H217+H226+H243</f>
        <v>120</v>
      </c>
      <c r="I216" s="222"/>
    </row>
    <row r="217" spans="1:9" ht="47.25" x14ac:dyDescent="0.25">
      <c r="A217" s="370" t="s">
        <v>1427</v>
      </c>
      <c r="B217" s="367">
        <v>903</v>
      </c>
      <c r="C217" s="8" t="s">
        <v>133</v>
      </c>
      <c r="D217" s="8" t="s">
        <v>155</v>
      </c>
      <c r="E217" s="210" t="s">
        <v>359</v>
      </c>
      <c r="F217" s="8"/>
      <c r="G217" s="369">
        <f>G218</f>
        <v>60</v>
      </c>
      <c r="H217" s="369">
        <f>H218</f>
        <v>60</v>
      </c>
      <c r="I217" s="222"/>
    </row>
    <row r="218" spans="1:9" ht="94.5" x14ac:dyDescent="0.25">
      <c r="A218" s="41" t="s">
        <v>395</v>
      </c>
      <c r="B218" s="367">
        <v>903</v>
      </c>
      <c r="C218" s="364" t="s">
        <v>133</v>
      </c>
      <c r="D218" s="364" t="s">
        <v>155</v>
      </c>
      <c r="E218" s="364" t="s">
        <v>396</v>
      </c>
      <c r="F218" s="364"/>
      <c r="G218" s="369">
        <f>G219</f>
        <v>60</v>
      </c>
      <c r="H218" s="369">
        <f>H219</f>
        <v>60</v>
      </c>
      <c r="I218" s="222"/>
    </row>
    <row r="219" spans="1:9" ht="63" x14ac:dyDescent="0.25">
      <c r="A219" s="284" t="s">
        <v>1219</v>
      </c>
      <c r="B219" s="367">
        <v>903</v>
      </c>
      <c r="C219" s="364" t="s">
        <v>133</v>
      </c>
      <c r="D219" s="364" t="s">
        <v>155</v>
      </c>
      <c r="E219" s="364" t="s">
        <v>931</v>
      </c>
      <c r="F219" s="364"/>
      <c r="G219" s="369">
        <f>G220+G223</f>
        <v>60</v>
      </c>
      <c r="H219" s="369">
        <f>H220+H223</f>
        <v>60</v>
      </c>
      <c r="I219" s="222"/>
    </row>
    <row r="220" spans="1:9" ht="31.5" x14ac:dyDescent="0.25">
      <c r="A220" s="99" t="s">
        <v>1220</v>
      </c>
      <c r="B220" s="366">
        <v>903</v>
      </c>
      <c r="C220" s="376" t="s">
        <v>133</v>
      </c>
      <c r="D220" s="376" t="s">
        <v>155</v>
      </c>
      <c r="E220" s="376" t="s">
        <v>932</v>
      </c>
      <c r="F220" s="376"/>
      <c r="G220" s="373">
        <f>G221</f>
        <v>60</v>
      </c>
      <c r="H220" s="373">
        <f>H221</f>
        <v>60</v>
      </c>
      <c r="I220" s="222"/>
    </row>
    <row r="221" spans="1:9" ht="31.5" x14ac:dyDescent="0.25">
      <c r="A221" s="375" t="s">
        <v>146</v>
      </c>
      <c r="B221" s="366">
        <v>903</v>
      </c>
      <c r="C221" s="376" t="s">
        <v>133</v>
      </c>
      <c r="D221" s="376" t="s">
        <v>155</v>
      </c>
      <c r="E221" s="376" t="s">
        <v>932</v>
      </c>
      <c r="F221" s="376" t="s">
        <v>147</v>
      </c>
      <c r="G221" s="373">
        <f>G222</f>
        <v>60</v>
      </c>
      <c r="H221" s="373">
        <f>H222</f>
        <v>60</v>
      </c>
      <c r="I221" s="222"/>
    </row>
    <row r="222" spans="1:9" ht="31.5" x14ac:dyDescent="0.25">
      <c r="A222" s="375" t="s">
        <v>148</v>
      </c>
      <c r="B222" s="366">
        <v>903</v>
      </c>
      <c r="C222" s="376" t="s">
        <v>133</v>
      </c>
      <c r="D222" s="376" t="s">
        <v>155</v>
      </c>
      <c r="E222" s="376" t="s">
        <v>932</v>
      </c>
      <c r="F222" s="376" t="s">
        <v>149</v>
      </c>
      <c r="G222" s="373">
        <f>60</f>
        <v>60</v>
      </c>
      <c r="H222" s="373">
        <f t="shared" ref="H222:H284" si="16">G222</f>
        <v>60</v>
      </c>
      <c r="I222" s="222"/>
    </row>
    <row r="223" spans="1:9" ht="47.25" hidden="1" x14ac:dyDescent="0.25">
      <c r="A223" s="35" t="s">
        <v>934</v>
      </c>
      <c r="B223" s="366">
        <v>903</v>
      </c>
      <c r="C223" s="368" t="s">
        <v>133</v>
      </c>
      <c r="D223" s="368" t="s">
        <v>155</v>
      </c>
      <c r="E223" s="368" t="s">
        <v>933</v>
      </c>
      <c r="F223" s="371"/>
      <c r="G223" s="373">
        <f>'Пр.4 ведом.20'!G219</f>
        <v>0</v>
      </c>
      <c r="H223" s="373">
        <f t="shared" si="16"/>
        <v>0</v>
      </c>
      <c r="I223" s="222"/>
    </row>
    <row r="224" spans="1:9" ht="31.5" hidden="1" x14ac:dyDescent="0.25">
      <c r="A224" s="372" t="s">
        <v>146</v>
      </c>
      <c r="B224" s="366">
        <v>903</v>
      </c>
      <c r="C224" s="368" t="s">
        <v>133</v>
      </c>
      <c r="D224" s="368" t="s">
        <v>155</v>
      </c>
      <c r="E224" s="368" t="s">
        <v>933</v>
      </c>
      <c r="F224" s="368" t="s">
        <v>147</v>
      </c>
      <c r="G224" s="373">
        <f>'Пр.4 ведом.20'!G220</f>
        <v>0</v>
      </c>
      <c r="H224" s="373">
        <f t="shared" si="16"/>
        <v>0</v>
      </c>
      <c r="I224" s="222"/>
    </row>
    <row r="225" spans="1:9" ht="31.5" hidden="1" x14ac:dyDescent="0.25">
      <c r="A225" s="372" t="s">
        <v>148</v>
      </c>
      <c r="B225" s="366">
        <v>903</v>
      </c>
      <c r="C225" s="368" t="s">
        <v>133</v>
      </c>
      <c r="D225" s="368" t="s">
        <v>155</v>
      </c>
      <c r="E225" s="368" t="s">
        <v>933</v>
      </c>
      <c r="F225" s="368" t="s">
        <v>149</v>
      </c>
      <c r="G225" s="373">
        <f>'Пр.4 ведом.20'!G221</f>
        <v>0</v>
      </c>
      <c r="H225" s="373">
        <f t="shared" si="16"/>
        <v>0</v>
      </c>
      <c r="I225" s="222"/>
    </row>
    <row r="226" spans="1:9" ht="47.25" x14ac:dyDescent="0.25">
      <c r="A226" s="370" t="s">
        <v>1428</v>
      </c>
      <c r="B226" s="367">
        <v>903</v>
      </c>
      <c r="C226" s="371" t="s">
        <v>133</v>
      </c>
      <c r="D226" s="371" t="s">
        <v>155</v>
      </c>
      <c r="E226" s="371" t="s">
        <v>350</v>
      </c>
      <c r="F226" s="371"/>
      <c r="G226" s="369">
        <f>G227</f>
        <v>55</v>
      </c>
      <c r="H226" s="369">
        <f>H227</f>
        <v>55</v>
      </c>
      <c r="I226" s="222"/>
    </row>
    <row r="227" spans="1:9" ht="31.5" x14ac:dyDescent="0.25">
      <c r="A227" s="370" t="s">
        <v>1225</v>
      </c>
      <c r="B227" s="367">
        <v>903</v>
      </c>
      <c r="C227" s="371" t="s">
        <v>133</v>
      </c>
      <c r="D227" s="371" t="s">
        <v>155</v>
      </c>
      <c r="E227" s="371" t="s">
        <v>1226</v>
      </c>
      <c r="F227" s="371"/>
      <c r="G227" s="369">
        <f>G228+G231+G234+G237+G240</f>
        <v>55</v>
      </c>
      <c r="H227" s="369">
        <f>H228+H231+H234+H237+H240</f>
        <v>55</v>
      </c>
      <c r="I227" s="222"/>
    </row>
    <row r="228" spans="1:9" ht="31.5" hidden="1" x14ac:dyDescent="0.25">
      <c r="A228" s="98" t="s">
        <v>351</v>
      </c>
      <c r="B228" s="366">
        <v>903</v>
      </c>
      <c r="C228" s="368" t="s">
        <v>133</v>
      </c>
      <c r="D228" s="368" t="s">
        <v>155</v>
      </c>
      <c r="E228" s="368" t="s">
        <v>1227</v>
      </c>
      <c r="F228" s="368"/>
      <c r="G228" s="373">
        <f>'Пр.4 ведом.20'!G224</f>
        <v>0</v>
      </c>
      <c r="H228" s="373">
        <f t="shared" si="16"/>
        <v>0</v>
      </c>
      <c r="I228" s="222"/>
    </row>
    <row r="229" spans="1:9" ht="31.5" hidden="1" x14ac:dyDescent="0.25">
      <c r="A229" s="372" t="s">
        <v>146</v>
      </c>
      <c r="B229" s="366">
        <v>903</v>
      </c>
      <c r="C229" s="368" t="s">
        <v>133</v>
      </c>
      <c r="D229" s="368" t="s">
        <v>155</v>
      </c>
      <c r="E229" s="368" t="s">
        <v>1227</v>
      </c>
      <c r="F229" s="368" t="s">
        <v>147</v>
      </c>
      <c r="G229" s="373">
        <f>'Пр.4 ведом.20'!G225</f>
        <v>0</v>
      </c>
      <c r="H229" s="373">
        <f t="shared" si="16"/>
        <v>0</v>
      </c>
      <c r="I229" s="222"/>
    </row>
    <row r="230" spans="1:9" ht="31.5" hidden="1" x14ac:dyDescent="0.25">
      <c r="A230" s="372" t="s">
        <v>148</v>
      </c>
      <c r="B230" s="366">
        <v>903</v>
      </c>
      <c r="C230" s="368" t="s">
        <v>133</v>
      </c>
      <c r="D230" s="368" t="s">
        <v>155</v>
      </c>
      <c r="E230" s="368" t="s">
        <v>1227</v>
      </c>
      <c r="F230" s="368" t="s">
        <v>149</v>
      </c>
      <c r="G230" s="373">
        <f>'Пр.4 ведом.20'!G226</f>
        <v>0</v>
      </c>
      <c r="H230" s="373">
        <f t="shared" si="16"/>
        <v>0</v>
      </c>
      <c r="I230" s="222"/>
    </row>
    <row r="231" spans="1:9" ht="31.5" x14ac:dyDescent="0.25">
      <c r="A231" s="372" t="s">
        <v>353</v>
      </c>
      <c r="B231" s="366">
        <v>903</v>
      </c>
      <c r="C231" s="368" t="s">
        <v>133</v>
      </c>
      <c r="D231" s="368" t="s">
        <v>155</v>
      </c>
      <c r="E231" s="368" t="s">
        <v>1228</v>
      </c>
      <c r="F231" s="368"/>
      <c r="G231" s="373">
        <f>G232</f>
        <v>25</v>
      </c>
      <c r="H231" s="373">
        <f t="shared" si="16"/>
        <v>25</v>
      </c>
      <c r="I231" s="222"/>
    </row>
    <row r="232" spans="1:9" ht="31.5" x14ac:dyDescent="0.25">
      <c r="A232" s="372" t="s">
        <v>146</v>
      </c>
      <c r="B232" s="366">
        <v>903</v>
      </c>
      <c r="C232" s="368" t="s">
        <v>133</v>
      </c>
      <c r="D232" s="368" t="s">
        <v>155</v>
      </c>
      <c r="E232" s="368" t="s">
        <v>1228</v>
      </c>
      <c r="F232" s="368" t="s">
        <v>147</v>
      </c>
      <c r="G232" s="373">
        <f>'Пр.4 ведом.20'!G228</f>
        <v>25</v>
      </c>
      <c r="H232" s="373">
        <f t="shared" si="16"/>
        <v>25</v>
      </c>
      <c r="I232" s="222"/>
    </row>
    <row r="233" spans="1:9" ht="31.5" x14ac:dyDescent="0.25">
      <c r="A233" s="372" t="s">
        <v>148</v>
      </c>
      <c r="B233" s="366">
        <v>903</v>
      </c>
      <c r="C233" s="368" t="s">
        <v>133</v>
      </c>
      <c r="D233" s="368" t="s">
        <v>155</v>
      </c>
      <c r="E233" s="368" t="s">
        <v>1228</v>
      </c>
      <c r="F233" s="368" t="s">
        <v>149</v>
      </c>
      <c r="G233" s="373">
        <f>25</f>
        <v>25</v>
      </c>
      <c r="H233" s="373">
        <f t="shared" si="16"/>
        <v>25</v>
      </c>
      <c r="I233" s="222"/>
    </row>
    <row r="234" spans="1:9" ht="47.25" x14ac:dyDescent="0.25">
      <c r="A234" s="31" t="s">
        <v>792</v>
      </c>
      <c r="B234" s="366">
        <v>903</v>
      </c>
      <c r="C234" s="368" t="s">
        <v>133</v>
      </c>
      <c r="D234" s="368" t="s">
        <v>155</v>
      </c>
      <c r="E234" s="368" t="s">
        <v>1229</v>
      </c>
      <c r="F234" s="368"/>
      <c r="G234" s="373">
        <f>G235</f>
        <v>10</v>
      </c>
      <c r="H234" s="373">
        <f>H235</f>
        <v>10</v>
      </c>
      <c r="I234" s="222"/>
    </row>
    <row r="235" spans="1:9" ht="31.5" x14ac:dyDescent="0.25">
      <c r="A235" s="372" t="s">
        <v>146</v>
      </c>
      <c r="B235" s="366">
        <v>903</v>
      </c>
      <c r="C235" s="368" t="s">
        <v>133</v>
      </c>
      <c r="D235" s="368" t="s">
        <v>155</v>
      </c>
      <c r="E235" s="368" t="s">
        <v>1229</v>
      </c>
      <c r="F235" s="368" t="s">
        <v>147</v>
      </c>
      <c r="G235" s="373">
        <f>G236</f>
        <v>10</v>
      </c>
      <c r="H235" s="373">
        <f>H236</f>
        <v>10</v>
      </c>
      <c r="I235" s="222"/>
    </row>
    <row r="236" spans="1:9" ht="31.5" x14ac:dyDescent="0.25">
      <c r="A236" s="372" t="s">
        <v>148</v>
      </c>
      <c r="B236" s="366">
        <v>903</v>
      </c>
      <c r="C236" s="368" t="s">
        <v>133</v>
      </c>
      <c r="D236" s="368" t="s">
        <v>155</v>
      </c>
      <c r="E236" s="368" t="s">
        <v>1229</v>
      </c>
      <c r="F236" s="368" t="s">
        <v>149</v>
      </c>
      <c r="G236" s="373">
        <f>10</f>
        <v>10</v>
      </c>
      <c r="H236" s="373">
        <f t="shared" si="16"/>
        <v>10</v>
      </c>
      <c r="I236" s="222"/>
    </row>
    <row r="237" spans="1:9" ht="15.75" hidden="1" x14ac:dyDescent="0.25">
      <c r="A237" s="372" t="s">
        <v>1142</v>
      </c>
      <c r="B237" s="366">
        <v>903</v>
      </c>
      <c r="C237" s="368" t="s">
        <v>133</v>
      </c>
      <c r="D237" s="368" t="s">
        <v>155</v>
      </c>
      <c r="E237" s="368" t="s">
        <v>1230</v>
      </c>
      <c r="F237" s="368"/>
      <c r="G237" s="373">
        <f>'Пр.4 ведом.20'!G233</f>
        <v>0</v>
      </c>
      <c r="H237" s="373">
        <f t="shared" si="16"/>
        <v>0</v>
      </c>
      <c r="I237" s="222"/>
    </row>
    <row r="238" spans="1:9" ht="31.5" hidden="1" x14ac:dyDescent="0.25">
      <c r="A238" s="372" t="s">
        <v>146</v>
      </c>
      <c r="B238" s="366">
        <v>903</v>
      </c>
      <c r="C238" s="368" t="s">
        <v>133</v>
      </c>
      <c r="D238" s="368" t="s">
        <v>155</v>
      </c>
      <c r="E238" s="368" t="s">
        <v>1230</v>
      </c>
      <c r="F238" s="368" t="s">
        <v>147</v>
      </c>
      <c r="G238" s="373">
        <f>'Пр.4 ведом.20'!G234</f>
        <v>0</v>
      </c>
      <c r="H238" s="373">
        <f t="shared" si="16"/>
        <v>0</v>
      </c>
      <c r="I238" s="222"/>
    </row>
    <row r="239" spans="1:9" ht="31.5" hidden="1" x14ac:dyDescent="0.25">
      <c r="A239" s="372" t="s">
        <v>148</v>
      </c>
      <c r="B239" s="366">
        <v>903</v>
      </c>
      <c r="C239" s="368" t="s">
        <v>133</v>
      </c>
      <c r="D239" s="368" t="s">
        <v>155</v>
      </c>
      <c r="E239" s="368" t="s">
        <v>1230</v>
      </c>
      <c r="F239" s="368" t="s">
        <v>149</v>
      </c>
      <c r="G239" s="373">
        <f>'Пр.4 ведом.20'!G235</f>
        <v>0</v>
      </c>
      <c r="H239" s="373">
        <f t="shared" si="16"/>
        <v>0</v>
      </c>
      <c r="I239" s="222"/>
    </row>
    <row r="240" spans="1:9" ht="31.5" x14ac:dyDescent="0.25">
      <c r="A240" s="31" t="s">
        <v>793</v>
      </c>
      <c r="B240" s="366">
        <v>903</v>
      </c>
      <c r="C240" s="368" t="s">
        <v>133</v>
      </c>
      <c r="D240" s="368" t="s">
        <v>155</v>
      </c>
      <c r="E240" s="368" t="s">
        <v>1231</v>
      </c>
      <c r="F240" s="368"/>
      <c r="G240" s="373">
        <f>G241</f>
        <v>20</v>
      </c>
      <c r="H240" s="373">
        <f>H241</f>
        <v>20</v>
      </c>
      <c r="I240" s="222"/>
    </row>
    <row r="241" spans="1:9" ht="31.5" x14ac:dyDescent="0.25">
      <c r="A241" s="372" t="s">
        <v>146</v>
      </c>
      <c r="B241" s="366">
        <v>903</v>
      </c>
      <c r="C241" s="368" t="s">
        <v>133</v>
      </c>
      <c r="D241" s="368" t="s">
        <v>155</v>
      </c>
      <c r="E241" s="368" t="s">
        <v>1231</v>
      </c>
      <c r="F241" s="368" t="s">
        <v>147</v>
      </c>
      <c r="G241" s="373">
        <f>G242</f>
        <v>20</v>
      </c>
      <c r="H241" s="373">
        <f>H242</f>
        <v>20</v>
      </c>
      <c r="I241" s="222"/>
    </row>
    <row r="242" spans="1:9" ht="31.5" x14ac:dyDescent="0.25">
      <c r="A242" s="372" t="s">
        <v>148</v>
      </c>
      <c r="B242" s="366">
        <v>903</v>
      </c>
      <c r="C242" s="368" t="s">
        <v>133</v>
      </c>
      <c r="D242" s="368" t="s">
        <v>155</v>
      </c>
      <c r="E242" s="368" t="s">
        <v>1231</v>
      </c>
      <c r="F242" s="368" t="s">
        <v>149</v>
      </c>
      <c r="G242" s="373">
        <f>20</f>
        <v>20</v>
      </c>
      <c r="H242" s="373">
        <f t="shared" si="16"/>
        <v>20</v>
      </c>
      <c r="I242" s="222"/>
    </row>
    <row r="243" spans="1:9" ht="63" x14ac:dyDescent="0.25">
      <c r="A243" s="41" t="s">
        <v>1429</v>
      </c>
      <c r="B243" s="367">
        <v>903</v>
      </c>
      <c r="C243" s="371" t="s">
        <v>133</v>
      </c>
      <c r="D243" s="371" t="s">
        <v>155</v>
      </c>
      <c r="E243" s="371" t="s">
        <v>726</v>
      </c>
      <c r="F243" s="371"/>
      <c r="G243" s="369">
        <f>G245</f>
        <v>5</v>
      </c>
      <c r="H243" s="369">
        <f>H245</f>
        <v>5</v>
      </c>
      <c r="I243" s="222"/>
    </row>
    <row r="244" spans="1:9" ht="47.25" x14ac:dyDescent="0.25">
      <c r="A244" s="238" t="s">
        <v>890</v>
      </c>
      <c r="B244" s="367">
        <v>903</v>
      </c>
      <c r="C244" s="371" t="s">
        <v>133</v>
      </c>
      <c r="D244" s="371" t="s">
        <v>155</v>
      </c>
      <c r="E244" s="371" t="s">
        <v>896</v>
      </c>
      <c r="F244" s="371"/>
      <c r="G244" s="369">
        <f t="shared" ref="G244:H246" si="17">G245</f>
        <v>5</v>
      </c>
      <c r="H244" s="369">
        <f t="shared" si="17"/>
        <v>5</v>
      </c>
      <c r="I244" s="222"/>
    </row>
    <row r="245" spans="1:9" ht="31.5" x14ac:dyDescent="0.25">
      <c r="A245" s="99" t="s">
        <v>797</v>
      </c>
      <c r="B245" s="366">
        <v>903</v>
      </c>
      <c r="C245" s="368" t="s">
        <v>133</v>
      </c>
      <c r="D245" s="368" t="s">
        <v>155</v>
      </c>
      <c r="E245" s="368" t="s">
        <v>891</v>
      </c>
      <c r="F245" s="368"/>
      <c r="G245" s="373">
        <f t="shared" si="17"/>
        <v>5</v>
      </c>
      <c r="H245" s="373">
        <f t="shared" si="17"/>
        <v>5</v>
      </c>
      <c r="I245" s="222"/>
    </row>
    <row r="246" spans="1:9" ht="31.5" x14ac:dyDescent="0.25">
      <c r="A246" s="372" t="s">
        <v>146</v>
      </c>
      <c r="B246" s="366">
        <v>903</v>
      </c>
      <c r="C246" s="368" t="s">
        <v>133</v>
      </c>
      <c r="D246" s="368" t="s">
        <v>155</v>
      </c>
      <c r="E246" s="368" t="s">
        <v>891</v>
      </c>
      <c r="F246" s="368" t="s">
        <v>147</v>
      </c>
      <c r="G246" s="373">
        <f t="shared" si="17"/>
        <v>5</v>
      </c>
      <c r="H246" s="373">
        <f t="shared" si="17"/>
        <v>5</v>
      </c>
      <c r="I246" s="222"/>
    </row>
    <row r="247" spans="1:9" ht="31.5" x14ac:dyDescent="0.25">
      <c r="A247" s="372" t="s">
        <v>148</v>
      </c>
      <c r="B247" s="366">
        <v>903</v>
      </c>
      <c r="C247" s="368" t="s">
        <v>133</v>
      </c>
      <c r="D247" s="368" t="s">
        <v>155</v>
      </c>
      <c r="E247" s="368" t="s">
        <v>891</v>
      </c>
      <c r="F247" s="368" t="s">
        <v>149</v>
      </c>
      <c r="G247" s="373">
        <f>5</f>
        <v>5</v>
      </c>
      <c r="H247" s="373">
        <f t="shared" si="16"/>
        <v>5</v>
      </c>
      <c r="I247" s="222"/>
    </row>
    <row r="248" spans="1:9" ht="15.75" x14ac:dyDescent="0.25">
      <c r="A248" s="244" t="s">
        <v>247</v>
      </c>
      <c r="B248" s="367">
        <v>903</v>
      </c>
      <c r="C248" s="371" t="s">
        <v>165</v>
      </c>
      <c r="D248" s="368"/>
      <c r="E248" s="368"/>
      <c r="F248" s="32"/>
      <c r="G248" s="369">
        <f t="shared" ref="G248:H250" si="18">G249</f>
        <v>570</v>
      </c>
      <c r="H248" s="369">
        <f t="shared" si="18"/>
        <v>448.7</v>
      </c>
      <c r="I248" s="222"/>
    </row>
    <row r="249" spans="1:9" ht="31.5" x14ac:dyDescent="0.25">
      <c r="A249" s="370" t="s">
        <v>252</v>
      </c>
      <c r="B249" s="367">
        <v>903</v>
      </c>
      <c r="C249" s="371" t="s">
        <v>165</v>
      </c>
      <c r="D249" s="371" t="s">
        <v>253</v>
      </c>
      <c r="E249" s="368"/>
      <c r="F249" s="32"/>
      <c r="G249" s="369">
        <f t="shared" si="18"/>
        <v>570</v>
      </c>
      <c r="H249" s="369">
        <f t="shared" si="18"/>
        <v>448.7</v>
      </c>
      <c r="I249" s="222"/>
    </row>
    <row r="250" spans="1:9" ht="47.25" x14ac:dyDescent="0.25">
      <c r="A250" s="370" t="s">
        <v>1427</v>
      </c>
      <c r="B250" s="367">
        <v>903</v>
      </c>
      <c r="C250" s="371" t="s">
        <v>165</v>
      </c>
      <c r="D250" s="371" t="s">
        <v>253</v>
      </c>
      <c r="E250" s="371" t="s">
        <v>359</v>
      </c>
      <c r="F250" s="250"/>
      <c r="G250" s="369">
        <f t="shared" si="18"/>
        <v>570</v>
      </c>
      <c r="H250" s="369">
        <f t="shared" si="18"/>
        <v>448.7</v>
      </c>
      <c r="I250" s="222"/>
    </row>
    <row r="251" spans="1:9" ht="52.5" customHeight="1" x14ac:dyDescent="0.25">
      <c r="A251" s="370" t="s">
        <v>382</v>
      </c>
      <c r="B251" s="367">
        <v>903</v>
      </c>
      <c r="C251" s="371" t="s">
        <v>165</v>
      </c>
      <c r="D251" s="371" t="s">
        <v>253</v>
      </c>
      <c r="E251" s="371" t="s">
        <v>383</v>
      </c>
      <c r="F251" s="371"/>
      <c r="G251" s="369">
        <f>G252+G259+G266+G273</f>
        <v>570</v>
      </c>
      <c r="H251" s="369">
        <f>H252+H259+H266+H273</f>
        <v>448.7</v>
      </c>
      <c r="I251" s="222"/>
    </row>
    <row r="252" spans="1:9" ht="47.25" hidden="1" x14ac:dyDescent="0.25">
      <c r="A252" s="242" t="s">
        <v>1211</v>
      </c>
      <c r="B252" s="367">
        <v>903</v>
      </c>
      <c r="C252" s="371" t="s">
        <v>165</v>
      </c>
      <c r="D252" s="371" t="s">
        <v>253</v>
      </c>
      <c r="E252" s="371" t="s">
        <v>935</v>
      </c>
      <c r="F252" s="371"/>
      <c r="G252" s="369">
        <f>G253+G256</f>
        <v>0</v>
      </c>
      <c r="H252" s="369">
        <f>H253+H256</f>
        <v>0</v>
      </c>
      <c r="I252" s="222"/>
    </row>
    <row r="253" spans="1:9" ht="47.25" hidden="1" x14ac:dyDescent="0.25">
      <c r="A253" s="372" t="s">
        <v>390</v>
      </c>
      <c r="B253" s="366">
        <v>903</v>
      </c>
      <c r="C253" s="368" t="s">
        <v>165</v>
      </c>
      <c r="D253" s="368" t="s">
        <v>253</v>
      </c>
      <c r="E253" s="368" t="s">
        <v>1212</v>
      </c>
      <c r="F253" s="368"/>
      <c r="G253" s="373">
        <f>'Пр.4 ведом.20'!G249</f>
        <v>0</v>
      </c>
      <c r="H253" s="373">
        <f t="shared" si="16"/>
        <v>0</v>
      </c>
      <c r="I253" s="222"/>
    </row>
    <row r="254" spans="1:9" ht="31.5" hidden="1" x14ac:dyDescent="0.25">
      <c r="A254" s="372" t="s">
        <v>263</v>
      </c>
      <c r="B254" s="366">
        <v>903</v>
      </c>
      <c r="C254" s="368" t="s">
        <v>165</v>
      </c>
      <c r="D254" s="368" t="s">
        <v>253</v>
      </c>
      <c r="E254" s="368" t="s">
        <v>1212</v>
      </c>
      <c r="F254" s="368" t="s">
        <v>264</v>
      </c>
      <c r="G254" s="373">
        <f>'Пр.4 ведом.20'!G250</f>
        <v>0</v>
      </c>
      <c r="H254" s="373">
        <f t="shared" si="16"/>
        <v>0</v>
      </c>
      <c r="I254" s="222"/>
    </row>
    <row r="255" spans="1:9" ht="31.5" hidden="1" x14ac:dyDescent="0.25">
      <c r="A255" s="372" t="s">
        <v>265</v>
      </c>
      <c r="B255" s="366">
        <v>903</v>
      </c>
      <c r="C255" s="368" t="s">
        <v>165</v>
      </c>
      <c r="D255" s="368" t="s">
        <v>253</v>
      </c>
      <c r="E255" s="368" t="s">
        <v>1212</v>
      </c>
      <c r="F255" s="368" t="s">
        <v>266</v>
      </c>
      <c r="G255" s="373">
        <f>'Пр.4 ведом.20'!G251</f>
        <v>0</v>
      </c>
      <c r="H255" s="373">
        <f t="shared" si="16"/>
        <v>0</v>
      </c>
      <c r="I255" s="222"/>
    </row>
    <row r="256" spans="1:9" ht="47.25" hidden="1" x14ac:dyDescent="0.25">
      <c r="A256" s="372" t="s">
        <v>390</v>
      </c>
      <c r="B256" s="366">
        <v>903</v>
      </c>
      <c r="C256" s="368" t="s">
        <v>165</v>
      </c>
      <c r="D256" s="368" t="s">
        <v>253</v>
      </c>
      <c r="E256" s="368" t="s">
        <v>1213</v>
      </c>
      <c r="F256" s="368"/>
      <c r="G256" s="373">
        <f>'Пр.4 ведом.20'!G252</f>
        <v>0</v>
      </c>
      <c r="H256" s="373">
        <f t="shared" si="16"/>
        <v>0</v>
      </c>
      <c r="I256" s="222"/>
    </row>
    <row r="257" spans="1:13" ht="31.5" hidden="1" x14ac:dyDescent="0.25">
      <c r="A257" s="372" t="s">
        <v>263</v>
      </c>
      <c r="B257" s="366">
        <v>903</v>
      </c>
      <c r="C257" s="368" t="s">
        <v>165</v>
      </c>
      <c r="D257" s="368" t="s">
        <v>253</v>
      </c>
      <c r="E257" s="368" t="s">
        <v>1213</v>
      </c>
      <c r="F257" s="368" t="s">
        <v>264</v>
      </c>
      <c r="G257" s="373">
        <f>'Пр.4 ведом.20'!G253</f>
        <v>0</v>
      </c>
      <c r="H257" s="373">
        <f t="shared" si="16"/>
        <v>0</v>
      </c>
      <c r="I257" s="222"/>
    </row>
    <row r="258" spans="1:13" ht="31.5" hidden="1" x14ac:dyDescent="0.25">
      <c r="A258" s="372" t="s">
        <v>265</v>
      </c>
      <c r="B258" s="366">
        <v>903</v>
      </c>
      <c r="C258" s="368" t="s">
        <v>165</v>
      </c>
      <c r="D258" s="368" t="s">
        <v>253</v>
      </c>
      <c r="E258" s="368" t="s">
        <v>1213</v>
      </c>
      <c r="F258" s="368" t="s">
        <v>266</v>
      </c>
      <c r="G258" s="373">
        <f>'Пр.4 ведом.20'!G254</f>
        <v>0</v>
      </c>
      <c r="H258" s="373">
        <f t="shared" si="16"/>
        <v>0</v>
      </c>
      <c r="I258" s="222"/>
    </row>
    <row r="259" spans="1:13" ht="31.5" x14ac:dyDescent="0.25">
      <c r="A259" s="370" t="s">
        <v>1209</v>
      </c>
      <c r="B259" s="367">
        <v>903</v>
      </c>
      <c r="C259" s="371" t="s">
        <v>165</v>
      </c>
      <c r="D259" s="371" t="s">
        <v>253</v>
      </c>
      <c r="E259" s="371" t="s">
        <v>936</v>
      </c>
      <c r="F259" s="371"/>
      <c r="G259" s="369">
        <f>G260+G263</f>
        <v>560</v>
      </c>
      <c r="H259" s="369">
        <f>H260+H263</f>
        <v>438.7</v>
      </c>
      <c r="I259" s="222"/>
    </row>
    <row r="260" spans="1:13" ht="31.5" x14ac:dyDescent="0.25">
      <c r="A260" s="372" t="s">
        <v>1210</v>
      </c>
      <c r="B260" s="366">
        <v>903</v>
      </c>
      <c r="C260" s="368" t="s">
        <v>165</v>
      </c>
      <c r="D260" s="368" t="s">
        <v>253</v>
      </c>
      <c r="E260" s="368" t="s">
        <v>1214</v>
      </c>
      <c r="F260" s="368"/>
      <c r="G260" s="373">
        <f>G261</f>
        <v>60</v>
      </c>
      <c r="H260" s="373">
        <f>H261</f>
        <v>60</v>
      </c>
      <c r="I260" s="222"/>
    </row>
    <row r="261" spans="1:13" ht="31.5" x14ac:dyDescent="0.25">
      <c r="A261" s="372" t="s">
        <v>287</v>
      </c>
      <c r="B261" s="366">
        <v>903</v>
      </c>
      <c r="C261" s="368" t="s">
        <v>165</v>
      </c>
      <c r="D261" s="368" t="s">
        <v>253</v>
      </c>
      <c r="E261" s="368" t="s">
        <v>1214</v>
      </c>
      <c r="F261" s="368" t="s">
        <v>288</v>
      </c>
      <c r="G261" s="373">
        <f>G262</f>
        <v>60</v>
      </c>
      <c r="H261" s="373">
        <f>H262</f>
        <v>60</v>
      </c>
      <c r="I261" s="222"/>
      <c r="M261" s="22"/>
    </row>
    <row r="262" spans="1:13" ht="63" x14ac:dyDescent="0.25">
      <c r="A262" s="372" t="s">
        <v>1292</v>
      </c>
      <c r="B262" s="366">
        <v>903</v>
      </c>
      <c r="C262" s="368" t="s">
        <v>165</v>
      </c>
      <c r="D262" s="368" t="s">
        <v>253</v>
      </c>
      <c r="E262" s="368" t="s">
        <v>1214</v>
      </c>
      <c r="F262" s="368" t="s">
        <v>387</v>
      </c>
      <c r="G262" s="373">
        <f>60</f>
        <v>60</v>
      </c>
      <c r="H262" s="373">
        <f t="shared" si="16"/>
        <v>60</v>
      </c>
      <c r="I262" s="222"/>
    </row>
    <row r="263" spans="1:13" ht="110.25" x14ac:dyDescent="0.25">
      <c r="A263" s="372" t="s">
        <v>388</v>
      </c>
      <c r="B263" s="366">
        <v>903</v>
      </c>
      <c r="C263" s="368" t="s">
        <v>165</v>
      </c>
      <c r="D263" s="368" t="s">
        <v>253</v>
      </c>
      <c r="E263" s="368" t="s">
        <v>1215</v>
      </c>
      <c r="F263" s="368"/>
      <c r="G263" s="373">
        <f>G264</f>
        <v>500</v>
      </c>
      <c r="H263" s="373">
        <f>H264</f>
        <v>378.7</v>
      </c>
      <c r="I263" s="222"/>
    </row>
    <row r="264" spans="1:13" ht="31.5" x14ac:dyDescent="0.25">
      <c r="A264" s="372" t="s">
        <v>287</v>
      </c>
      <c r="B264" s="366">
        <v>903</v>
      </c>
      <c r="C264" s="368" t="s">
        <v>165</v>
      </c>
      <c r="D264" s="368" t="s">
        <v>253</v>
      </c>
      <c r="E264" s="368" t="s">
        <v>1215</v>
      </c>
      <c r="F264" s="368" t="s">
        <v>288</v>
      </c>
      <c r="G264" s="373">
        <f>G265</f>
        <v>500</v>
      </c>
      <c r="H264" s="373">
        <f>H265</f>
        <v>378.7</v>
      </c>
      <c r="I264" s="222"/>
    </row>
    <row r="265" spans="1:13" ht="63" x14ac:dyDescent="0.25">
      <c r="A265" s="372" t="s">
        <v>1292</v>
      </c>
      <c r="B265" s="366">
        <v>903</v>
      </c>
      <c r="C265" s="368" t="s">
        <v>165</v>
      </c>
      <c r="D265" s="368" t="s">
        <v>253</v>
      </c>
      <c r="E265" s="368" t="s">
        <v>1215</v>
      </c>
      <c r="F265" s="368" t="s">
        <v>387</v>
      </c>
      <c r="G265" s="373">
        <f>500</f>
        <v>500</v>
      </c>
      <c r="H265" s="373">
        <f>500-121.3</f>
        <v>378.7</v>
      </c>
      <c r="I265" s="222"/>
      <c r="L265" s="355"/>
    </row>
    <row r="266" spans="1:13" ht="31.5" hidden="1" x14ac:dyDescent="0.25">
      <c r="A266" s="370" t="s">
        <v>1143</v>
      </c>
      <c r="B266" s="367">
        <v>903</v>
      </c>
      <c r="C266" s="371" t="s">
        <v>165</v>
      </c>
      <c r="D266" s="371" t="s">
        <v>253</v>
      </c>
      <c r="E266" s="371" t="s">
        <v>937</v>
      </c>
      <c r="F266" s="371"/>
      <c r="G266" s="369">
        <f>G267+G270</f>
        <v>0</v>
      </c>
      <c r="H266" s="369">
        <f>H267+H270</f>
        <v>0</v>
      </c>
      <c r="I266" s="222"/>
    </row>
    <row r="267" spans="1:13" ht="31.5" hidden="1" x14ac:dyDescent="0.25">
      <c r="A267" s="286" t="s">
        <v>1218</v>
      </c>
      <c r="B267" s="366">
        <v>903</v>
      </c>
      <c r="C267" s="368" t="s">
        <v>165</v>
      </c>
      <c r="D267" s="368" t="s">
        <v>253</v>
      </c>
      <c r="E267" s="368" t="s">
        <v>1216</v>
      </c>
      <c r="F267" s="368"/>
      <c r="G267" s="373">
        <f>'Пр.4 ведом.20'!G263</f>
        <v>0</v>
      </c>
      <c r="H267" s="373">
        <f t="shared" si="16"/>
        <v>0</v>
      </c>
      <c r="I267" s="222"/>
    </row>
    <row r="268" spans="1:13" ht="31.5" hidden="1" x14ac:dyDescent="0.25">
      <c r="A268" s="372" t="s">
        <v>146</v>
      </c>
      <c r="B268" s="366">
        <v>903</v>
      </c>
      <c r="C268" s="368" t="s">
        <v>165</v>
      </c>
      <c r="D268" s="368" t="s">
        <v>253</v>
      </c>
      <c r="E268" s="368" t="s">
        <v>1216</v>
      </c>
      <c r="F268" s="368" t="s">
        <v>147</v>
      </c>
      <c r="G268" s="373">
        <f>'Пр.4 ведом.20'!G264</f>
        <v>0</v>
      </c>
      <c r="H268" s="373">
        <f t="shared" si="16"/>
        <v>0</v>
      </c>
      <c r="I268" s="222"/>
    </row>
    <row r="269" spans="1:13" ht="31.5" hidden="1" x14ac:dyDescent="0.25">
      <c r="A269" s="372" t="s">
        <v>148</v>
      </c>
      <c r="B269" s="366">
        <v>903</v>
      </c>
      <c r="C269" s="368" t="s">
        <v>165</v>
      </c>
      <c r="D269" s="368" t="s">
        <v>253</v>
      </c>
      <c r="E269" s="368" t="s">
        <v>1216</v>
      </c>
      <c r="F269" s="368" t="s">
        <v>149</v>
      </c>
      <c r="G269" s="373">
        <f>'Пр.4 ведом.20'!G265</f>
        <v>0</v>
      </c>
      <c r="H269" s="373">
        <f t="shared" si="16"/>
        <v>0</v>
      </c>
      <c r="I269" s="222"/>
    </row>
    <row r="270" spans="1:13" ht="31.5" hidden="1" x14ac:dyDescent="0.25">
      <c r="A270" s="372" t="s">
        <v>392</v>
      </c>
      <c r="B270" s="366">
        <v>903</v>
      </c>
      <c r="C270" s="368" t="s">
        <v>165</v>
      </c>
      <c r="D270" s="368" t="s">
        <v>253</v>
      </c>
      <c r="E270" s="368" t="s">
        <v>1217</v>
      </c>
      <c r="F270" s="368"/>
      <c r="G270" s="373">
        <f>'Пр.4 ведом.20'!G266</f>
        <v>0</v>
      </c>
      <c r="H270" s="373">
        <f t="shared" si="16"/>
        <v>0</v>
      </c>
      <c r="I270" s="222"/>
    </row>
    <row r="271" spans="1:13" ht="31.5" hidden="1" x14ac:dyDescent="0.25">
      <c r="A271" s="372" t="s">
        <v>146</v>
      </c>
      <c r="B271" s="366">
        <v>903</v>
      </c>
      <c r="C271" s="368" t="s">
        <v>165</v>
      </c>
      <c r="D271" s="368" t="s">
        <v>253</v>
      </c>
      <c r="E271" s="368" t="s">
        <v>1217</v>
      </c>
      <c r="F271" s="368" t="s">
        <v>147</v>
      </c>
      <c r="G271" s="373">
        <f>'Пр.4 ведом.20'!G267</f>
        <v>0</v>
      </c>
      <c r="H271" s="373">
        <f t="shared" si="16"/>
        <v>0</v>
      </c>
      <c r="I271" s="222"/>
    </row>
    <row r="272" spans="1:13" ht="31.5" hidden="1" x14ac:dyDescent="0.25">
      <c r="A272" s="372" t="s">
        <v>148</v>
      </c>
      <c r="B272" s="366">
        <v>903</v>
      </c>
      <c r="C272" s="368" t="s">
        <v>165</v>
      </c>
      <c r="D272" s="368" t="s">
        <v>253</v>
      </c>
      <c r="E272" s="368" t="s">
        <v>1217</v>
      </c>
      <c r="F272" s="368" t="s">
        <v>149</v>
      </c>
      <c r="G272" s="373">
        <f>'Пр.4 ведом.20'!G268</f>
        <v>0</v>
      </c>
      <c r="H272" s="373">
        <f t="shared" si="16"/>
        <v>0</v>
      </c>
      <c r="I272" s="222"/>
    </row>
    <row r="273" spans="1:9" s="221" customFormat="1" ht="31.5" x14ac:dyDescent="0.25">
      <c r="A273" s="239" t="s">
        <v>1310</v>
      </c>
      <c r="B273" s="367">
        <v>903</v>
      </c>
      <c r="C273" s="371" t="s">
        <v>165</v>
      </c>
      <c r="D273" s="371" t="s">
        <v>253</v>
      </c>
      <c r="E273" s="371" t="s">
        <v>1309</v>
      </c>
      <c r="F273" s="371"/>
      <c r="G273" s="369">
        <f t="shared" ref="G273:H275" si="19">G274</f>
        <v>10</v>
      </c>
      <c r="H273" s="369">
        <f t="shared" si="19"/>
        <v>10</v>
      </c>
      <c r="I273" s="222"/>
    </row>
    <row r="274" spans="1:9" s="221" customFormat="1" ht="31.5" x14ac:dyDescent="0.25">
      <c r="A274" s="264" t="s">
        <v>1311</v>
      </c>
      <c r="B274" s="366">
        <v>903</v>
      </c>
      <c r="C274" s="368" t="s">
        <v>165</v>
      </c>
      <c r="D274" s="368" t="s">
        <v>253</v>
      </c>
      <c r="E274" s="368" t="s">
        <v>1364</v>
      </c>
      <c r="F274" s="368"/>
      <c r="G274" s="373">
        <f t="shared" si="19"/>
        <v>10</v>
      </c>
      <c r="H274" s="373">
        <f t="shared" si="19"/>
        <v>10</v>
      </c>
      <c r="I274" s="222"/>
    </row>
    <row r="275" spans="1:9" s="221" customFormat="1" ht="31.5" x14ac:dyDescent="0.25">
      <c r="A275" s="372" t="s">
        <v>146</v>
      </c>
      <c r="B275" s="366">
        <v>903</v>
      </c>
      <c r="C275" s="368" t="s">
        <v>165</v>
      </c>
      <c r="D275" s="368" t="s">
        <v>253</v>
      </c>
      <c r="E275" s="368" t="s">
        <v>1364</v>
      </c>
      <c r="F275" s="368" t="s">
        <v>147</v>
      </c>
      <c r="G275" s="373">
        <f t="shared" si="19"/>
        <v>10</v>
      </c>
      <c r="H275" s="373">
        <f t="shared" si="19"/>
        <v>10</v>
      </c>
      <c r="I275" s="222"/>
    </row>
    <row r="276" spans="1:9" s="221" customFormat="1" ht="31.5" x14ac:dyDescent="0.25">
      <c r="A276" s="372" t="s">
        <v>148</v>
      </c>
      <c r="B276" s="366">
        <v>903</v>
      </c>
      <c r="C276" s="368" t="s">
        <v>165</v>
      </c>
      <c r="D276" s="368" t="s">
        <v>253</v>
      </c>
      <c r="E276" s="368" t="s">
        <v>1364</v>
      </c>
      <c r="F276" s="368" t="s">
        <v>149</v>
      </c>
      <c r="G276" s="373">
        <f>10</f>
        <v>10</v>
      </c>
      <c r="H276" s="373">
        <f>G276</f>
        <v>10</v>
      </c>
      <c r="I276" s="222"/>
    </row>
    <row r="277" spans="1:9" ht="15.75" x14ac:dyDescent="0.25">
      <c r="A277" s="370" t="s">
        <v>278</v>
      </c>
      <c r="B277" s="367">
        <v>903</v>
      </c>
      <c r="C277" s="371" t="s">
        <v>279</v>
      </c>
      <c r="D277" s="368"/>
      <c r="E277" s="368"/>
      <c r="F277" s="368"/>
      <c r="G277" s="369">
        <f>G278+G321</f>
        <v>17624.7</v>
      </c>
      <c r="H277" s="369">
        <f>H278+H321</f>
        <v>17624.7</v>
      </c>
      <c r="I277" s="222"/>
    </row>
    <row r="278" spans="1:9" ht="15.75" x14ac:dyDescent="0.25">
      <c r="A278" s="370" t="s">
        <v>280</v>
      </c>
      <c r="B278" s="367">
        <v>903</v>
      </c>
      <c r="C278" s="371" t="s">
        <v>279</v>
      </c>
      <c r="D278" s="371" t="s">
        <v>230</v>
      </c>
      <c r="E278" s="371"/>
      <c r="F278" s="371"/>
      <c r="G278" s="369">
        <f>G279+G316</f>
        <v>16864.7</v>
      </c>
      <c r="H278" s="369">
        <f>H279+H316</f>
        <v>16864.7</v>
      </c>
      <c r="I278" s="222"/>
    </row>
    <row r="279" spans="1:9" ht="47.25" x14ac:dyDescent="0.25">
      <c r="A279" s="370" t="s">
        <v>1430</v>
      </c>
      <c r="B279" s="367">
        <v>903</v>
      </c>
      <c r="C279" s="371" t="s">
        <v>279</v>
      </c>
      <c r="D279" s="371" t="s">
        <v>230</v>
      </c>
      <c r="E279" s="371" t="s">
        <v>282</v>
      </c>
      <c r="F279" s="371"/>
      <c r="G279" s="369">
        <f>G280</f>
        <v>16643.7</v>
      </c>
      <c r="H279" s="369">
        <f>H280</f>
        <v>16643.7</v>
      </c>
      <c r="I279" s="222"/>
    </row>
    <row r="280" spans="1:9" ht="47.25" x14ac:dyDescent="0.25">
      <c r="A280" s="370" t="s">
        <v>283</v>
      </c>
      <c r="B280" s="367">
        <v>903</v>
      </c>
      <c r="C280" s="371" t="s">
        <v>279</v>
      </c>
      <c r="D280" s="371" t="s">
        <v>230</v>
      </c>
      <c r="E280" s="371" t="s">
        <v>284</v>
      </c>
      <c r="F280" s="371"/>
      <c r="G280" s="369">
        <f>G281+G289+G293+G303+G299</f>
        <v>16643.7</v>
      </c>
      <c r="H280" s="369">
        <f>H281+H289+H293+H303+H299</f>
        <v>16643.7</v>
      </c>
      <c r="I280" s="222"/>
    </row>
    <row r="281" spans="1:9" ht="36" customHeight="1" x14ac:dyDescent="0.25">
      <c r="A281" s="370" t="s">
        <v>939</v>
      </c>
      <c r="B281" s="367">
        <v>903</v>
      </c>
      <c r="C281" s="371" t="s">
        <v>279</v>
      </c>
      <c r="D281" s="371" t="s">
        <v>230</v>
      </c>
      <c r="E281" s="371" t="s">
        <v>940</v>
      </c>
      <c r="F281" s="371"/>
      <c r="G281" s="44">
        <f>G282</f>
        <v>15011</v>
      </c>
      <c r="H281" s="44">
        <f>H282</f>
        <v>15011</v>
      </c>
      <c r="I281" s="222"/>
    </row>
    <row r="282" spans="1:9" ht="15.75" x14ac:dyDescent="0.25">
      <c r="A282" s="372" t="s">
        <v>830</v>
      </c>
      <c r="B282" s="366">
        <v>903</v>
      </c>
      <c r="C282" s="368" t="s">
        <v>279</v>
      </c>
      <c r="D282" s="368" t="s">
        <v>230</v>
      </c>
      <c r="E282" s="368" t="s">
        <v>938</v>
      </c>
      <c r="F282" s="368"/>
      <c r="G282" s="373">
        <f>G283+G285+G288</f>
        <v>15011</v>
      </c>
      <c r="H282" s="373">
        <f>H283+H285+H288</f>
        <v>15011</v>
      </c>
      <c r="I282" s="222"/>
    </row>
    <row r="283" spans="1:9" ht="78.75" x14ac:dyDescent="0.25">
      <c r="A283" s="372" t="s">
        <v>142</v>
      </c>
      <c r="B283" s="366">
        <v>903</v>
      </c>
      <c r="C283" s="368" t="s">
        <v>279</v>
      </c>
      <c r="D283" s="368" t="s">
        <v>230</v>
      </c>
      <c r="E283" s="368" t="s">
        <v>938</v>
      </c>
      <c r="F283" s="368" t="s">
        <v>143</v>
      </c>
      <c r="G283" s="373">
        <f>G284</f>
        <v>13393</v>
      </c>
      <c r="H283" s="373">
        <f>H284</f>
        <v>13393</v>
      </c>
      <c r="I283" s="222"/>
    </row>
    <row r="284" spans="1:9" ht="21.2" customHeight="1" x14ac:dyDescent="0.25">
      <c r="A284" s="46" t="s">
        <v>357</v>
      </c>
      <c r="B284" s="366">
        <v>903</v>
      </c>
      <c r="C284" s="368" t="s">
        <v>279</v>
      </c>
      <c r="D284" s="368" t="s">
        <v>230</v>
      </c>
      <c r="E284" s="368" t="s">
        <v>938</v>
      </c>
      <c r="F284" s="368" t="s">
        <v>224</v>
      </c>
      <c r="G284" s="373">
        <f>13393</f>
        <v>13393</v>
      </c>
      <c r="H284" s="373">
        <f t="shared" si="16"/>
        <v>13393</v>
      </c>
      <c r="I284" s="222"/>
    </row>
    <row r="285" spans="1:9" ht="31.5" x14ac:dyDescent="0.25">
      <c r="A285" s="372" t="s">
        <v>146</v>
      </c>
      <c r="B285" s="366">
        <v>903</v>
      </c>
      <c r="C285" s="368" t="s">
        <v>279</v>
      </c>
      <c r="D285" s="368" t="s">
        <v>230</v>
      </c>
      <c r="E285" s="368" t="s">
        <v>938</v>
      </c>
      <c r="F285" s="368" t="s">
        <v>147</v>
      </c>
      <c r="G285" s="373">
        <f>G286</f>
        <v>1540</v>
      </c>
      <c r="H285" s="373">
        <f>H286</f>
        <v>1540</v>
      </c>
      <c r="I285" s="222"/>
    </row>
    <row r="286" spans="1:9" ht="31.5" x14ac:dyDescent="0.25">
      <c r="A286" s="372" t="s">
        <v>148</v>
      </c>
      <c r="B286" s="366">
        <v>903</v>
      </c>
      <c r="C286" s="368" t="s">
        <v>279</v>
      </c>
      <c r="D286" s="368" t="s">
        <v>230</v>
      </c>
      <c r="E286" s="368" t="s">
        <v>938</v>
      </c>
      <c r="F286" s="368" t="s">
        <v>149</v>
      </c>
      <c r="G286" s="373">
        <f>1540</f>
        <v>1540</v>
      </c>
      <c r="H286" s="373">
        <f t="shared" ref="H286:H350" si="20">G286</f>
        <v>1540</v>
      </c>
      <c r="I286" s="222"/>
    </row>
    <row r="287" spans="1:9" ht="15.75" x14ac:dyDescent="0.25">
      <c r="A287" s="372" t="s">
        <v>150</v>
      </c>
      <c r="B287" s="366">
        <v>903</v>
      </c>
      <c r="C287" s="368" t="s">
        <v>279</v>
      </c>
      <c r="D287" s="368" t="s">
        <v>230</v>
      </c>
      <c r="E287" s="368" t="s">
        <v>938</v>
      </c>
      <c r="F287" s="368" t="s">
        <v>160</v>
      </c>
      <c r="G287" s="373">
        <f>G288</f>
        <v>78</v>
      </c>
      <c r="H287" s="373">
        <f>H288</f>
        <v>78</v>
      </c>
      <c r="I287" s="222"/>
    </row>
    <row r="288" spans="1:9" ht="15.75" x14ac:dyDescent="0.25">
      <c r="A288" s="372" t="s">
        <v>725</v>
      </c>
      <c r="B288" s="366">
        <v>903</v>
      </c>
      <c r="C288" s="368" t="s">
        <v>279</v>
      </c>
      <c r="D288" s="368" t="s">
        <v>230</v>
      </c>
      <c r="E288" s="368" t="s">
        <v>938</v>
      </c>
      <c r="F288" s="368" t="s">
        <v>153</v>
      </c>
      <c r="G288" s="373">
        <f>78</f>
        <v>78</v>
      </c>
      <c r="H288" s="373">
        <f t="shared" si="20"/>
        <v>78</v>
      </c>
      <c r="I288" s="222"/>
    </row>
    <row r="289" spans="1:9" ht="47.25" x14ac:dyDescent="0.25">
      <c r="A289" s="243" t="s">
        <v>1187</v>
      </c>
      <c r="B289" s="367">
        <v>903</v>
      </c>
      <c r="C289" s="371" t="s">
        <v>279</v>
      </c>
      <c r="D289" s="371" t="s">
        <v>230</v>
      </c>
      <c r="E289" s="371" t="s">
        <v>942</v>
      </c>
      <c r="F289" s="371"/>
      <c r="G289" s="44">
        <f t="shared" ref="G289:H291" si="21">G290</f>
        <v>45</v>
      </c>
      <c r="H289" s="44">
        <f t="shared" si="21"/>
        <v>45</v>
      </c>
      <c r="I289" s="222"/>
    </row>
    <row r="290" spans="1:9" ht="31.5" x14ac:dyDescent="0.25">
      <c r="A290" s="212" t="s">
        <v>829</v>
      </c>
      <c r="B290" s="366">
        <v>903</v>
      </c>
      <c r="C290" s="368" t="s">
        <v>279</v>
      </c>
      <c r="D290" s="368" t="s">
        <v>230</v>
      </c>
      <c r="E290" s="368" t="s">
        <v>941</v>
      </c>
      <c r="F290" s="368"/>
      <c r="G290" s="373">
        <f t="shared" si="21"/>
        <v>45</v>
      </c>
      <c r="H290" s="373">
        <f t="shared" si="21"/>
        <v>45</v>
      </c>
      <c r="I290" s="222"/>
    </row>
    <row r="291" spans="1:9" ht="20.25" customHeight="1" x14ac:dyDescent="0.25">
      <c r="A291" s="372" t="s">
        <v>263</v>
      </c>
      <c r="B291" s="366">
        <v>903</v>
      </c>
      <c r="C291" s="368" t="s">
        <v>279</v>
      </c>
      <c r="D291" s="368" t="s">
        <v>230</v>
      </c>
      <c r="E291" s="368" t="s">
        <v>941</v>
      </c>
      <c r="F291" s="368" t="s">
        <v>264</v>
      </c>
      <c r="G291" s="373">
        <f t="shared" si="21"/>
        <v>45</v>
      </c>
      <c r="H291" s="373">
        <f t="shared" si="21"/>
        <v>45</v>
      </c>
      <c r="I291" s="222"/>
    </row>
    <row r="292" spans="1:9" ht="15.75" x14ac:dyDescent="0.25">
      <c r="A292" s="372" t="s">
        <v>863</v>
      </c>
      <c r="B292" s="366">
        <v>903</v>
      </c>
      <c r="C292" s="368" t="s">
        <v>279</v>
      </c>
      <c r="D292" s="368" t="s">
        <v>230</v>
      </c>
      <c r="E292" s="368" t="s">
        <v>941</v>
      </c>
      <c r="F292" s="368" t="s">
        <v>862</v>
      </c>
      <c r="G292" s="373">
        <f>45</f>
        <v>45</v>
      </c>
      <c r="H292" s="373">
        <f t="shared" si="20"/>
        <v>45</v>
      </c>
      <c r="I292" s="222"/>
    </row>
    <row r="293" spans="1:9" ht="47.25" x14ac:dyDescent="0.25">
      <c r="A293" s="248" t="s">
        <v>1166</v>
      </c>
      <c r="B293" s="367">
        <v>903</v>
      </c>
      <c r="C293" s="371" t="s">
        <v>279</v>
      </c>
      <c r="D293" s="371" t="s">
        <v>230</v>
      </c>
      <c r="E293" s="371" t="s">
        <v>943</v>
      </c>
      <c r="F293" s="371"/>
      <c r="G293" s="369">
        <f t="shared" ref="G293:H295" si="22">G294</f>
        <v>250</v>
      </c>
      <c r="H293" s="369">
        <f t="shared" si="22"/>
        <v>250</v>
      </c>
      <c r="I293" s="222"/>
    </row>
    <row r="294" spans="1:9" ht="31.5" x14ac:dyDescent="0.25">
      <c r="A294" s="31" t="s">
        <v>858</v>
      </c>
      <c r="B294" s="366">
        <v>903</v>
      </c>
      <c r="C294" s="368" t="s">
        <v>279</v>
      </c>
      <c r="D294" s="368" t="s">
        <v>230</v>
      </c>
      <c r="E294" s="368" t="s">
        <v>944</v>
      </c>
      <c r="F294" s="368"/>
      <c r="G294" s="373">
        <f t="shared" si="22"/>
        <v>250</v>
      </c>
      <c r="H294" s="373">
        <f t="shared" si="22"/>
        <v>250</v>
      </c>
      <c r="I294" s="222"/>
    </row>
    <row r="295" spans="1:9" ht="78.75" x14ac:dyDescent="0.25">
      <c r="A295" s="372" t="s">
        <v>142</v>
      </c>
      <c r="B295" s="366">
        <v>903</v>
      </c>
      <c r="C295" s="368" t="s">
        <v>279</v>
      </c>
      <c r="D295" s="368" t="s">
        <v>230</v>
      </c>
      <c r="E295" s="368" t="s">
        <v>944</v>
      </c>
      <c r="F295" s="368" t="s">
        <v>143</v>
      </c>
      <c r="G295" s="373">
        <f t="shared" si="22"/>
        <v>250</v>
      </c>
      <c r="H295" s="373">
        <f t="shared" si="22"/>
        <v>250</v>
      </c>
      <c r="I295" s="222"/>
    </row>
    <row r="296" spans="1:9" ht="24" customHeight="1" x14ac:dyDescent="0.25">
      <c r="A296" s="46" t="s">
        <v>357</v>
      </c>
      <c r="B296" s="366">
        <v>903</v>
      </c>
      <c r="C296" s="368" t="s">
        <v>279</v>
      </c>
      <c r="D296" s="368" t="s">
        <v>230</v>
      </c>
      <c r="E296" s="368" t="s">
        <v>944</v>
      </c>
      <c r="F296" s="368" t="s">
        <v>224</v>
      </c>
      <c r="G296" s="373">
        <f>250</f>
        <v>250</v>
      </c>
      <c r="H296" s="373">
        <f t="shared" si="20"/>
        <v>250</v>
      </c>
      <c r="I296" s="222"/>
    </row>
    <row r="297" spans="1:9" ht="31.5" hidden="1" x14ac:dyDescent="0.25">
      <c r="A297" s="372" t="s">
        <v>146</v>
      </c>
      <c r="B297" s="366">
        <v>903</v>
      </c>
      <c r="C297" s="368" t="s">
        <v>279</v>
      </c>
      <c r="D297" s="368" t="s">
        <v>230</v>
      </c>
      <c r="E297" s="368" t="s">
        <v>944</v>
      </c>
      <c r="F297" s="368" t="s">
        <v>147</v>
      </c>
      <c r="G297" s="373">
        <f>'Пр.4 ведом.20'!G293</f>
        <v>0</v>
      </c>
      <c r="H297" s="373">
        <f t="shared" si="20"/>
        <v>0</v>
      </c>
      <c r="I297" s="222"/>
    </row>
    <row r="298" spans="1:9" ht="31.5" hidden="1" x14ac:dyDescent="0.25">
      <c r="A298" s="372" t="s">
        <v>148</v>
      </c>
      <c r="B298" s="366">
        <v>903</v>
      </c>
      <c r="C298" s="368" t="s">
        <v>279</v>
      </c>
      <c r="D298" s="368" t="s">
        <v>230</v>
      </c>
      <c r="E298" s="368" t="s">
        <v>944</v>
      </c>
      <c r="F298" s="368" t="s">
        <v>149</v>
      </c>
      <c r="G298" s="373">
        <f>'Пр.4 ведом.20'!G294</f>
        <v>0</v>
      </c>
      <c r="H298" s="373">
        <f t="shared" si="20"/>
        <v>0</v>
      </c>
      <c r="I298" s="222"/>
    </row>
    <row r="299" spans="1:9" ht="31.5" x14ac:dyDescent="0.25">
      <c r="A299" s="370" t="s">
        <v>1074</v>
      </c>
      <c r="B299" s="367">
        <v>903</v>
      </c>
      <c r="C299" s="371" t="s">
        <v>279</v>
      </c>
      <c r="D299" s="371" t="s">
        <v>230</v>
      </c>
      <c r="E299" s="371" t="s">
        <v>949</v>
      </c>
      <c r="F299" s="371"/>
      <c r="G299" s="44">
        <f t="shared" ref="G299:H301" si="23">G300</f>
        <v>336</v>
      </c>
      <c r="H299" s="44">
        <f t="shared" si="23"/>
        <v>336</v>
      </c>
      <c r="I299" s="222"/>
    </row>
    <row r="300" spans="1:9" ht="47.25" x14ac:dyDescent="0.25">
      <c r="A300" s="372" t="s">
        <v>883</v>
      </c>
      <c r="B300" s="366">
        <v>903</v>
      </c>
      <c r="C300" s="368" t="s">
        <v>279</v>
      </c>
      <c r="D300" s="368" t="s">
        <v>230</v>
      </c>
      <c r="E300" s="368" t="s">
        <v>1263</v>
      </c>
      <c r="F300" s="368"/>
      <c r="G300" s="373">
        <f t="shared" si="23"/>
        <v>336</v>
      </c>
      <c r="H300" s="373">
        <f t="shared" si="23"/>
        <v>336</v>
      </c>
      <c r="I300" s="222"/>
    </row>
    <row r="301" spans="1:9" ht="78.75" x14ac:dyDescent="0.25">
      <c r="A301" s="372" t="s">
        <v>142</v>
      </c>
      <c r="B301" s="366">
        <v>903</v>
      </c>
      <c r="C301" s="368" t="s">
        <v>279</v>
      </c>
      <c r="D301" s="368" t="s">
        <v>230</v>
      </c>
      <c r="E301" s="368" t="s">
        <v>1263</v>
      </c>
      <c r="F301" s="368" t="s">
        <v>143</v>
      </c>
      <c r="G301" s="373">
        <f t="shared" si="23"/>
        <v>336</v>
      </c>
      <c r="H301" s="373">
        <f t="shared" si="23"/>
        <v>336</v>
      </c>
      <c r="I301" s="222"/>
    </row>
    <row r="302" spans="1:9" ht="31.5" x14ac:dyDescent="0.25">
      <c r="A302" s="372" t="s">
        <v>357</v>
      </c>
      <c r="B302" s="366">
        <v>903</v>
      </c>
      <c r="C302" s="368" t="s">
        <v>279</v>
      </c>
      <c r="D302" s="368" t="s">
        <v>230</v>
      </c>
      <c r="E302" s="368" t="s">
        <v>1263</v>
      </c>
      <c r="F302" s="368" t="s">
        <v>224</v>
      </c>
      <c r="G302" s="373">
        <f>336</f>
        <v>336</v>
      </c>
      <c r="H302" s="373">
        <f t="shared" si="20"/>
        <v>336</v>
      </c>
      <c r="I302" s="222"/>
    </row>
    <row r="303" spans="1:9" ht="47.25" x14ac:dyDescent="0.25">
      <c r="A303" s="370" t="s">
        <v>969</v>
      </c>
      <c r="B303" s="367">
        <v>903</v>
      </c>
      <c r="C303" s="371" t="s">
        <v>279</v>
      </c>
      <c r="D303" s="371" t="s">
        <v>230</v>
      </c>
      <c r="E303" s="371" t="s">
        <v>1264</v>
      </c>
      <c r="F303" s="371"/>
      <c r="G303" s="44">
        <f>G307+G310+G313+G304</f>
        <v>1001.7</v>
      </c>
      <c r="H303" s="44">
        <f>H307+H310+H313+H304</f>
        <v>1001.7</v>
      </c>
      <c r="I303" s="222"/>
    </row>
    <row r="304" spans="1:9" s="361" customFormat="1" ht="94.5" x14ac:dyDescent="0.25">
      <c r="A304" s="31" t="s">
        <v>308</v>
      </c>
      <c r="B304" s="366">
        <v>903</v>
      </c>
      <c r="C304" s="368" t="s">
        <v>279</v>
      </c>
      <c r="D304" s="368" t="s">
        <v>230</v>
      </c>
      <c r="E304" s="368" t="s">
        <v>1524</v>
      </c>
      <c r="F304" s="368"/>
      <c r="G304" s="374">
        <f>G305</f>
        <v>602.5</v>
      </c>
      <c r="H304" s="374">
        <f>H305</f>
        <v>602.5</v>
      </c>
      <c r="I304" s="362"/>
    </row>
    <row r="305" spans="1:9" s="361" customFormat="1" ht="78.75" x14ac:dyDescent="0.25">
      <c r="A305" s="372" t="s">
        <v>142</v>
      </c>
      <c r="B305" s="366">
        <v>903</v>
      </c>
      <c r="C305" s="368" t="s">
        <v>279</v>
      </c>
      <c r="D305" s="368" t="s">
        <v>230</v>
      </c>
      <c r="E305" s="368" t="s">
        <v>1524</v>
      </c>
      <c r="F305" s="368" t="s">
        <v>143</v>
      </c>
      <c r="G305" s="374">
        <f>G306</f>
        <v>602.5</v>
      </c>
      <c r="H305" s="374">
        <f>H306</f>
        <v>602.5</v>
      </c>
      <c r="I305" s="362"/>
    </row>
    <row r="306" spans="1:9" s="361" customFormat="1" ht="31.5" x14ac:dyDescent="0.25">
      <c r="A306" s="46" t="s">
        <v>357</v>
      </c>
      <c r="B306" s="366">
        <v>903</v>
      </c>
      <c r="C306" s="368" t="s">
        <v>279</v>
      </c>
      <c r="D306" s="368" t="s">
        <v>230</v>
      </c>
      <c r="E306" s="368" t="s">
        <v>1524</v>
      </c>
      <c r="F306" s="368" t="s">
        <v>224</v>
      </c>
      <c r="G306" s="374">
        <v>602.5</v>
      </c>
      <c r="H306" s="374">
        <v>602.5</v>
      </c>
      <c r="I306" s="362"/>
    </row>
    <row r="307" spans="1:9" ht="63" x14ac:dyDescent="0.25">
      <c r="A307" s="31" t="s">
        <v>304</v>
      </c>
      <c r="B307" s="366">
        <v>903</v>
      </c>
      <c r="C307" s="368" t="s">
        <v>279</v>
      </c>
      <c r="D307" s="368" t="s">
        <v>230</v>
      </c>
      <c r="E307" s="368" t="s">
        <v>1265</v>
      </c>
      <c r="F307" s="368"/>
      <c r="G307" s="373">
        <f>G308</f>
        <v>100.8</v>
      </c>
      <c r="H307" s="373">
        <f>H308</f>
        <v>100.8</v>
      </c>
      <c r="I307" s="222"/>
    </row>
    <row r="308" spans="1:9" ht="78.75" x14ac:dyDescent="0.25">
      <c r="A308" s="372" t="s">
        <v>142</v>
      </c>
      <c r="B308" s="366">
        <v>903</v>
      </c>
      <c r="C308" s="368" t="s">
        <v>279</v>
      </c>
      <c r="D308" s="368" t="s">
        <v>230</v>
      </c>
      <c r="E308" s="368" t="s">
        <v>1265</v>
      </c>
      <c r="F308" s="368" t="s">
        <v>143</v>
      </c>
      <c r="G308" s="373">
        <f>G309</f>
        <v>100.8</v>
      </c>
      <c r="H308" s="373">
        <f>H309</f>
        <v>100.8</v>
      </c>
      <c r="I308" s="222"/>
    </row>
    <row r="309" spans="1:9" ht="31.5" x14ac:dyDescent="0.25">
      <c r="A309" s="46" t="s">
        <v>357</v>
      </c>
      <c r="B309" s="366">
        <v>903</v>
      </c>
      <c r="C309" s="368" t="s">
        <v>279</v>
      </c>
      <c r="D309" s="368" t="s">
        <v>230</v>
      </c>
      <c r="E309" s="368" t="s">
        <v>1265</v>
      </c>
      <c r="F309" s="368" t="s">
        <v>224</v>
      </c>
      <c r="G309" s="373">
        <f>100.8</f>
        <v>100.8</v>
      </c>
      <c r="H309" s="373">
        <f t="shared" si="20"/>
        <v>100.8</v>
      </c>
      <c r="I309" s="222"/>
    </row>
    <row r="310" spans="1:9" ht="63" x14ac:dyDescent="0.25">
      <c r="A310" s="31" t="s">
        <v>306</v>
      </c>
      <c r="B310" s="366">
        <v>903</v>
      </c>
      <c r="C310" s="368" t="s">
        <v>279</v>
      </c>
      <c r="D310" s="368" t="s">
        <v>230</v>
      </c>
      <c r="E310" s="368" t="s">
        <v>1266</v>
      </c>
      <c r="F310" s="368"/>
      <c r="G310" s="373">
        <f>G311</f>
        <v>298.39999999999998</v>
      </c>
      <c r="H310" s="373">
        <f t="shared" si="20"/>
        <v>298.39999999999998</v>
      </c>
      <c r="I310" s="222"/>
    </row>
    <row r="311" spans="1:9" ht="78.75" x14ac:dyDescent="0.25">
      <c r="A311" s="372" t="s">
        <v>142</v>
      </c>
      <c r="B311" s="366">
        <v>903</v>
      </c>
      <c r="C311" s="368" t="s">
        <v>279</v>
      </c>
      <c r="D311" s="368" t="s">
        <v>230</v>
      </c>
      <c r="E311" s="368" t="s">
        <v>1266</v>
      </c>
      <c r="F311" s="368" t="s">
        <v>143</v>
      </c>
      <c r="G311" s="373">
        <f>G312</f>
        <v>298.39999999999998</v>
      </c>
      <c r="H311" s="373">
        <f>H312</f>
        <v>298.39999999999998</v>
      </c>
      <c r="I311" s="222"/>
    </row>
    <row r="312" spans="1:9" ht="31.5" x14ac:dyDescent="0.25">
      <c r="A312" s="46" t="s">
        <v>357</v>
      </c>
      <c r="B312" s="366">
        <v>903</v>
      </c>
      <c r="C312" s="368" t="s">
        <v>279</v>
      </c>
      <c r="D312" s="368" t="s">
        <v>230</v>
      </c>
      <c r="E312" s="368" t="s">
        <v>1266</v>
      </c>
      <c r="F312" s="368" t="s">
        <v>224</v>
      </c>
      <c r="G312" s="373">
        <f>298.4</f>
        <v>298.39999999999998</v>
      </c>
      <c r="H312" s="373">
        <f t="shared" si="20"/>
        <v>298.39999999999998</v>
      </c>
      <c r="I312" s="222"/>
    </row>
    <row r="313" spans="1:9" ht="94.5" hidden="1" x14ac:dyDescent="0.25">
      <c r="A313" s="31" t="s">
        <v>308</v>
      </c>
      <c r="B313" s="366">
        <v>903</v>
      </c>
      <c r="C313" s="368" t="s">
        <v>279</v>
      </c>
      <c r="D313" s="368" t="s">
        <v>230</v>
      </c>
      <c r="E313" s="368" t="s">
        <v>1267</v>
      </c>
      <c r="F313" s="368"/>
      <c r="G313" s="373">
        <f>G314</f>
        <v>0</v>
      </c>
      <c r="H313" s="373">
        <f>H314</f>
        <v>0</v>
      </c>
      <c r="I313" s="222"/>
    </row>
    <row r="314" spans="1:9" ht="78.75" hidden="1" x14ac:dyDescent="0.25">
      <c r="A314" s="372" t="s">
        <v>142</v>
      </c>
      <c r="B314" s="366">
        <v>903</v>
      </c>
      <c r="C314" s="368" t="s">
        <v>279</v>
      </c>
      <c r="D314" s="368" t="s">
        <v>230</v>
      </c>
      <c r="E314" s="368" t="s">
        <v>1267</v>
      </c>
      <c r="F314" s="368" t="s">
        <v>143</v>
      </c>
      <c r="G314" s="373">
        <f>G315</f>
        <v>0</v>
      </c>
      <c r="H314" s="373">
        <f>H315</f>
        <v>0</v>
      </c>
      <c r="I314" s="222"/>
    </row>
    <row r="315" spans="1:9" ht="31.5" hidden="1" x14ac:dyDescent="0.25">
      <c r="A315" s="46" t="s">
        <v>357</v>
      </c>
      <c r="B315" s="366">
        <v>903</v>
      </c>
      <c r="C315" s="368" t="s">
        <v>279</v>
      </c>
      <c r="D315" s="368" t="s">
        <v>230</v>
      </c>
      <c r="E315" s="368" t="s">
        <v>1267</v>
      </c>
      <c r="F315" s="368" t="s">
        <v>224</v>
      </c>
      <c r="G315" s="373">
        <f>602.5-602.5</f>
        <v>0</v>
      </c>
      <c r="H315" s="373">
        <f t="shared" si="20"/>
        <v>0</v>
      </c>
      <c r="I315" s="222"/>
    </row>
    <row r="316" spans="1:9" ht="63" x14ac:dyDescent="0.25">
      <c r="A316" s="41" t="s">
        <v>1429</v>
      </c>
      <c r="B316" s="367">
        <v>903</v>
      </c>
      <c r="C316" s="371" t="s">
        <v>279</v>
      </c>
      <c r="D316" s="371" t="s">
        <v>230</v>
      </c>
      <c r="E316" s="371" t="s">
        <v>726</v>
      </c>
      <c r="F316" s="371"/>
      <c r="G316" s="369">
        <f>G318</f>
        <v>221</v>
      </c>
      <c r="H316" s="369">
        <f>H318</f>
        <v>221</v>
      </c>
      <c r="I316" s="222"/>
    </row>
    <row r="317" spans="1:9" ht="47.25" x14ac:dyDescent="0.25">
      <c r="A317" s="41" t="s">
        <v>947</v>
      </c>
      <c r="B317" s="367">
        <v>903</v>
      </c>
      <c r="C317" s="371" t="s">
        <v>279</v>
      </c>
      <c r="D317" s="371" t="s">
        <v>230</v>
      </c>
      <c r="E317" s="371" t="s">
        <v>945</v>
      </c>
      <c r="F317" s="371"/>
      <c r="G317" s="369">
        <f t="shared" ref="G317:H319" si="24">G318</f>
        <v>221</v>
      </c>
      <c r="H317" s="369">
        <f t="shared" si="24"/>
        <v>221</v>
      </c>
      <c r="I317" s="222"/>
    </row>
    <row r="318" spans="1:9" ht="47.25" x14ac:dyDescent="0.25">
      <c r="A318" s="99" t="s">
        <v>1155</v>
      </c>
      <c r="B318" s="368" t="s">
        <v>642</v>
      </c>
      <c r="C318" s="368" t="s">
        <v>279</v>
      </c>
      <c r="D318" s="368" t="s">
        <v>230</v>
      </c>
      <c r="E318" s="368" t="s">
        <v>946</v>
      </c>
      <c r="F318" s="32"/>
      <c r="G318" s="373">
        <f t="shared" si="24"/>
        <v>221</v>
      </c>
      <c r="H318" s="373">
        <f t="shared" si="24"/>
        <v>221</v>
      </c>
      <c r="I318" s="222"/>
    </row>
    <row r="319" spans="1:9" ht="31.5" x14ac:dyDescent="0.25">
      <c r="A319" s="372" t="s">
        <v>146</v>
      </c>
      <c r="B319" s="366">
        <v>903</v>
      </c>
      <c r="C319" s="368" t="s">
        <v>279</v>
      </c>
      <c r="D319" s="368" t="s">
        <v>230</v>
      </c>
      <c r="E319" s="368" t="s">
        <v>946</v>
      </c>
      <c r="F319" s="32" t="s">
        <v>147</v>
      </c>
      <c r="G319" s="373">
        <f t="shared" si="24"/>
        <v>221</v>
      </c>
      <c r="H319" s="373">
        <f t="shared" si="24"/>
        <v>221</v>
      </c>
      <c r="I319" s="222"/>
    </row>
    <row r="320" spans="1:9" ht="31.5" x14ac:dyDescent="0.25">
      <c r="A320" s="372" t="s">
        <v>148</v>
      </c>
      <c r="B320" s="366">
        <v>903</v>
      </c>
      <c r="C320" s="368" t="s">
        <v>279</v>
      </c>
      <c r="D320" s="368" t="s">
        <v>230</v>
      </c>
      <c r="E320" s="368" t="s">
        <v>946</v>
      </c>
      <c r="F320" s="32" t="s">
        <v>149</v>
      </c>
      <c r="G320" s="373">
        <f>221</f>
        <v>221</v>
      </c>
      <c r="H320" s="373">
        <f t="shared" si="20"/>
        <v>221</v>
      </c>
      <c r="I320" s="222"/>
    </row>
    <row r="321" spans="1:9" ht="15.75" x14ac:dyDescent="0.25">
      <c r="A321" s="370" t="s">
        <v>481</v>
      </c>
      <c r="B321" s="367">
        <v>903</v>
      </c>
      <c r="C321" s="371" t="s">
        <v>279</v>
      </c>
      <c r="D321" s="371" t="s">
        <v>279</v>
      </c>
      <c r="E321" s="368"/>
      <c r="F321" s="368"/>
      <c r="G321" s="369">
        <f>G322</f>
        <v>760</v>
      </c>
      <c r="H321" s="369">
        <f>H322</f>
        <v>760</v>
      </c>
      <c r="I321" s="222"/>
    </row>
    <row r="322" spans="1:9" ht="47.25" x14ac:dyDescent="0.25">
      <c r="A322" s="370" t="s">
        <v>1427</v>
      </c>
      <c r="B322" s="367">
        <v>903</v>
      </c>
      <c r="C322" s="371" t="s">
        <v>279</v>
      </c>
      <c r="D322" s="371" t="s">
        <v>279</v>
      </c>
      <c r="E322" s="371" t="s">
        <v>359</v>
      </c>
      <c r="F322" s="371"/>
      <c r="G322" s="369">
        <f>G323</f>
        <v>760</v>
      </c>
      <c r="H322" s="369">
        <f>H323</f>
        <v>760</v>
      </c>
      <c r="I322" s="222"/>
    </row>
    <row r="323" spans="1:9" ht="31.5" x14ac:dyDescent="0.25">
      <c r="A323" s="370" t="s">
        <v>360</v>
      </c>
      <c r="B323" s="367">
        <v>903</v>
      </c>
      <c r="C323" s="371" t="s">
        <v>279</v>
      </c>
      <c r="D323" s="371" t="s">
        <v>279</v>
      </c>
      <c r="E323" s="371" t="s">
        <v>361</v>
      </c>
      <c r="F323" s="371"/>
      <c r="G323" s="369">
        <f>G324+G331+G337</f>
        <v>760</v>
      </c>
      <c r="H323" s="369">
        <f>H324+H331+H337</f>
        <v>760</v>
      </c>
      <c r="I323" s="222"/>
    </row>
    <row r="324" spans="1:9" ht="47.25" x14ac:dyDescent="0.25">
      <c r="A324" s="238" t="s">
        <v>1196</v>
      </c>
      <c r="B324" s="367">
        <v>903</v>
      </c>
      <c r="C324" s="371" t="s">
        <v>279</v>
      </c>
      <c r="D324" s="371" t="s">
        <v>279</v>
      </c>
      <c r="E324" s="371" t="s">
        <v>950</v>
      </c>
      <c r="F324" s="371"/>
      <c r="G324" s="369">
        <f>G325+G328</f>
        <v>280</v>
      </c>
      <c r="H324" s="369">
        <f>H325+H328</f>
        <v>280</v>
      </c>
      <c r="I324" s="222"/>
    </row>
    <row r="325" spans="1:9" ht="31.5" x14ac:dyDescent="0.25">
      <c r="A325" s="99" t="s">
        <v>1202</v>
      </c>
      <c r="B325" s="366">
        <v>903</v>
      </c>
      <c r="C325" s="368" t="s">
        <v>279</v>
      </c>
      <c r="D325" s="368" t="s">
        <v>279</v>
      </c>
      <c r="E325" s="368" t="s">
        <v>951</v>
      </c>
      <c r="F325" s="368"/>
      <c r="G325" s="373">
        <f>G326</f>
        <v>280</v>
      </c>
      <c r="H325" s="373">
        <f>H326</f>
        <v>280</v>
      </c>
      <c r="I325" s="222"/>
    </row>
    <row r="326" spans="1:9" ht="78.75" x14ac:dyDescent="0.25">
      <c r="A326" s="372" t="s">
        <v>142</v>
      </c>
      <c r="B326" s="366">
        <v>903</v>
      </c>
      <c r="C326" s="368" t="s">
        <v>279</v>
      </c>
      <c r="D326" s="368" t="s">
        <v>279</v>
      </c>
      <c r="E326" s="368" t="s">
        <v>951</v>
      </c>
      <c r="F326" s="368" t="s">
        <v>143</v>
      </c>
      <c r="G326" s="373">
        <f>G327</f>
        <v>280</v>
      </c>
      <c r="H326" s="373">
        <f>H327</f>
        <v>280</v>
      </c>
      <c r="I326" s="222"/>
    </row>
    <row r="327" spans="1:9" ht="31.5" x14ac:dyDescent="0.25">
      <c r="A327" s="372" t="s">
        <v>357</v>
      </c>
      <c r="B327" s="366">
        <v>903</v>
      </c>
      <c r="C327" s="368" t="s">
        <v>279</v>
      </c>
      <c r="D327" s="368" t="s">
        <v>279</v>
      </c>
      <c r="E327" s="368" t="s">
        <v>951</v>
      </c>
      <c r="F327" s="368" t="s">
        <v>224</v>
      </c>
      <c r="G327" s="373">
        <f>280</f>
        <v>280</v>
      </c>
      <c r="H327" s="373">
        <f t="shared" si="20"/>
        <v>280</v>
      </c>
      <c r="I327" s="222"/>
    </row>
    <row r="328" spans="1:9" ht="31.5" hidden="1" x14ac:dyDescent="0.25">
      <c r="A328" s="372" t="s">
        <v>1197</v>
      </c>
      <c r="B328" s="366">
        <v>903</v>
      </c>
      <c r="C328" s="368" t="s">
        <v>279</v>
      </c>
      <c r="D328" s="368" t="s">
        <v>279</v>
      </c>
      <c r="E328" s="368" t="s">
        <v>1221</v>
      </c>
      <c r="F328" s="368"/>
      <c r="G328" s="373">
        <f>'Пр.4 ведом.20'!G324</f>
        <v>0</v>
      </c>
      <c r="H328" s="373">
        <f t="shared" si="20"/>
        <v>0</v>
      </c>
      <c r="I328" s="222"/>
    </row>
    <row r="329" spans="1:9" ht="31.5" hidden="1" x14ac:dyDescent="0.25">
      <c r="A329" s="372" t="s">
        <v>146</v>
      </c>
      <c r="B329" s="366">
        <v>903</v>
      </c>
      <c r="C329" s="368" t="s">
        <v>279</v>
      </c>
      <c r="D329" s="368" t="s">
        <v>279</v>
      </c>
      <c r="E329" s="368" t="s">
        <v>1221</v>
      </c>
      <c r="F329" s="368" t="s">
        <v>147</v>
      </c>
      <c r="G329" s="373">
        <f>'Пр.4 ведом.20'!G325</f>
        <v>0</v>
      </c>
      <c r="H329" s="373">
        <f t="shared" si="20"/>
        <v>0</v>
      </c>
      <c r="I329" s="222"/>
    </row>
    <row r="330" spans="1:9" ht="31.5" hidden="1" x14ac:dyDescent="0.25">
      <c r="A330" s="372" t="s">
        <v>148</v>
      </c>
      <c r="B330" s="366">
        <v>903</v>
      </c>
      <c r="C330" s="368" t="s">
        <v>279</v>
      </c>
      <c r="D330" s="368" t="s">
        <v>279</v>
      </c>
      <c r="E330" s="368" t="s">
        <v>1221</v>
      </c>
      <c r="F330" s="368" t="s">
        <v>149</v>
      </c>
      <c r="G330" s="373">
        <f>'Пр.4 ведом.20'!G326</f>
        <v>0</v>
      </c>
      <c r="H330" s="373">
        <f t="shared" si="20"/>
        <v>0</v>
      </c>
      <c r="I330" s="222"/>
    </row>
    <row r="331" spans="1:9" ht="63" x14ac:dyDescent="0.25">
      <c r="A331" s="370" t="s">
        <v>1198</v>
      </c>
      <c r="B331" s="367">
        <v>903</v>
      </c>
      <c r="C331" s="371" t="s">
        <v>279</v>
      </c>
      <c r="D331" s="371" t="s">
        <v>279</v>
      </c>
      <c r="E331" s="371" t="s">
        <v>952</v>
      </c>
      <c r="F331" s="371"/>
      <c r="G331" s="369">
        <f>G332</f>
        <v>455</v>
      </c>
      <c r="H331" s="369">
        <f>H332</f>
        <v>455</v>
      </c>
      <c r="I331" s="222"/>
    </row>
    <row r="332" spans="1:9" ht="15.75" x14ac:dyDescent="0.25">
      <c r="A332" s="372" t="s">
        <v>1199</v>
      </c>
      <c r="B332" s="366">
        <v>903</v>
      </c>
      <c r="C332" s="368" t="s">
        <v>279</v>
      </c>
      <c r="D332" s="368" t="s">
        <v>279</v>
      </c>
      <c r="E332" s="368" t="s">
        <v>970</v>
      </c>
      <c r="F332" s="368"/>
      <c r="G332" s="373">
        <f>G333+G335</f>
        <v>455</v>
      </c>
      <c r="H332" s="373">
        <f>H333+H335</f>
        <v>455</v>
      </c>
      <c r="I332" s="222"/>
    </row>
    <row r="333" spans="1:9" ht="78.75" x14ac:dyDescent="0.25">
      <c r="A333" s="372" t="s">
        <v>142</v>
      </c>
      <c r="B333" s="366">
        <v>903</v>
      </c>
      <c r="C333" s="368" t="s">
        <v>279</v>
      </c>
      <c r="D333" s="368" t="s">
        <v>279</v>
      </c>
      <c r="E333" s="368" t="s">
        <v>970</v>
      </c>
      <c r="F333" s="368" t="s">
        <v>143</v>
      </c>
      <c r="G333" s="373">
        <f>G334</f>
        <v>40</v>
      </c>
      <c r="H333" s="373">
        <f>H334</f>
        <v>40</v>
      </c>
      <c r="I333" s="222"/>
    </row>
    <row r="334" spans="1:9" ht="31.5" x14ac:dyDescent="0.25">
      <c r="A334" s="372" t="s">
        <v>357</v>
      </c>
      <c r="B334" s="366">
        <v>903</v>
      </c>
      <c r="C334" s="368" t="s">
        <v>279</v>
      </c>
      <c r="D334" s="368" t="s">
        <v>279</v>
      </c>
      <c r="E334" s="368" t="s">
        <v>970</v>
      </c>
      <c r="F334" s="368" t="s">
        <v>224</v>
      </c>
      <c r="G334" s="373">
        <f>40</f>
        <v>40</v>
      </c>
      <c r="H334" s="373">
        <f t="shared" si="20"/>
        <v>40</v>
      </c>
      <c r="I334" s="222"/>
    </row>
    <row r="335" spans="1:9" ht="31.5" x14ac:dyDescent="0.25">
      <c r="A335" s="372" t="s">
        <v>146</v>
      </c>
      <c r="B335" s="366">
        <v>903</v>
      </c>
      <c r="C335" s="368" t="s">
        <v>279</v>
      </c>
      <c r="D335" s="368" t="s">
        <v>279</v>
      </c>
      <c r="E335" s="368" t="s">
        <v>970</v>
      </c>
      <c r="F335" s="368" t="s">
        <v>147</v>
      </c>
      <c r="G335" s="373">
        <f>G336</f>
        <v>415</v>
      </c>
      <c r="H335" s="373">
        <f>H336</f>
        <v>415</v>
      </c>
      <c r="I335" s="222"/>
    </row>
    <row r="336" spans="1:9" ht="31.5" x14ac:dyDescent="0.25">
      <c r="A336" s="372" t="s">
        <v>148</v>
      </c>
      <c r="B336" s="366">
        <v>903</v>
      </c>
      <c r="C336" s="368" t="s">
        <v>279</v>
      </c>
      <c r="D336" s="368" t="s">
        <v>279</v>
      </c>
      <c r="E336" s="368" t="s">
        <v>970</v>
      </c>
      <c r="F336" s="368" t="s">
        <v>149</v>
      </c>
      <c r="G336" s="373">
        <f>415</f>
        <v>415</v>
      </c>
      <c r="H336" s="373">
        <f t="shared" si="20"/>
        <v>415</v>
      </c>
      <c r="I336" s="222"/>
    </row>
    <row r="337" spans="1:9" ht="31.5" x14ac:dyDescent="0.25">
      <c r="A337" s="370" t="s">
        <v>1204</v>
      </c>
      <c r="B337" s="367">
        <v>903</v>
      </c>
      <c r="C337" s="371" t="s">
        <v>279</v>
      </c>
      <c r="D337" s="371" t="s">
        <v>279</v>
      </c>
      <c r="E337" s="371" t="s">
        <v>1200</v>
      </c>
      <c r="F337" s="371"/>
      <c r="G337" s="369">
        <f t="shared" ref="G337:H339" si="25">G338</f>
        <v>25</v>
      </c>
      <c r="H337" s="369">
        <f t="shared" si="25"/>
        <v>25</v>
      </c>
      <c r="I337" s="222"/>
    </row>
    <row r="338" spans="1:9" ht="47.25" x14ac:dyDescent="0.25">
      <c r="A338" s="264" t="s">
        <v>1201</v>
      </c>
      <c r="B338" s="366">
        <v>903</v>
      </c>
      <c r="C338" s="368" t="s">
        <v>279</v>
      </c>
      <c r="D338" s="368" t="s">
        <v>279</v>
      </c>
      <c r="E338" s="368" t="s">
        <v>1222</v>
      </c>
      <c r="F338" s="368"/>
      <c r="G338" s="373">
        <f t="shared" si="25"/>
        <v>25</v>
      </c>
      <c r="H338" s="373">
        <f t="shared" si="25"/>
        <v>25</v>
      </c>
      <c r="I338" s="222"/>
    </row>
    <row r="339" spans="1:9" ht="31.5" x14ac:dyDescent="0.25">
      <c r="A339" s="372" t="s">
        <v>263</v>
      </c>
      <c r="B339" s="366">
        <v>903</v>
      </c>
      <c r="C339" s="368" t="s">
        <v>279</v>
      </c>
      <c r="D339" s="368" t="s">
        <v>279</v>
      </c>
      <c r="E339" s="368" t="s">
        <v>1222</v>
      </c>
      <c r="F339" s="368" t="s">
        <v>264</v>
      </c>
      <c r="G339" s="373">
        <f t="shared" si="25"/>
        <v>25</v>
      </c>
      <c r="H339" s="373">
        <f t="shared" si="25"/>
        <v>25</v>
      </c>
      <c r="I339" s="222"/>
    </row>
    <row r="340" spans="1:9" ht="31.5" x14ac:dyDescent="0.25">
      <c r="A340" s="372" t="s">
        <v>363</v>
      </c>
      <c r="B340" s="366">
        <v>903</v>
      </c>
      <c r="C340" s="368" t="s">
        <v>279</v>
      </c>
      <c r="D340" s="368" t="s">
        <v>279</v>
      </c>
      <c r="E340" s="368" t="s">
        <v>1222</v>
      </c>
      <c r="F340" s="368" t="s">
        <v>364</v>
      </c>
      <c r="G340" s="373">
        <f>25</f>
        <v>25</v>
      </c>
      <c r="H340" s="373">
        <f t="shared" si="20"/>
        <v>25</v>
      </c>
      <c r="I340" s="222"/>
    </row>
    <row r="341" spans="1:9" ht="15.75" x14ac:dyDescent="0.25">
      <c r="A341" s="370" t="s">
        <v>313</v>
      </c>
      <c r="B341" s="367">
        <v>903</v>
      </c>
      <c r="C341" s="371" t="s">
        <v>314</v>
      </c>
      <c r="D341" s="371"/>
      <c r="E341" s="371"/>
      <c r="F341" s="371"/>
      <c r="G341" s="369">
        <f>G342+G415</f>
        <v>70268.512000000002</v>
      </c>
      <c r="H341" s="369">
        <f>H342+H415</f>
        <v>67994.2</v>
      </c>
      <c r="I341" s="222"/>
    </row>
    <row r="342" spans="1:9" ht="15.75" x14ac:dyDescent="0.25">
      <c r="A342" s="370" t="s">
        <v>315</v>
      </c>
      <c r="B342" s="367">
        <v>903</v>
      </c>
      <c r="C342" s="371" t="s">
        <v>314</v>
      </c>
      <c r="D342" s="371" t="s">
        <v>133</v>
      </c>
      <c r="E342" s="371"/>
      <c r="F342" s="371"/>
      <c r="G342" s="369">
        <f>G343+G410+G405</f>
        <v>52929.512000000002</v>
      </c>
      <c r="H342" s="369">
        <f>H343+H410+H405</f>
        <v>50655.199999999997</v>
      </c>
      <c r="I342" s="222"/>
    </row>
    <row r="343" spans="1:9" ht="39.200000000000003" customHeight="1" x14ac:dyDescent="0.25">
      <c r="A343" s="370" t="s">
        <v>1430</v>
      </c>
      <c r="B343" s="367">
        <v>903</v>
      </c>
      <c r="C343" s="371" t="s">
        <v>314</v>
      </c>
      <c r="D343" s="371" t="s">
        <v>133</v>
      </c>
      <c r="E343" s="371" t="s">
        <v>282</v>
      </c>
      <c r="F343" s="371"/>
      <c r="G343" s="369">
        <f>G344+G371</f>
        <v>52136.312000000005</v>
      </c>
      <c r="H343" s="369">
        <f>H344+H371</f>
        <v>49862</v>
      </c>
      <c r="I343" s="222"/>
    </row>
    <row r="344" spans="1:9" ht="47.25" x14ac:dyDescent="0.25">
      <c r="A344" s="370" t="s">
        <v>1431</v>
      </c>
      <c r="B344" s="367">
        <v>903</v>
      </c>
      <c r="C344" s="371" t="s">
        <v>314</v>
      </c>
      <c r="D344" s="371" t="s">
        <v>133</v>
      </c>
      <c r="E344" s="371" t="s">
        <v>317</v>
      </c>
      <c r="F344" s="371"/>
      <c r="G344" s="369">
        <f>G345+G353+G359+G363+G367</f>
        <v>27742.858</v>
      </c>
      <c r="H344" s="369">
        <f>H345+H353+H359+H363+H367</f>
        <v>25446.3</v>
      </c>
      <c r="I344" s="222"/>
    </row>
    <row r="345" spans="1:9" ht="33.75" customHeight="1" x14ac:dyDescent="0.25">
      <c r="A345" s="370" t="s">
        <v>954</v>
      </c>
      <c r="B345" s="367">
        <v>903</v>
      </c>
      <c r="C345" s="371" t="s">
        <v>314</v>
      </c>
      <c r="D345" s="371" t="s">
        <v>133</v>
      </c>
      <c r="E345" s="371" t="s">
        <v>955</v>
      </c>
      <c r="F345" s="371"/>
      <c r="G345" s="369">
        <f>G346</f>
        <v>23784</v>
      </c>
      <c r="H345" s="369">
        <f>H346</f>
        <v>23784</v>
      </c>
      <c r="I345" s="222"/>
    </row>
    <row r="346" spans="1:9" ht="15.75" x14ac:dyDescent="0.25">
      <c r="A346" s="372" t="s">
        <v>830</v>
      </c>
      <c r="B346" s="366">
        <v>903</v>
      </c>
      <c r="C346" s="368" t="s">
        <v>314</v>
      </c>
      <c r="D346" s="368" t="s">
        <v>133</v>
      </c>
      <c r="E346" s="368" t="s">
        <v>953</v>
      </c>
      <c r="F346" s="368"/>
      <c r="G346" s="373">
        <f>G347+G349+G351</f>
        <v>23784</v>
      </c>
      <c r="H346" s="373">
        <f>H347+H349+H351</f>
        <v>23784</v>
      </c>
      <c r="I346" s="222"/>
    </row>
    <row r="347" spans="1:9" ht="78.75" x14ac:dyDescent="0.25">
      <c r="A347" s="372" t="s">
        <v>142</v>
      </c>
      <c r="B347" s="366">
        <v>903</v>
      </c>
      <c r="C347" s="368" t="s">
        <v>314</v>
      </c>
      <c r="D347" s="368" t="s">
        <v>133</v>
      </c>
      <c r="E347" s="368" t="s">
        <v>953</v>
      </c>
      <c r="F347" s="368" t="s">
        <v>143</v>
      </c>
      <c r="G347" s="373">
        <f>G348</f>
        <v>20032</v>
      </c>
      <c r="H347" s="373">
        <f>H348</f>
        <v>20032</v>
      </c>
      <c r="I347" s="222"/>
    </row>
    <row r="348" spans="1:9" ht="15.75" x14ac:dyDescent="0.25">
      <c r="A348" s="372" t="s">
        <v>223</v>
      </c>
      <c r="B348" s="366">
        <v>903</v>
      </c>
      <c r="C348" s="368" t="s">
        <v>314</v>
      </c>
      <c r="D348" s="368" t="s">
        <v>133</v>
      </c>
      <c r="E348" s="368" t="s">
        <v>953</v>
      </c>
      <c r="F348" s="368" t="s">
        <v>224</v>
      </c>
      <c r="G348" s="373">
        <f>20032</f>
        <v>20032</v>
      </c>
      <c r="H348" s="373">
        <f t="shared" si="20"/>
        <v>20032</v>
      </c>
      <c r="I348" s="222"/>
    </row>
    <row r="349" spans="1:9" ht="31.5" x14ac:dyDescent="0.25">
      <c r="A349" s="372" t="s">
        <v>146</v>
      </c>
      <c r="B349" s="366">
        <v>903</v>
      </c>
      <c r="C349" s="368" t="s">
        <v>314</v>
      </c>
      <c r="D349" s="368" t="s">
        <v>133</v>
      </c>
      <c r="E349" s="368" t="s">
        <v>953</v>
      </c>
      <c r="F349" s="368" t="s">
        <v>147</v>
      </c>
      <c r="G349" s="373">
        <f>G350</f>
        <v>3715</v>
      </c>
      <c r="H349" s="373">
        <f>H350</f>
        <v>3715</v>
      </c>
      <c r="I349" s="222"/>
    </row>
    <row r="350" spans="1:9" ht="31.5" x14ac:dyDescent="0.25">
      <c r="A350" s="372" t="s">
        <v>148</v>
      </c>
      <c r="B350" s="366">
        <v>903</v>
      </c>
      <c r="C350" s="368" t="s">
        <v>314</v>
      </c>
      <c r="D350" s="368" t="s">
        <v>133</v>
      </c>
      <c r="E350" s="368" t="s">
        <v>953</v>
      </c>
      <c r="F350" s="368" t="s">
        <v>149</v>
      </c>
      <c r="G350" s="373">
        <f>3715</f>
        <v>3715</v>
      </c>
      <c r="H350" s="373">
        <f t="shared" si="20"/>
        <v>3715</v>
      </c>
      <c r="I350" s="222"/>
    </row>
    <row r="351" spans="1:9" ht="15.75" x14ac:dyDescent="0.25">
      <c r="A351" s="372" t="s">
        <v>150</v>
      </c>
      <c r="B351" s="366">
        <v>903</v>
      </c>
      <c r="C351" s="368" t="s">
        <v>314</v>
      </c>
      <c r="D351" s="368" t="s">
        <v>133</v>
      </c>
      <c r="E351" s="368" t="s">
        <v>953</v>
      </c>
      <c r="F351" s="368" t="s">
        <v>160</v>
      </c>
      <c r="G351" s="373">
        <f>G352</f>
        <v>37</v>
      </c>
      <c r="H351" s="373">
        <f>H352</f>
        <v>37</v>
      </c>
      <c r="I351" s="222"/>
    </row>
    <row r="352" spans="1:9" ht="15.75" x14ac:dyDescent="0.25">
      <c r="A352" s="372" t="s">
        <v>583</v>
      </c>
      <c r="B352" s="366">
        <v>903</v>
      </c>
      <c r="C352" s="368" t="s">
        <v>314</v>
      </c>
      <c r="D352" s="368" t="s">
        <v>133</v>
      </c>
      <c r="E352" s="368" t="s">
        <v>953</v>
      </c>
      <c r="F352" s="368" t="s">
        <v>153</v>
      </c>
      <c r="G352" s="373">
        <f>37</f>
        <v>37</v>
      </c>
      <c r="H352" s="373">
        <f t="shared" ref="H352:H414" si="26">G352</f>
        <v>37</v>
      </c>
      <c r="I352" s="222"/>
    </row>
    <row r="353" spans="1:11" ht="31.5" x14ac:dyDescent="0.25">
      <c r="A353" s="244" t="s">
        <v>968</v>
      </c>
      <c r="B353" s="367">
        <v>903</v>
      </c>
      <c r="C353" s="371" t="s">
        <v>314</v>
      </c>
      <c r="D353" s="371" t="s">
        <v>133</v>
      </c>
      <c r="E353" s="371" t="s">
        <v>956</v>
      </c>
      <c r="F353" s="371"/>
      <c r="G353" s="369">
        <f>G354+G355</f>
        <v>250</v>
      </c>
      <c r="H353" s="369">
        <f t="shared" ref="H353:K353" si="27">H354+H355</f>
        <v>250</v>
      </c>
      <c r="I353" s="369">
        <f t="shared" si="27"/>
        <v>0</v>
      </c>
      <c r="J353" s="369">
        <f t="shared" si="27"/>
        <v>0</v>
      </c>
      <c r="K353" s="369">
        <f t="shared" si="27"/>
        <v>0</v>
      </c>
    </row>
    <row r="354" spans="1:11" ht="31.5" x14ac:dyDescent="0.25">
      <c r="A354" s="31" t="s">
        <v>858</v>
      </c>
      <c r="B354" s="366">
        <v>903</v>
      </c>
      <c r="C354" s="368" t="s">
        <v>314</v>
      </c>
      <c r="D354" s="368" t="s">
        <v>133</v>
      </c>
      <c r="E354" s="368" t="s">
        <v>957</v>
      </c>
      <c r="F354" s="368"/>
      <c r="G354" s="373">
        <f>G357</f>
        <v>250</v>
      </c>
      <c r="H354" s="373">
        <f>H357</f>
        <v>250</v>
      </c>
      <c r="I354" s="222"/>
    </row>
    <row r="355" spans="1:11" ht="78.75" hidden="1" x14ac:dyDescent="0.25">
      <c r="A355" s="372" t="s">
        <v>142</v>
      </c>
      <c r="B355" s="366">
        <v>903</v>
      </c>
      <c r="C355" s="368" t="s">
        <v>314</v>
      </c>
      <c r="D355" s="368" t="s">
        <v>133</v>
      </c>
      <c r="E355" s="368" t="s">
        <v>957</v>
      </c>
      <c r="F355" s="368" t="s">
        <v>143</v>
      </c>
      <c r="G355" s="373">
        <f>G356</f>
        <v>0</v>
      </c>
      <c r="H355" s="373">
        <f t="shared" si="26"/>
        <v>0</v>
      </c>
      <c r="I355" s="222"/>
    </row>
    <row r="356" spans="1:11" ht="15.75" hidden="1" x14ac:dyDescent="0.25">
      <c r="A356" s="372" t="s">
        <v>223</v>
      </c>
      <c r="B356" s="366">
        <v>903</v>
      </c>
      <c r="C356" s="368" t="s">
        <v>314</v>
      </c>
      <c r="D356" s="368" t="s">
        <v>133</v>
      </c>
      <c r="E356" s="368" t="s">
        <v>957</v>
      </c>
      <c r="F356" s="368" t="s">
        <v>224</v>
      </c>
      <c r="G356" s="373">
        <v>0</v>
      </c>
      <c r="H356" s="373">
        <f t="shared" si="26"/>
        <v>0</v>
      </c>
      <c r="I356" s="222"/>
    </row>
    <row r="357" spans="1:11" ht="31.5" x14ac:dyDescent="0.25">
      <c r="A357" s="372" t="s">
        <v>146</v>
      </c>
      <c r="B357" s="366">
        <v>903</v>
      </c>
      <c r="C357" s="368" t="s">
        <v>314</v>
      </c>
      <c r="D357" s="368" t="s">
        <v>133</v>
      </c>
      <c r="E357" s="368" t="s">
        <v>957</v>
      </c>
      <c r="F357" s="368" t="s">
        <v>147</v>
      </c>
      <c r="G357" s="373">
        <f>G358</f>
        <v>250</v>
      </c>
      <c r="H357" s="373">
        <f>H358</f>
        <v>250</v>
      </c>
      <c r="I357" s="222"/>
    </row>
    <row r="358" spans="1:11" ht="31.5" x14ac:dyDescent="0.25">
      <c r="A358" s="372" t="s">
        <v>148</v>
      </c>
      <c r="B358" s="366">
        <v>903</v>
      </c>
      <c r="C358" s="368" t="s">
        <v>314</v>
      </c>
      <c r="D358" s="368" t="s">
        <v>133</v>
      </c>
      <c r="E358" s="368" t="s">
        <v>957</v>
      </c>
      <c r="F358" s="368" t="s">
        <v>149</v>
      </c>
      <c r="G358" s="373">
        <f>250</f>
        <v>250</v>
      </c>
      <c r="H358" s="373">
        <f t="shared" si="26"/>
        <v>250</v>
      </c>
      <c r="I358" s="222"/>
    </row>
    <row r="359" spans="1:11" ht="31.5" x14ac:dyDescent="0.25">
      <c r="A359" s="370" t="s">
        <v>1074</v>
      </c>
      <c r="B359" s="367">
        <v>903</v>
      </c>
      <c r="C359" s="371" t="s">
        <v>314</v>
      </c>
      <c r="D359" s="371" t="s">
        <v>133</v>
      </c>
      <c r="E359" s="371" t="s">
        <v>1162</v>
      </c>
      <c r="F359" s="371"/>
      <c r="G359" s="44">
        <f t="shared" ref="G359:H361" si="28">G360</f>
        <v>588</v>
      </c>
      <c r="H359" s="44">
        <f t="shared" si="28"/>
        <v>588</v>
      </c>
      <c r="I359" s="222"/>
    </row>
    <row r="360" spans="1:11" ht="47.25" x14ac:dyDescent="0.25">
      <c r="A360" s="372" t="s">
        <v>883</v>
      </c>
      <c r="B360" s="366">
        <v>903</v>
      </c>
      <c r="C360" s="368" t="s">
        <v>314</v>
      </c>
      <c r="D360" s="368" t="s">
        <v>133</v>
      </c>
      <c r="E360" s="368" t="s">
        <v>1163</v>
      </c>
      <c r="F360" s="368"/>
      <c r="G360" s="373">
        <f t="shared" si="28"/>
        <v>588</v>
      </c>
      <c r="H360" s="373">
        <f t="shared" si="28"/>
        <v>588</v>
      </c>
      <c r="I360" s="222"/>
    </row>
    <row r="361" spans="1:11" ht="78.75" x14ac:dyDescent="0.25">
      <c r="A361" s="372" t="s">
        <v>142</v>
      </c>
      <c r="B361" s="366">
        <v>903</v>
      </c>
      <c r="C361" s="368" t="s">
        <v>314</v>
      </c>
      <c r="D361" s="368" t="s">
        <v>133</v>
      </c>
      <c r="E361" s="368" t="s">
        <v>1163</v>
      </c>
      <c r="F361" s="368" t="s">
        <v>143</v>
      </c>
      <c r="G361" s="373">
        <f t="shared" si="28"/>
        <v>588</v>
      </c>
      <c r="H361" s="373">
        <f t="shared" si="28"/>
        <v>588</v>
      </c>
      <c r="I361" s="222"/>
    </row>
    <row r="362" spans="1:11" ht="31.5" x14ac:dyDescent="0.25">
      <c r="A362" s="372" t="s">
        <v>144</v>
      </c>
      <c r="B362" s="366">
        <v>903</v>
      </c>
      <c r="C362" s="368" t="s">
        <v>314</v>
      </c>
      <c r="D362" s="368" t="s">
        <v>133</v>
      </c>
      <c r="E362" s="368" t="s">
        <v>1163</v>
      </c>
      <c r="F362" s="368" t="s">
        <v>224</v>
      </c>
      <c r="G362" s="373">
        <f>588</f>
        <v>588</v>
      </c>
      <c r="H362" s="373">
        <f t="shared" si="26"/>
        <v>588</v>
      </c>
      <c r="I362" s="222"/>
    </row>
    <row r="363" spans="1:11" ht="47.25" x14ac:dyDescent="0.25">
      <c r="A363" s="245" t="s">
        <v>969</v>
      </c>
      <c r="B363" s="367">
        <v>903</v>
      </c>
      <c r="C363" s="371" t="s">
        <v>314</v>
      </c>
      <c r="D363" s="371" t="s">
        <v>133</v>
      </c>
      <c r="E363" s="371" t="s">
        <v>1164</v>
      </c>
      <c r="F363" s="371"/>
      <c r="G363" s="369">
        <f t="shared" ref="G363:H365" si="29">G364</f>
        <v>824.3</v>
      </c>
      <c r="H363" s="369">
        <f t="shared" si="29"/>
        <v>824.3</v>
      </c>
      <c r="I363" s="222"/>
    </row>
    <row r="364" spans="1:11" ht="94.5" x14ac:dyDescent="0.25">
      <c r="A364" s="31" t="s">
        <v>308</v>
      </c>
      <c r="B364" s="366">
        <v>903</v>
      </c>
      <c r="C364" s="368" t="s">
        <v>314</v>
      </c>
      <c r="D364" s="368" t="s">
        <v>133</v>
      </c>
      <c r="E364" s="368" t="s">
        <v>1527</v>
      </c>
      <c r="F364" s="368"/>
      <c r="G364" s="373">
        <f t="shared" si="29"/>
        <v>824.3</v>
      </c>
      <c r="H364" s="373">
        <f t="shared" si="29"/>
        <v>824.3</v>
      </c>
      <c r="I364" s="222"/>
    </row>
    <row r="365" spans="1:11" ht="78.75" x14ac:dyDescent="0.25">
      <c r="A365" s="372" t="s">
        <v>142</v>
      </c>
      <c r="B365" s="366">
        <v>903</v>
      </c>
      <c r="C365" s="368" t="s">
        <v>314</v>
      </c>
      <c r="D365" s="368" t="s">
        <v>133</v>
      </c>
      <c r="E365" s="368" t="s">
        <v>1527</v>
      </c>
      <c r="F365" s="368" t="s">
        <v>143</v>
      </c>
      <c r="G365" s="373">
        <f t="shared" si="29"/>
        <v>824.3</v>
      </c>
      <c r="H365" s="373">
        <f t="shared" si="29"/>
        <v>824.3</v>
      </c>
      <c r="I365" s="222"/>
    </row>
    <row r="366" spans="1:11" ht="15.75" x14ac:dyDescent="0.25">
      <c r="A366" s="372" t="s">
        <v>223</v>
      </c>
      <c r="B366" s="366">
        <v>903</v>
      </c>
      <c r="C366" s="368" t="s">
        <v>314</v>
      </c>
      <c r="D366" s="368" t="s">
        <v>133</v>
      </c>
      <c r="E366" s="368" t="s">
        <v>1527</v>
      </c>
      <c r="F366" s="368" t="s">
        <v>224</v>
      </c>
      <c r="G366" s="373">
        <f>824.3</f>
        <v>824.3</v>
      </c>
      <c r="H366" s="373">
        <f t="shared" si="26"/>
        <v>824.3</v>
      </c>
      <c r="I366" s="222"/>
    </row>
    <row r="367" spans="1:11" s="221" customFormat="1" ht="31.5" x14ac:dyDescent="0.25">
      <c r="A367" s="238" t="s">
        <v>1448</v>
      </c>
      <c r="B367" s="367">
        <v>903</v>
      </c>
      <c r="C367" s="371" t="s">
        <v>314</v>
      </c>
      <c r="D367" s="371" t="s">
        <v>133</v>
      </c>
      <c r="E367" s="371" t="s">
        <v>1445</v>
      </c>
      <c r="F367" s="371"/>
      <c r="G367" s="369">
        <f t="shared" ref="G367:H369" si="30">G368</f>
        <v>2296.558</v>
      </c>
      <c r="H367" s="369">
        <f t="shared" si="30"/>
        <v>0</v>
      </c>
      <c r="I367" s="222"/>
    </row>
    <row r="368" spans="1:11" s="221" customFormat="1" ht="15.75" x14ac:dyDescent="0.25">
      <c r="A368" s="99" t="s">
        <v>1470</v>
      </c>
      <c r="B368" s="366">
        <v>903</v>
      </c>
      <c r="C368" s="368" t="s">
        <v>314</v>
      </c>
      <c r="D368" s="368" t="s">
        <v>133</v>
      </c>
      <c r="E368" s="368" t="s">
        <v>1446</v>
      </c>
      <c r="F368" s="368"/>
      <c r="G368" s="373">
        <f t="shared" si="30"/>
        <v>2296.558</v>
      </c>
      <c r="H368" s="373">
        <f t="shared" si="30"/>
        <v>0</v>
      </c>
      <c r="I368" s="222"/>
    </row>
    <row r="369" spans="1:9" s="221" customFormat="1" ht="31.5" x14ac:dyDescent="0.25">
      <c r="A369" s="372" t="s">
        <v>146</v>
      </c>
      <c r="B369" s="366">
        <v>903</v>
      </c>
      <c r="C369" s="368" t="s">
        <v>314</v>
      </c>
      <c r="D369" s="368" t="s">
        <v>133</v>
      </c>
      <c r="E369" s="368" t="s">
        <v>1446</v>
      </c>
      <c r="F369" s="368" t="s">
        <v>147</v>
      </c>
      <c r="G369" s="373">
        <f>G370</f>
        <v>2296.558</v>
      </c>
      <c r="H369" s="373">
        <f t="shared" si="30"/>
        <v>0</v>
      </c>
      <c r="I369" s="222"/>
    </row>
    <row r="370" spans="1:9" s="221" customFormat="1" ht="31.5" x14ac:dyDescent="0.25">
      <c r="A370" s="372" t="s">
        <v>148</v>
      </c>
      <c r="B370" s="366">
        <v>903</v>
      </c>
      <c r="C370" s="368" t="s">
        <v>314</v>
      </c>
      <c r="D370" s="368" t="s">
        <v>133</v>
      </c>
      <c r="E370" s="368" t="s">
        <v>1446</v>
      </c>
      <c r="F370" s="368" t="s">
        <v>149</v>
      </c>
      <c r="G370" s="373">
        <f>2202.4+22.246+71.912</f>
        <v>2296.558</v>
      </c>
      <c r="H370" s="373">
        <v>0</v>
      </c>
      <c r="I370" s="222"/>
    </row>
    <row r="371" spans="1:9" ht="31.5" x14ac:dyDescent="0.25">
      <c r="A371" s="370" t="s">
        <v>1432</v>
      </c>
      <c r="B371" s="367">
        <v>903</v>
      </c>
      <c r="C371" s="371" t="s">
        <v>314</v>
      </c>
      <c r="D371" s="371" t="s">
        <v>133</v>
      </c>
      <c r="E371" s="371" t="s">
        <v>328</v>
      </c>
      <c r="F371" s="371"/>
      <c r="G371" s="369">
        <f>G372+G380+G388+G395+G384</f>
        <v>24393.454000000002</v>
      </c>
      <c r="H371" s="369">
        <f>H372+H380+H388+H395+H384</f>
        <v>24415.7</v>
      </c>
      <c r="I371" s="222"/>
    </row>
    <row r="372" spans="1:9" ht="36.75" customHeight="1" x14ac:dyDescent="0.25">
      <c r="A372" s="370" t="s">
        <v>954</v>
      </c>
      <c r="B372" s="367">
        <v>903</v>
      </c>
      <c r="C372" s="371" t="s">
        <v>314</v>
      </c>
      <c r="D372" s="371" t="s">
        <v>133</v>
      </c>
      <c r="E372" s="371" t="s">
        <v>958</v>
      </c>
      <c r="F372" s="371"/>
      <c r="G372" s="369">
        <f>G373</f>
        <v>22194</v>
      </c>
      <c r="H372" s="369">
        <f>H373</f>
        <v>22194</v>
      </c>
      <c r="I372" s="222"/>
    </row>
    <row r="373" spans="1:9" ht="15.75" x14ac:dyDescent="0.25">
      <c r="A373" s="372" t="s">
        <v>830</v>
      </c>
      <c r="B373" s="366">
        <v>903</v>
      </c>
      <c r="C373" s="368" t="s">
        <v>314</v>
      </c>
      <c r="D373" s="368" t="s">
        <v>133</v>
      </c>
      <c r="E373" s="368" t="s">
        <v>959</v>
      </c>
      <c r="F373" s="368"/>
      <c r="G373" s="373">
        <f>G374+G376+G378</f>
        <v>22194</v>
      </c>
      <c r="H373" s="373">
        <f>H374+H376+H378</f>
        <v>22194</v>
      </c>
      <c r="I373" s="222"/>
    </row>
    <row r="374" spans="1:9" ht="78.75" x14ac:dyDescent="0.25">
      <c r="A374" s="372" t="s">
        <v>142</v>
      </c>
      <c r="B374" s="366">
        <v>903</v>
      </c>
      <c r="C374" s="368" t="s">
        <v>314</v>
      </c>
      <c r="D374" s="368" t="s">
        <v>133</v>
      </c>
      <c r="E374" s="368" t="s">
        <v>959</v>
      </c>
      <c r="F374" s="368" t="s">
        <v>143</v>
      </c>
      <c r="G374" s="373">
        <f>G375</f>
        <v>19218</v>
      </c>
      <c r="H374" s="373">
        <f t="shared" si="26"/>
        <v>19218</v>
      </c>
      <c r="I374" s="222"/>
    </row>
    <row r="375" spans="1:9" ht="15.75" x14ac:dyDescent="0.25">
      <c r="A375" s="372" t="s">
        <v>223</v>
      </c>
      <c r="B375" s="366">
        <v>903</v>
      </c>
      <c r="C375" s="368" t="s">
        <v>314</v>
      </c>
      <c r="D375" s="368" t="s">
        <v>133</v>
      </c>
      <c r="E375" s="368" t="s">
        <v>959</v>
      </c>
      <c r="F375" s="368" t="s">
        <v>224</v>
      </c>
      <c r="G375" s="373">
        <f>19218</f>
        <v>19218</v>
      </c>
      <c r="H375" s="373">
        <f t="shared" si="26"/>
        <v>19218</v>
      </c>
      <c r="I375" s="222"/>
    </row>
    <row r="376" spans="1:9" ht="31.5" x14ac:dyDescent="0.25">
      <c r="A376" s="372" t="s">
        <v>146</v>
      </c>
      <c r="B376" s="366">
        <v>903</v>
      </c>
      <c r="C376" s="368" t="s">
        <v>314</v>
      </c>
      <c r="D376" s="368" t="s">
        <v>133</v>
      </c>
      <c r="E376" s="368" t="s">
        <v>959</v>
      </c>
      <c r="F376" s="368" t="s">
        <v>147</v>
      </c>
      <c r="G376" s="373">
        <f>G377</f>
        <v>2950</v>
      </c>
      <c r="H376" s="373">
        <f t="shared" si="26"/>
        <v>2950</v>
      </c>
      <c r="I376" s="222"/>
    </row>
    <row r="377" spans="1:9" ht="31.5" x14ac:dyDescent="0.25">
      <c r="A377" s="372" t="s">
        <v>148</v>
      </c>
      <c r="B377" s="366">
        <v>903</v>
      </c>
      <c r="C377" s="368" t="s">
        <v>314</v>
      </c>
      <c r="D377" s="368" t="s">
        <v>133</v>
      </c>
      <c r="E377" s="368" t="s">
        <v>959</v>
      </c>
      <c r="F377" s="368" t="s">
        <v>149</v>
      </c>
      <c r="G377" s="373">
        <f>2950</f>
        <v>2950</v>
      </c>
      <c r="H377" s="373">
        <f t="shared" si="26"/>
        <v>2950</v>
      </c>
      <c r="I377" s="222"/>
    </row>
    <row r="378" spans="1:9" ht="15.75" x14ac:dyDescent="0.25">
      <c r="A378" s="372" t="s">
        <v>150</v>
      </c>
      <c r="B378" s="366">
        <v>903</v>
      </c>
      <c r="C378" s="368" t="s">
        <v>314</v>
      </c>
      <c r="D378" s="368" t="s">
        <v>133</v>
      </c>
      <c r="E378" s="368" t="s">
        <v>959</v>
      </c>
      <c r="F378" s="368" t="s">
        <v>160</v>
      </c>
      <c r="G378" s="373">
        <f>G379</f>
        <v>26</v>
      </c>
      <c r="H378" s="373">
        <f t="shared" si="26"/>
        <v>26</v>
      </c>
      <c r="I378" s="222"/>
    </row>
    <row r="379" spans="1:9" ht="15.75" x14ac:dyDescent="0.25">
      <c r="A379" s="372" t="s">
        <v>583</v>
      </c>
      <c r="B379" s="366">
        <v>903</v>
      </c>
      <c r="C379" s="368" t="s">
        <v>314</v>
      </c>
      <c r="D379" s="368" t="s">
        <v>133</v>
      </c>
      <c r="E379" s="368" t="s">
        <v>959</v>
      </c>
      <c r="F379" s="368" t="s">
        <v>153</v>
      </c>
      <c r="G379" s="373">
        <f>26</f>
        <v>26</v>
      </c>
      <c r="H379" s="373">
        <f t="shared" si="26"/>
        <v>26</v>
      </c>
      <c r="I379" s="222"/>
    </row>
    <row r="380" spans="1:9" ht="31.5" x14ac:dyDescent="0.25">
      <c r="A380" s="370" t="s">
        <v>971</v>
      </c>
      <c r="B380" s="367">
        <v>903</v>
      </c>
      <c r="C380" s="371" t="s">
        <v>314</v>
      </c>
      <c r="D380" s="371" t="s">
        <v>133</v>
      </c>
      <c r="E380" s="371" t="s">
        <v>960</v>
      </c>
      <c r="F380" s="371"/>
      <c r="G380" s="369">
        <f t="shared" ref="G380:H382" si="31">G381</f>
        <v>27.754000000000001</v>
      </c>
      <c r="H380" s="369">
        <f t="shared" si="31"/>
        <v>50</v>
      </c>
      <c r="I380" s="222"/>
    </row>
    <row r="381" spans="1:9" ht="31.5" x14ac:dyDescent="0.25">
      <c r="A381" s="372" t="s">
        <v>864</v>
      </c>
      <c r="B381" s="366">
        <v>903</v>
      </c>
      <c r="C381" s="368" t="s">
        <v>314</v>
      </c>
      <c r="D381" s="368" t="s">
        <v>133</v>
      </c>
      <c r="E381" s="368" t="s">
        <v>961</v>
      </c>
      <c r="F381" s="368"/>
      <c r="G381" s="373">
        <f t="shared" si="31"/>
        <v>27.754000000000001</v>
      </c>
      <c r="H381" s="373">
        <f t="shared" si="31"/>
        <v>50</v>
      </c>
      <c r="I381" s="222"/>
    </row>
    <row r="382" spans="1:9" ht="31.5" x14ac:dyDescent="0.25">
      <c r="A382" s="372" t="s">
        <v>146</v>
      </c>
      <c r="B382" s="366">
        <v>903</v>
      </c>
      <c r="C382" s="368" t="s">
        <v>314</v>
      </c>
      <c r="D382" s="368" t="s">
        <v>133</v>
      </c>
      <c r="E382" s="368" t="s">
        <v>961</v>
      </c>
      <c r="F382" s="368" t="s">
        <v>147</v>
      </c>
      <c r="G382" s="373">
        <f t="shared" si="31"/>
        <v>27.754000000000001</v>
      </c>
      <c r="H382" s="373">
        <f t="shared" si="31"/>
        <v>50</v>
      </c>
      <c r="I382" s="222"/>
    </row>
    <row r="383" spans="1:9" ht="31.5" x14ac:dyDescent="0.25">
      <c r="A383" s="372" t="s">
        <v>148</v>
      </c>
      <c r="B383" s="366">
        <v>903</v>
      </c>
      <c r="C383" s="368" t="s">
        <v>314</v>
      </c>
      <c r="D383" s="368" t="s">
        <v>133</v>
      </c>
      <c r="E383" s="368" t="s">
        <v>961</v>
      </c>
      <c r="F383" s="368" t="s">
        <v>149</v>
      </c>
      <c r="G383" s="373">
        <f>50-22.246</f>
        <v>27.754000000000001</v>
      </c>
      <c r="H383" s="373">
        <v>50</v>
      </c>
      <c r="I383" s="222"/>
    </row>
    <row r="384" spans="1:9" ht="31.5" x14ac:dyDescent="0.25">
      <c r="A384" s="370" t="s">
        <v>1074</v>
      </c>
      <c r="B384" s="367">
        <v>903</v>
      </c>
      <c r="C384" s="371" t="s">
        <v>314</v>
      </c>
      <c r="D384" s="371" t="s">
        <v>133</v>
      </c>
      <c r="E384" s="371" t="s">
        <v>962</v>
      </c>
      <c r="F384" s="371"/>
      <c r="G384" s="369">
        <f t="shared" ref="G384:H386" si="32">G385</f>
        <v>507</v>
      </c>
      <c r="H384" s="369">
        <f t="shared" si="32"/>
        <v>507</v>
      </c>
      <c r="I384" s="222"/>
    </row>
    <row r="385" spans="1:11" ht="47.25" x14ac:dyDescent="0.25">
      <c r="A385" s="372" t="s">
        <v>883</v>
      </c>
      <c r="B385" s="366">
        <v>903</v>
      </c>
      <c r="C385" s="368" t="s">
        <v>314</v>
      </c>
      <c r="D385" s="368" t="s">
        <v>133</v>
      </c>
      <c r="E385" s="368" t="s">
        <v>1252</v>
      </c>
      <c r="F385" s="368"/>
      <c r="G385" s="373">
        <f t="shared" si="32"/>
        <v>507</v>
      </c>
      <c r="H385" s="373">
        <f t="shared" si="32"/>
        <v>507</v>
      </c>
      <c r="I385" s="222"/>
    </row>
    <row r="386" spans="1:11" ht="78.75" x14ac:dyDescent="0.25">
      <c r="A386" s="372" t="s">
        <v>142</v>
      </c>
      <c r="B386" s="366">
        <v>903</v>
      </c>
      <c r="C386" s="368" t="s">
        <v>314</v>
      </c>
      <c r="D386" s="368" t="s">
        <v>133</v>
      </c>
      <c r="E386" s="368" t="s">
        <v>1252</v>
      </c>
      <c r="F386" s="368" t="s">
        <v>143</v>
      </c>
      <c r="G386" s="373">
        <f t="shared" si="32"/>
        <v>507</v>
      </c>
      <c r="H386" s="373">
        <f t="shared" si="32"/>
        <v>507</v>
      </c>
      <c r="I386" s="222"/>
    </row>
    <row r="387" spans="1:11" ht="15.75" x14ac:dyDescent="0.25">
      <c r="A387" s="372" t="s">
        <v>223</v>
      </c>
      <c r="B387" s="366">
        <v>903</v>
      </c>
      <c r="C387" s="368" t="s">
        <v>314</v>
      </c>
      <c r="D387" s="368" t="s">
        <v>133</v>
      </c>
      <c r="E387" s="368" t="s">
        <v>1252</v>
      </c>
      <c r="F387" s="368" t="s">
        <v>224</v>
      </c>
      <c r="G387" s="373">
        <f>507</f>
        <v>507</v>
      </c>
      <c r="H387" s="373">
        <f t="shared" si="26"/>
        <v>507</v>
      </c>
      <c r="I387" s="222"/>
    </row>
    <row r="388" spans="1:11" ht="31.5" x14ac:dyDescent="0.25">
      <c r="A388" s="370" t="s">
        <v>1161</v>
      </c>
      <c r="B388" s="367">
        <v>903</v>
      </c>
      <c r="C388" s="371" t="s">
        <v>314</v>
      </c>
      <c r="D388" s="371" t="s">
        <v>133</v>
      </c>
      <c r="E388" s="371" t="s">
        <v>963</v>
      </c>
      <c r="F388" s="371"/>
      <c r="G388" s="369">
        <f>G389+G392</f>
        <v>68.7</v>
      </c>
      <c r="H388" s="369">
        <f>H389+H392</f>
        <v>68.7</v>
      </c>
      <c r="I388" s="222"/>
    </row>
    <row r="389" spans="1:11" ht="15.75" x14ac:dyDescent="0.25">
      <c r="A389" s="372" t="s">
        <v>344</v>
      </c>
      <c r="B389" s="366">
        <v>903</v>
      </c>
      <c r="C389" s="368" t="s">
        <v>314</v>
      </c>
      <c r="D389" s="368" t="s">
        <v>133</v>
      </c>
      <c r="E389" s="368" t="s">
        <v>1253</v>
      </c>
      <c r="F389" s="368"/>
      <c r="G389" s="373">
        <f>G390</f>
        <v>3.5</v>
      </c>
      <c r="H389" s="373">
        <f>H390</f>
        <v>3.5</v>
      </c>
      <c r="I389" s="222"/>
    </row>
    <row r="390" spans="1:11" ht="31.5" x14ac:dyDescent="0.25">
      <c r="A390" s="372" t="s">
        <v>146</v>
      </c>
      <c r="B390" s="366">
        <v>903</v>
      </c>
      <c r="C390" s="368" t="s">
        <v>314</v>
      </c>
      <c r="D390" s="368" t="s">
        <v>133</v>
      </c>
      <c r="E390" s="368" t="s">
        <v>1253</v>
      </c>
      <c r="F390" s="368" t="s">
        <v>147</v>
      </c>
      <c r="G390" s="373">
        <f>G391</f>
        <v>3.5</v>
      </c>
      <c r="H390" s="373">
        <f>H391</f>
        <v>3.5</v>
      </c>
      <c r="I390" s="222"/>
    </row>
    <row r="391" spans="1:11" ht="31.5" x14ac:dyDescent="0.25">
      <c r="A391" s="372" t="s">
        <v>148</v>
      </c>
      <c r="B391" s="366">
        <v>903</v>
      </c>
      <c r="C391" s="368" t="s">
        <v>314</v>
      </c>
      <c r="D391" s="368" t="s">
        <v>133</v>
      </c>
      <c r="E391" s="368" t="s">
        <v>1253</v>
      </c>
      <c r="F391" s="368" t="s">
        <v>149</v>
      </c>
      <c r="G391" s="373">
        <f>3.5</f>
        <v>3.5</v>
      </c>
      <c r="H391" s="373">
        <f t="shared" si="26"/>
        <v>3.5</v>
      </c>
      <c r="I391" s="222"/>
    </row>
    <row r="392" spans="1:11" ht="15.75" x14ac:dyDescent="0.25">
      <c r="A392" s="372" t="s">
        <v>344</v>
      </c>
      <c r="B392" s="366">
        <v>903</v>
      </c>
      <c r="C392" s="368" t="s">
        <v>314</v>
      </c>
      <c r="D392" s="368" t="s">
        <v>133</v>
      </c>
      <c r="E392" s="368" t="s">
        <v>1254</v>
      </c>
      <c r="F392" s="368"/>
      <c r="G392" s="373">
        <f>G393</f>
        <v>65.2</v>
      </c>
      <c r="H392" s="373">
        <f>H393</f>
        <v>65.2</v>
      </c>
      <c r="I392" s="222"/>
    </row>
    <row r="393" spans="1:11" ht="31.5" x14ac:dyDescent="0.25">
      <c r="A393" s="372" t="s">
        <v>146</v>
      </c>
      <c r="B393" s="366">
        <v>903</v>
      </c>
      <c r="C393" s="368" t="s">
        <v>314</v>
      </c>
      <c r="D393" s="368" t="s">
        <v>133</v>
      </c>
      <c r="E393" s="368" t="s">
        <v>1254</v>
      </c>
      <c r="F393" s="368" t="s">
        <v>147</v>
      </c>
      <c r="G393" s="373">
        <f>G394</f>
        <v>65.2</v>
      </c>
      <c r="H393" s="373">
        <f>H394</f>
        <v>65.2</v>
      </c>
      <c r="I393" s="222"/>
    </row>
    <row r="394" spans="1:11" ht="31.5" x14ac:dyDescent="0.25">
      <c r="A394" s="372" t="s">
        <v>148</v>
      </c>
      <c r="B394" s="366">
        <v>903</v>
      </c>
      <c r="C394" s="368" t="s">
        <v>314</v>
      </c>
      <c r="D394" s="368" t="s">
        <v>133</v>
      </c>
      <c r="E394" s="368" t="s">
        <v>1254</v>
      </c>
      <c r="F394" s="38">
        <v>240</v>
      </c>
      <c r="G394" s="373">
        <f>65.2</f>
        <v>65.2</v>
      </c>
      <c r="H394" s="373">
        <f t="shared" si="26"/>
        <v>65.2</v>
      </c>
      <c r="I394" s="222"/>
    </row>
    <row r="395" spans="1:11" ht="47.25" x14ac:dyDescent="0.25">
      <c r="A395" s="245" t="s">
        <v>969</v>
      </c>
      <c r="B395" s="367">
        <v>903</v>
      </c>
      <c r="C395" s="371" t="s">
        <v>314</v>
      </c>
      <c r="D395" s="371" t="s">
        <v>133</v>
      </c>
      <c r="E395" s="371" t="s">
        <v>1255</v>
      </c>
      <c r="F395" s="371"/>
      <c r="G395" s="369">
        <f>G399+G402+G396</f>
        <v>1596</v>
      </c>
      <c r="H395" s="369">
        <f>H399+H402+H396</f>
        <v>1596</v>
      </c>
      <c r="I395" s="222"/>
    </row>
    <row r="396" spans="1:11" s="361" customFormat="1" ht="94.5" x14ac:dyDescent="0.25">
      <c r="A396" s="31" t="s">
        <v>308</v>
      </c>
      <c r="B396" s="366">
        <v>903</v>
      </c>
      <c r="C396" s="368" t="s">
        <v>314</v>
      </c>
      <c r="D396" s="368" t="s">
        <v>133</v>
      </c>
      <c r="E396" s="368" t="s">
        <v>1528</v>
      </c>
      <c r="F396" s="368"/>
      <c r="G396" s="373">
        <f>G397</f>
        <v>1276.3</v>
      </c>
      <c r="H396" s="373">
        <f t="shared" ref="H396:K397" si="33">H397</f>
        <v>1276.3</v>
      </c>
      <c r="I396" s="373">
        <f t="shared" si="33"/>
        <v>0</v>
      </c>
      <c r="J396" s="373">
        <f t="shared" si="33"/>
        <v>0</v>
      </c>
      <c r="K396" s="373">
        <f t="shared" si="33"/>
        <v>0</v>
      </c>
    </row>
    <row r="397" spans="1:11" s="361" customFormat="1" ht="78.75" x14ac:dyDescent="0.25">
      <c r="A397" s="372" t="s">
        <v>142</v>
      </c>
      <c r="B397" s="366">
        <v>903</v>
      </c>
      <c r="C397" s="368" t="s">
        <v>314</v>
      </c>
      <c r="D397" s="368" t="s">
        <v>133</v>
      </c>
      <c r="E397" s="368" t="s">
        <v>1528</v>
      </c>
      <c r="F397" s="368" t="s">
        <v>143</v>
      </c>
      <c r="G397" s="373">
        <f>G398</f>
        <v>1276.3</v>
      </c>
      <c r="H397" s="373">
        <f t="shared" si="33"/>
        <v>1276.3</v>
      </c>
      <c r="I397" s="373">
        <f t="shared" si="33"/>
        <v>0</v>
      </c>
      <c r="J397" s="373">
        <f t="shared" si="33"/>
        <v>0</v>
      </c>
      <c r="K397" s="373">
        <f t="shared" si="33"/>
        <v>0</v>
      </c>
    </row>
    <row r="398" spans="1:11" s="361" customFormat="1" ht="15.75" x14ac:dyDescent="0.25">
      <c r="A398" s="372" t="s">
        <v>223</v>
      </c>
      <c r="B398" s="366">
        <v>903</v>
      </c>
      <c r="C398" s="368" t="s">
        <v>314</v>
      </c>
      <c r="D398" s="368" t="s">
        <v>133</v>
      </c>
      <c r="E398" s="368" t="s">
        <v>1528</v>
      </c>
      <c r="F398" s="368" t="s">
        <v>224</v>
      </c>
      <c r="G398" s="373">
        <v>1276.3</v>
      </c>
      <c r="H398" s="373">
        <v>1276.3</v>
      </c>
      <c r="I398" s="362"/>
    </row>
    <row r="399" spans="1:11" ht="78.75" x14ac:dyDescent="0.25">
      <c r="A399" s="372" t="s">
        <v>346</v>
      </c>
      <c r="B399" s="366">
        <v>903</v>
      </c>
      <c r="C399" s="368" t="s">
        <v>314</v>
      </c>
      <c r="D399" s="368" t="s">
        <v>133</v>
      </c>
      <c r="E399" s="368" t="s">
        <v>1256</v>
      </c>
      <c r="F399" s="368"/>
      <c r="G399" s="373">
        <f>G400</f>
        <v>319.7</v>
      </c>
      <c r="H399" s="373">
        <f>H400</f>
        <v>319.7</v>
      </c>
      <c r="I399" s="222"/>
    </row>
    <row r="400" spans="1:11" ht="78.75" x14ac:dyDescent="0.25">
      <c r="A400" s="372" t="s">
        <v>142</v>
      </c>
      <c r="B400" s="366">
        <v>903</v>
      </c>
      <c r="C400" s="368" t="s">
        <v>314</v>
      </c>
      <c r="D400" s="368" t="s">
        <v>133</v>
      </c>
      <c r="E400" s="368" t="s">
        <v>1256</v>
      </c>
      <c r="F400" s="368" t="s">
        <v>143</v>
      </c>
      <c r="G400" s="373">
        <f>G401</f>
        <v>319.7</v>
      </c>
      <c r="H400" s="373">
        <f>H401</f>
        <v>319.7</v>
      </c>
      <c r="I400" s="222"/>
    </row>
    <row r="401" spans="1:9" ht="15.75" x14ac:dyDescent="0.25">
      <c r="A401" s="372" t="s">
        <v>223</v>
      </c>
      <c r="B401" s="366">
        <v>903</v>
      </c>
      <c r="C401" s="368" t="s">
        <v>314</v>
      </c>
      <c r="D401" s="368" t="s">
        <v>133</v>
      </c>
      <c r="E401" s="368" t="s">
        <v>1256</v>
      </c>
      <c r="F401" s="368" t="s">
        <v>224</v>
      </c>
      <c r="G401" s="373">
        <f>319.7</f>
        <v>319.7</v>
      </c>
      <c r="H401" s="373">
        <f t="shared" si="26"/>
        <v>319.7</v>
      </c>
      <c r="I401" s="222"/>
    </row>
    <row r="402" spans="1:9" ht="94.5" hidden="1" x14ac:dyDescent="0.25">
      <c r="A402" s="31" t="s">
        <v>308</v>
      </c>
      <c r="B402" s="366">
        <v>903</v>
      </c>
      <c r="C402" s="368" t="s">
        <v>314</v>
      </c>
      <c r="D402" s="368" t="s">
        <v>133</v>
      </c>
      <c r="E402" s="368" t="s">
        <v>1257</v>
      </c>
      <c r="F402" s="368"/>
      <c r="G402" s="373">
        <f>G403</f>
        <v>0</v>
      </c>
      <c r="H402" s="373">
        <f>H403</f>
        <v>0</v>
      </c>
      <c r="I402" s="222"/>
    </row>
    <row r="403" spans="1:9" ht="78.75" hidden="1" x14ac:dyDescent="0.25">
      <c r="A403" s="372" t="s">
        <v>142</v>
      </c>
      <c r="B403" s="366">
        <v>903</v>
      </c>
      <c r="C403" s="368" t="s">
        <v>314</v>
      </c>
      <c r="D403" s="368" t="s">
        <v>133</v>
      </c>
      <c r="E403" s="368" t="s">
        <v>1257</v>
      </c>
      <c r="F403" s="368" t="s">
        <v>143</v>
      </c>
      <c r="G403" s="373">
        <f>G404</f>
        <v>0</v>
      </c>
      <c r="H403" s="373">
        <f>H404</f>
        <v>0</v>
      </c>
      <c r="I403" s="222"/>
    </row>
    <row r="404" spans="1:9" ht="15.75" hidden="1" x14ac:dyDescent="0.25">
      <c r="A404" s="372" t="s">
        <v>223</v>
      </c>
      <c r="B404" s="366">
        <v>903</v>
      </c>
      <c r="C404" s="368" t="s">
        <v>314</v>
      </c>
      <c r="D404" s="368" t="s">
        <v>133</v>
      </c>
      <c r="E404" s="368" t="s">
        <v>1257</v>
      </c>
      <c r="F404" s="368" t="s">
        <v>224</v>
      </c>
      <c r="G404" s="373"/>
      <c r="H404" s="373">
        <f t="shared" si="26"/>
        <v>0</v>
      </c>
      <c r="I404" s="294">
        <f>12177.1/11326*1000</f>
        <v>1075.1456825004416</v>
      </c>
    </row>
    <row r="405" spans="1:9" ht="63" hidden="1" x14ac:dyDescent="0.25">
      <c r="A405" s="34" t="s">
        <v>803</v>
      </c>
      <c r="B405" s="367">
        <v>903</v>
      </c>
      <c r="C405" s="371" t="s">
        <v>314</v>
      </c>
      <c r="D405" s="371" t="s">
        <v>133</v>
      </c>
      <c r="E405" s="371" t="s">
        <v>339</v>
      </c>
      <c r="F405" s="371"/>
      <c r="G405" s="369">
        <f>G407</f>
        <v>0</v>
      </c>
      <c r="H405" s="369">
        <f>H407</f>
        <v>0</v>
      </c>
      <c r="I405" s="222"/>
    </row>
    <row r="406" spans="1:9" ht="63" hidden="1" x14ac:dyDescent="0.25">
      <c r="A406" s="34" t="s">
        <v>1189</v>
      </c>
      <c r="B406" s="367">
        <v>903</v>
      </c>
      <c r="C406" s="371" t="s">
        <v>314</v>
      </c>
      <c r="D406" s="371" t="s">
        <v>133</v>
      </c>
      <c r="E406" s="371" t="s">
        <v>1023</v>
      </c>
      <c r="F406" s="371"/>
      <c r="G406" s="369">
        <f>G409</f>
        <v>0</v>
      </c>
      <c r="H406" s="369">
        <f>H409</f>
        <v>0</v>
      </c>
      <c r="I406" s="222"/>
    </row>
    <row r="407" spans="1:9" ht="47.25" hidden="1" x14ac:dyDescent="0.25">
      <c r="A407" s="31" t="s">
        <v>1273</v>
      </c>
      <c r="B407" s="366">
        <v>903</v>
      </c>
      <c r="C407" s="368" t="s">
        <v>314</v>
      </c>
      <c r="D407" s="368" t="s">
        <v>133</v>
      </c>
      <c r="E407" s="368" t="s">
        <v>1190</v>
      </c>
      <c r="F407" s="368"/>
      <c r="G407" s="373">
        <f>G408</f>
        <v>0</v>
      </c>
      <c r="H407" s="373">
        <f>H408</f>
        <v>0</v>
      </c>
      <c r="I407" s="222"/>
    </row>
    <row r="408" spans="1:9" ht="31.5" hidden="1" x14ac:dyDescent="0.25">
      <c r="A408" s="372" t="s">
        <v>146</v>
      </c>
      <c r="B408" s="366">
        <v>903</v>
      </c>
      <c r="C408" s="368" t="s">
        <v>314</v>
      </c>
      <c r="D408" s="368" t="s">
        <v>133</v>
      </c>
      <c r="E408" s="368" t="s">
        <v>1190</v>
      </c>
      <c r="F408" s="368" t="s">
        <v>147</v>
      </c>
      <c r="G408" s="373">
        <f>G409</f>
        <v>0</v>
      </c>
      <c r="H408" s="373">
        <f>H409</f>
        <v>0</v>
      </c>
      <c r="I408" s="222"/>
    </row>
    <row r="409" spans="1:9" ht="31.5" hidden="1" x14ac:dyDescent="0.25">
      <c r="A409" s="372" t="s">
        <v>148</v>
      </c>
      <c r="B409" s="366">
        <v>903</v>
      </c>
      <c r="C409" s="368" t="s">
        <v>314</v>
      </c>
      <c r="D409" s="368" t="s">
        <v>133</v>
      </c>
      <c r="E409" s="368" t="s">
        <v>1190</v>
      </c>
      <c r="F409" s="368" t="s">
        <v>149</v>
      </c>
      <c r="G409" s="373">
        <v>0</v>
      </c>
      <c r="H409" s="373">
        <v>0</v>
      </c>
      <c r="I409" s="222"/>
    </row>
    <row r="410" spans="1:9" ht="63" x14ac:dyDescent="0.25">
      <c r="A410" s="41" t="s">
        <v>1429</v>
      </c>
      <c r="B410" s="367">
        <v>903</v>
      </c>
      <c r="C410" s="371" t="s">
        <v>314</v>
      </c>
      <c r="D410" s="371" t="s">
        <v>133</v>
      </c>
      <c r="E410" s="371" t="s">
        <v>726</v>
      </c>
      <c r="F410" s="250"/>
      <c r="G410" s="369">
        <f t="shared" ref="G410:H413" si="34">G411</f>
        <v>793.2</v>
      </c>
      <c r="H410" s="369">
        <f t="shared" si="34"/>
        <v>793.2</v>
      </c>
      <c r="I410" s="222"/>
    </row>
    <row r="411" spans="1:9" ht="47.25" x14ac:dyDescent="0.25">
      <c r="A411" s="41" t="s">
        <v>947</v>
      </c>
      <c r="B411" s="367">
        <v>903</v>
      </c>
      <c r="C411" s="371" t="s">
        <v>314</v>
      </c>
      <c r="D411" s="371" t="s">
        <v>133</v>
      </c>
      <c r="E411" s="371" t="s">
        <v>945</v>
      </c>
      <c r="F411" s="250"/>
      <c r="G411" s="369">
        <f t="shared" si="34"/>
        <v>793.2</v>
      </c>
      <c r="H411" s="369">
        <f t="shared" si="34"/>
        <v>793.2</v>
      </c>
      <c r="I411" s="222"/>
    </row>
    <row r="412" spans="1:9" ht="47.25" x14ac:dyDescent="0.25">
      <c r="A412" s="99" t="s">
        <v>1185</v>
      </c>
      <c r="B412" s="366">
        <v>903</v>
      </c>
      <c r="C412" s="368" t="s">
        <v>314</v>
      </c>
      <c r="D412" s="368" t="s">
        <v>133</v>
      </c>
      <c r="E412" s="368" t="s">
        <v>946</v>
      </c>
      <c r="F412" s="32"/>
      <c r="G412" s="373">
        <f t="shared" si="34"/>
        <v>793.2</v>
      </c>
      <c r="H412" s="373">
        <f t="shared" si="34"/>
        <v>793.2</v>
      </c>
      <c r="I412" s="222"/>
    </row>
    <row r="413" spans="1:9" ht="31.5" x14ac:dyDescent="0.25">
      <c r="A413" s="372" t="s">
        <v>146</v>
      </c>
      <c r="B413" s="366">
        <v>903</v>
      </c>
      <c r="C413" s="368" t="s">
        <v>314</v>
      </c>
      <c r="D413" s="368" t="s">
        <v>133</v>
      </c>
      <c r="E413" s="368" t="s">
        <v>946</v>
      </c>
      <c r="F413" s="32" t="s">
        <v>147</v>
      </c>
      <c r="G413" s="373">
        <f t="shared" si="34"/>
        <v>793.2</v>
      </c>
      <c r="H413" s="373">
        <f t="shared" si="34"/>
        <v>793.2</v>
      </c>
      <c r="I413" s="222"/>
    </row>
    <row r="414" spans="1:9" ht="31.5" x14ac:dyDescent="0.25">
      <c r="A414" s="372" t="s">
        <v>148</v>
      </c>
      <c r="B414" s="366">
        <v>903</v>
      </c>
      <c r="C414" s="368" t="s">
        <v>314</v>
      </c>
      <c r="D414" s="368" t="s">
        <v>133</v>
      </c>
      <c r="E414" s="368" t="s">
        <v>946</v>
      </c>
      <c r="F414" s="32" t="s">
        <v>149</v>
      </c>
      <c r="G414" s="373">
        <f>793.2</f>
        <v>793.2</v>
      </c>
      <c r="H414" s="373">
        <f t="shared" si="26"/>
        <v>793.2</v>
      </c>
      <c r="I414" s="222"/>
    </row>
    <row r="415" spans="1:9" ht="31.5" x14ac:dyDescent="0.25">
      <c r="A415" s="370" t="s">
        <v>348</v>
      </c>
      <c r="B415" s="367">
        <v>903</v>
      </c>
      <c r="C415" s="371" t="s">
        <v>314</v>
      </c>
      <c r="D415" s="371" t="s">
        <v>165</v>
      </c>
      <c r="E415" s="371"/>
      <c r="F415" s="371"/>
      <c r="G415" s="369">
        <f>G416+G426+G438</f>
        <v>17339</v>
      </c>
      <c r="H415" s="369">
        <f>H416+H426+H438</f>
        <v>17339</v>
      </c>
      <c r="I415" s="222"/>
    </row>
    <row r="416" spans="1:9" ht="31.5" x14ac:dyDescent="0.25">
      <c r="A416" s="370" t="s">
        <v>988</v>
      </c>
      <c r="B416" s="367">
        <v>903</v>
      </c>
      <c r="C416" s="371" t="s">
        <v>314</v>
      </c>
      <c r="D416" s="371" t="s">
        <v>165</v>
      </c>
      <c r="E416" s="371" t="s">
        <v>902</v>
      </c>
      <c r="F416" s="371"/>
      <c r="G416" s="369">
        <f>G417</f>
        <v>6870</v>
      </c>
      <c r="H416" s="369">
        <f>H417</f>
        <v>6870</v>
      </c>
      <c r="I416" s="222"/>
    </row>
    <row r="417" spans="1:9" ht="15.75" x14ac:dyDescent="0.25">
      <c r="A417" s="370" t="s">
        <v>989</v>
      </c>
      <c r="B417" s="367">
        <v>903</v>
      </c>
      <c r="C417" s="371" t="s">
        <v>314</v>
      </c>
      <c r="D417" s="371" t="s">
        <v>165</v>
      </c>
      <c r="E417" s="371" t="s">
        <v>903</v>
      </c>
      <c r="F417" s="371"/>
      <c r="G417" s="369">
        <f>G418+G423</f>
        <v>6870</v>
      </c>
      <c r="H417" s="369">
        <f>H418+H423</f>
        <v>6870</v>
      </c>
      <c r="I417" s="222"/>
    </row>
    <row r="418" spans="1:9" ht="31.5" x14ac:dyDescent="0.25">
      <c r="A418" s="372" t="s">
        <v>965</v>
      </c>
      <c r="B418" s="366">
        <v>903</v>
      </c>
      <c r="C418" s="368" t="s">
        <v>314</v>
      </c>
      <c r="D418" s="368" t="s">
        <v>165</v>
      </c>
      <c r="E418" s="368" t="s">
        <v>904</v>
      </c>
      <c r="F418" s="368"/>
      <c r="G418" s="373">
        <f>G419</f>
        <v>6744</v>
      </c>
      <c r="H418" s="373">
        <f>H419</f>
        <v>6744</v>
      </c>
      <c r="I418" s="222"/>
    </row>
    <row r="419" spans="1:9" ht="78.75" x14ac:dyDescent="0.25">
      <c r="A419" s="372" t="s">
        <v>142</v>
      </c>
      <c r="B419" s="366">
        <v>903</v>
      </c>
      <c r="C419" s="368" t="s">
        <v>314</v>
      </c>
      <c r="D419" s="368" t="s">
        <v>165</v>
      </c>
      <c r="E419" s="368" t="s">
        <v>904</v>
      </c>
      <c r="F419" s="368" t="s">
        <v>143</v>
      </c>
      <c r="G419" s="373">
        <f>G420</f>
        <v>6744</v>
      </c>
      <c r="H419" s="373">
        <f>H420</f>
        <v>6744</v>
      </c>
      <c r="I419" s="222"/>
    </row>
    <row r="420" spans="1:9" ht="31.5" x14ac:dyDescent="0.25">
      <c r="A420" s="372" t="s">
        <v>144</v>
      </c>
      <c r="B420" s="366">
        <v>903</v>
      </c>
      <c r="C420" s="368" t="s">
        <v>314</v>
      </c>
      <c r="D420" s="368" t="s">
        <v>165</v>
      </c>
      <c r="E420" s="368" t="s">
        <v>904</v>
      </c>
      <c r="F420" s="368" t="s">
        <v>145</v>
      </c>
      <c r="G420" s="373">
        <f>6744</f>
        <v>6744</v>
      </c>
      <c r="H420" s="373">
        <f t="shared" ref="H420:H503" si="35">G420</f>
        <v>6744</v>
      </c>
      <c r="I420" s="222"/>
    </row>
    <row r="421" spans="1:9" ht="31.5" hidden="1" x14ac:dyDescent="0.25">
      <c r="A421" s="372" t="s">
        <v>146</v>
      </c>
      <c r="B421" s="366">
        <v>903</v>
      </c>
      <c r="C421" s="368" t="s">
        <v>314</v>
      </c>
      <c r="D421" s="368" t="s">
        <v>165</v>
      </c>
      <c r="E421" s="368" t="s">
        <v>904</v>
      </c>
      <c r="F421" s="368" t="s">
        <v>147</v>
      </c>
      <c r="G421" s="373">
        <f>'Пр.4 ведом.20'!G420</f>
        <v>0</v>
      </c>
      <c r="H421" s="373">
        <f t="shared" si="35"/>
        <v>0</v>
      </c>
      <c r="I421" s="222"/>
    </row>
    <row r="422" spans="1:9" ht="31.5" hidden="1" x14ac:dyDescent="0.25">
      <c r="A422" s="372" t="s">
        <v>148</v>
      </c>
      <c r="B422" s="366">
        <v>903</v>
      </c>
      <c r="C422" s="368" t="s">
        <v>314</v>
      </c>
      <c r="D422" s="368" t="s">
        <v>165</v>
      </c>
      <c r="E422" s="368" t="s">
        <v>904</v>
      </c>
      <c r="F422" s="368" t="s">
        <v>149</v>
      </c>
      <c r="G422" s="373">
        <f>'Пр.4 ведом.20'!G421</f>
        <v>0</v>
      </c>
      <c r="H422" s="373">
        <f t="shared" si="35"/>
        <v>0</v>
      </c>
      <c r="I422" s="222"/>
    </row>
    <row r="423" spans="1:9" ht="47.25" x14ac:dyDescent="0.25">
      <c r="A423" s="372" t="s">
        <v>883</v>
      </c>
      <c r="B423" s="366">
        <v>903</v>
      </c>
      <c r="C423" s="368" t="s">
        <v>314</v>
      </c>
      <c r="D423" s="368" t="s">
        <v>165</v>
      </c>
      <c r="E423" s="368" t="s">
        <v>906</v>
      </c>
      <c r="F423" s="368"/>
      <c r="G423" s="373">
        <f>G424</f>
        <v>126</v>
      </c>
      <c r="H423" s="373">
        <f>H424</f>
        <v>126</v>
      </c>
      <c r="I423" s="222"/>
    </row>
    <row r="424" spans="1:9" ht="78.75" x14ac:dyDescent="0.25">
      <c r="A424" s="372" t="s">
        <v>142</v>
      </c>
      <c r="B424" s="366">
        <v>903</v>
      </c>
      <c r="C424" s="368" t="s">
        <v>314</v>
      </c>
      <c r="D424" s="368" t="s">
        <v>165</v>
      </c>
      <c r="E424" s="368" t="s">
        <v>906</v>
      </c>
      <c r="F424" s="368" t="s">
        <v>143</v>
      </c>
      <c r="G424" s="373">
        <f>G425</f>
        <v>126</v>
      </c>
      <c r="H424" s="373">
        <f>H425</f>
        <v>126</v>
      </c>
      <c r="I424" s="222"/>
    </row>
    <row r="425" spans="1:9" ht="31.5" x14ac:dyDescent="0.25">
      <c r="A425" s="372" t="s">
        <v>144</v>
      </c>
      <c r="B425" s="366">
        <v>903</v>
      </c>
      <c r="C425" s="368" t="s">
        <v>314</v>
      </c>
      <c r="D425" s="368" t="s">
        <v>165</v>
      </c>
      <c r="E425" s="368" t="s">
        <v>906</v>
      </c>
      <c r="F425" s="368" t="s">
        <v>145</v>
      </c>
      <c r="G425" s="373">
        <f>126</f>
        <v>126</v>
      </c>
      <c r="H425" s="373">
        <f t="shared" si="35"/>
        <v>126</v>
      </c>
      <c r="I425" s="222"/>
    </row>
    <row r="426" spans="1:9" ht="15.75" x14ac:dyDescent="0.25">
      <c r="A426" s="370" t="s">
        <v>997</v>
      </c>
      <c r="B426" s="367">
        <v>903</v>
      </c>
      <c r="C426" s="371" t="s">
        <v>314</v>
      </c>
      <c r="D426" s="371" t="s">
        <v>165</v>
      </c>
      <c r="E426" s="371" t="s">
        <v>910</v>
      </c>
      <c r="F426" s="371"/>
      <c r="G426" s="369">
        <f>G427</f>
        <v>10209</v>
      </c>
      <c r="H426" s="369">
        <f>H427</f>
        <v>10209</v>
      </c>
      <c r="I426" s="222"/>
    </row>
    <row r="427" spans="1:9" ht="31.5" x14ac:dyDescent="0.25">
      <c r="A427" s="370" t="s">
        <v>1000</v>
      </c>
      <c r="B427" s="367">
        <v>903</v>
      </c>
      <c r="C427" s="371" t="s">
        <v>314</v>
      </c>
      <c r="D427" s="371" t="s">
        <v>165</v>
      </c>
      <c r="E427" s="371" t="s">
        <v>985</v>
      </c>
      <c r="F427" s="371"/>
      <c r="G427" s="369">
        <f>G428+G435</f>
        <v>10209</v>
      </c>
      <c r="H427" s="369">
        <f>H428+H435</f>
        <v>10209</v>
      </c>
      <c r="I427" s="222"/>
    </row>
    <row r="428" spans="1:9" ht="31.5" x14ac:dyDescent="0.25">
      <c r="A428" s="372" t="s">
        <v>972</v>
      </c>
      <c r="B428" s="366">
        <v>903</v>
      </c>
      <c r="C428" s="368" t="s">
        <v>314</v>
      </c>
      <c r="D428" s="368" t="s">
        <v>165</v>
      </c>
      <c r="E428" s="368" t="s">
        <v>986</v>
      </c>
      <c r="F428" s="368"/>
      <c r="G428" s="373">
        <f>G429+G431+G433</f>
        <v>9999</v>
      </c>
      <c r="H428" s="373">
        <f>H429+H431+H433</f>
        <v>9999</v>
      </c>
      <c r="I428" s="222"/>
    </row>
    <row r="429" spans="1:9" ht="78.75" x14ac:dyDescent="0.25">
      <c r="A429" s="372" t="s">
        <v>142</v>
      </c>
      <c r="B429" s="366">
        <v>903</v>
      </c>
      <c r="C429" s="368" t="s">
        <v>314</v>
      </c>
      <c r="D429" s="368" t="s">
        <v>165</v>
      </c>
      <c r="E429" s="368" t="s">
        <v>986</v>
      </c>
      <c r="F429" s="368" t="s">
        <v>143</v>
      </c>
      <c r="G429" s="373">
        <f>G430</f>
        <v>8048</v>
      </c>
      <c r="H429" s="373">
        <f>H430</f>
        <v>8048</v>
      </c>
      <c r="I429" s="222"/>
    </row>
    <row r="430" spans="1:9" ht="31.5" x14ac:dyDescent="0.25">
      <c r="A430" s="372" t="s">
        <v>357</v>
      </c>
      <c r="B430" s="366">
        <v>903</v>
      </c>
      <c r="C430" s="368" t="s">
        <v>314</v>
      </c>
      <c r="D430" s="368" t="s">
        <v>165</v>
      </c>
      <c r="E430" s="368" t="s">
        <v>986</v>
      </c>
      <c r="F430" s="368" t="s">
        <v>224</v>
      </c>
      <c r="G430" s="373">
        <f>8048</f>
        <v>8048</v>
      </c>
      <c r="H430" s="373">
        <f t="shared" si="35"/>
        <v>8048</v>
      </c>
      <c r="I430" s="222"/>
    </row>
    <row r="431" spans="1:9" ht="31.5" x14ac:dyDescent="0.25">
      <c r="A431" s="372" t="s">
        <v>146</v>
      </c>
      <c r="B431" s="366">
        <v>903</v>
      </c>
      <c r="C431" s="368" t="s">
        <v>314</v>
      </c>
      <c r="D431" s="368" t="s">
        <v>165</v>
      </c>
      <c r="E431" s="368" t="s">
        <v>986</v>
      </c>
      <c r="F431" s="368" t="s">
        <v>147</v>
      </c>
      <c r="G431" s="373">
        <f>G432</f>
        <v>1937</v>
      </c>
      <c r="H431" s="373">
        <f>H432</f>
        <v>1937</v>
      </c>
      <c r="I431" s="222"/>
    </row>
    <row r="432" spans="1:9" ht="31.5" x14ac:dyDescent="0.25">
      <c r="A432" s="372" t="s">
        <v>148</v>
      </c>
      <c r="B432" s="366">
        <v>903</v>
      </c>
      <c r="C432" s="368" t="s">
        <v>314</v>
      </c>
      <c r="D432" s="368" t="s">
        <v>165</v>
      </c>
      <c r="E432" s="368" t="s">
        <v>986</v>
      </c>
      <c r="F432" s="368" t="s">
        <v>149</v>
      </c>
      <c r="G432" s="373">
        <f>1937</f>
        <v>1937</v>
      </c>
      <c r="H432" s="373">
        <f t="shared" si="35"/>
        <v>1937</v>
      </c>
      <c r="I432" s="222"/>
    </row>
    <row r="433" spans="1:9" ht="15.75" x14ac:dyDescent="0.25">
      <c r="A433" s="372" t="s">
        <v>150</v>
      </c>
      <c r="B433" s="366">
        <v>903</v>
      </c>
      <c r="C433" s="368" t="s">
        <v>314</v>
      </c>
      <c r="D433" s="368" t="s">
        <v>165</v>
      </c>
      <c r="E433" s="368" t="s">
        <v>986</v>
      </c>
      <c r="F433" s="368" t="s">
        <v>160</v>
      </c>
      <c r="G433" s="373">
        <f>G434</f>
        <v>14</v>
      </c>
      <c r="H433" s="373">
        <f>H434</f>
        <v>14</v>
      </c>
      <c r="I433" s="222"/>
    </row>
    <row r="434" spans="1:9" ht="15.75" x14ac:dyDescent="0.25">
      <c r="A434" s="372" t="s">
        <v>583</v>
      </c>
      <c r="B434" s="366">
        <v>903</v>
      </c>
      <c r="C434" s="368" t="s">
        <v>314</v>
      </c>
      <c r="D434" s="368" t="s">
        <v>165</v>
      </c>
      <c r="E434" s="368" t="s">
        <v>986</v>
      </c>
      <c r="F434" s="368" t="s">
        <v>153</v>
      </c>
      <c r="G434" s="373">
        <f>14</f>
        <v>14</v>
      </c>
      <c r="H434" s="373">
        <f t="shared" si="35"/>
        <v>14</v>
      </c>
      <c r="I434" s="222"/>
    </row>
    <row r="435" spans="1:9" ht="47.25" x14ac:dyDescent="0.25">
      <c r="A435" s="372" t="s">
        <v>883</v>
      </c>
      <c r="B435" s="366">
        <v>903</v>
      </c>
      <c r="C435" s="368" t="s">
        <v>314</v>
      </c>
      <c r="D435" s="368" t="s">
        <v>165</v>
      </c>
      <c r="E435" s="368" t="s">
        <v>987</v>
      </c>
      <c r="F435" s="368"/>
      <c r="G435" s="373">
        <f>G436</f>
        <v>210</v>
      </c>
      <c r="H435" s="373">
        <f>H436</f>
        <v>210</v>
      </c>
      <c r="I435" s="222"/>
    </row>
    <row r="436" spans="1:9" ht="78.75" x14ac:dyDescent="0.25">
      <c r="A436" s="372" t="s">
        <v>142</v>
      </c>
      <c r="B436" s="366">
        <v>903</v>
      </c>
      <c r="C436" s="368" t="s">
        <v>314</v>
      </c>
      <c r="D436" s="368" t="s">
        <v>165</v>
      </c>
      <c r="E436" s="368" t="s">
        <v>987</v>
      </c>
      <c r="F436" s="368" t="s">
        <v>143</v>
      </c>
      <c r="G436" s="373">
        <f>G437</f>
        <v>210</v>
      </c>
      <c r="H436" s="373">
        <f>H437</f>
        <v>210</v>
      </c>
      <c r="I436" s="222"/>
    </row>
    <row r="437" spans="1:9" ht="25.5" customHeight="1" x14ac:dyDescent="0.25">
      <c r="A437" s="372" t="s">
        <v>357</v>
      </c>
      <c r="B437" s="366">
        <v>903</v>
      </c>
      <c r="C437" s="368" t="s">
        <v>314</v>
      </c>
      <c r="D437" s="368" t="s">
        <v>165</v>
      </c>
      <c r="E437" s="368" t="s">
        <v>987</v>
      </c>
      <c r="F437" s="368" t="s">
        <v>224</v>
      </c>
      <c r="G437" s="373">
        <f>210</f>
        <v>210</v>
      </c>
      <c r="H437" s="373">
        <f t="shared" si="35"/>
        <v>210</v>
      </c>
      <c r="I437" s="222"/>
    </row>
    <row r="438" spans="1:9" ht="47.25" x14ac:dyDescent="0.25">
      <c r="A438" s="370" t="s">
        <v>1427</v>
      </c>
      <c r="B438" s="367">
        <v>903</v>
      </c>
      <c r="C438" s="371" t="s">
        <v>314</v>
      </c>
      <c r="D438" s="371" t="s">
        <v>165</v>
      </c>
      <c r="E438" s="371" t="s">
        <v>359</v>
      </c>
      <c r="F438" s="371"/>
      <c r="G438" s="369">
        <f t="shared" ref="G438:H440" si="36">G439</f>
        <v>260</v>
      </c>
      <c r="H438" s="369">
        <f t="shared" si="36"/>
        <v>260</v>
      </c>
      <c r="I438" s="222"/>
    </row>
    <row r="439" spans="1:9" ht="47.25" x14ac:dyDescent="0.25">
      <c r="A439" s="370" t="s">
        <v>379</v>
      </c>
      <c r="B439" s="367">
        <v>903</v>
      </c>
      <c r="C439" s="371" t="s">
        <v>314</v>
      </c>
      <c r="D439" s="371" t="s">
        <v>165</v>
      </c>
      <c r="E439" s="371" t="s">
        <v>380</v>
      </c>
      <c r="F439" s="371"/>
      <c r="G439" s="369">
        <f t="shared" si="36"/>
        <v>260</v>
      </c>
      <c r="H439" s="369">
        <f t="shared" si="36"/>
        <v>260</v>
      </c>
      <c r="I439" s="222"/>
    </row>
    <row r="440" spans="1:9" ht="31.5" x14ac:dyDescent="0.25">
      <c r="A440" s="370" t="s">
        <v>1145</v>
      </c>
      <c r="B440" s="367">
        <v>903</v>
      </c>
      <c r="C440" s="371" t="s">
        <v>314</v>
      </c>
      <c r="D440" s="371" t="s">
        <v>165</v>
      </c>
      <c r="E440" s="371" t="s">
        <v>964</v>
      </c>
      <c r="F440" s="371"/>
      <c r="G440" s="369">
        <f t="shared" si="36"/>
        <v>260</v>
      </c>
      <c r="H440" s="369">
        <f t="shared" si="36"/>
        <v>260</v>
      </c>
      <c r="I440" s="222"/>
    </row>
    <row r="441" spans="1:9" ht="31.5" x14ac:dyDescent="0.25">
      <c r="A441" s="372" t="s">
        <v>1144</v>
      </c>
      <c r="B441" s="366">
        <v>903</v>
      </c>
      <c r="C441" s="368" t="s">
        <v>314</v>
      </c>
      <c r="D441" s="368" t="s">
        <v>165</v>
      </c>
      <c r="E441" s="368" t="s">
        <v>1223</v>
      </c>
      <c r="F441" s="368"/>
      <c r="G441" s="373">
        <f>G442</f>
        <v>260</v>
      </c>
      <c r="H441" s="373">
        <f>H442</f>
        <v>260</v>
      </c>
      <c r="I441" s="222"/>
    </row>
    <row r="442" spans="1:9" ht="31.5" x14ac:dyDescent="0.25">
      <c r="A442" s="372" t="s">
        <v>146</v>
      </c>
      <c r="B442" s="366">
        <v>903</v>
      </c>
      <c r="C442" s="368" t="s">
        <v>314</v>
      </c>
      <c r="D442" s="368" t="s">
        <v>165</v>
      </c>
      <c r="E442" s="368" t="s">
        <v>1223</v>
      </c>
      <c r="F442" s="368" t="s">
        <v>147</v>
      </c>
      <c r="G442" s="373">
        <f>G443</f>
        <v>260</v>
      </c>
      <c r="H442" s="373">
        <f>H443</f>
        <v>260</v>
      </c>
      <c r="I442" s="222"/>
    </row>
    <row r="443" spans="1:9" ht="31.5" x14ac:dyDescent="0.25">
      <c r="A443" s="372" t="s">
        <v>148</v>
      </c>
      <c r="B443" s="366">
        <v>903</v>
      </c>
      <c r="C443" s="368" t="s">
        <v>314</v>
      </c>
      <c r="D443" s="368" t="s">
        <v>165</v>
      </c>
      <c r="E443" s="368" t="s">
        <v>1223</v>
      </c>
      <c r="F443" s="368" t="s">
        <v>149</v>
      </c>
      <c r="G443" s="373">
        <f>260</f>
        <v>260</v>
      </c>
      <c r="H443" s="373">
        <f t="shared" si="35"/>
        <v>260</v>
      </c>
      <c r="I443" s="222"/>
    </row>
    <row r="444" spans="1:9" ht="15.75" x14ac:dyDescent="0.25">
      <c r="A444" s="370" t="s">
        <v>258</v>
      </c>
      <c r="B444" s="367">
        <v>903</v>
      </c>
      <c r="C444" s="371" t="s">
        <v>259</v>
      </c>
      <c r="D444" s="371"/>
      <c r="E444" s="371"/>
      <c r="F444" s="371"/>
      <c r="G444" s="369">
        <f>G445</f>
        <v>1824</v>
      </c>
      <c r="H444" s="369">
        <f>H445</f>
        <v>1834</v>
      </c>
      <c r="I444" s="222"/>
    </row>
    <row r="445" spans="1:9" ht="15.75" x14ac:dyDescent="0.25">
      <c r="A445" s="370" t="s">
        <v>267</v>
      </c>
      <c r="B445" s="367">
        <v>903</v>
      </c>
      <c r="C445" s="371" t="s">
        <v>259</v>
      </c>
      <c r="D445" s="371" t="s">
        <v>230</v>
      </c>
      <c r="E445" s="371"/>
      <c r="F445" s="371"/>
      <c r="G445" s="369">
        <f>G446</f>
        <v>1824</v>
      </c>
      <c r="H445" s="369">
        <f>H446</f>
        <v>1834</v>
      </c>
      <c r="I445" s="222"/>
    </row>
    <row r="446" spans="1:9" ht="47.25" x14ac:dyDescent="0.25">
      <c r="A446" s="370" t="s">
        <v>1427</v>
      </c>
      <c r="B446" s="367">
        <v>903</v>
      </c>
      <c r="C446" s="371" t="s">
        <v>259</v>
      </c>
      <c r="D446" s="371" t="s">
        <v>230</v>
      </c>
      <c r="E446" s="371" t="s">
        <v>359</v>
      </c>
      <c r="F446" s="371"/>
      <c r="G446" s="369">
        <f>G447+G452+G457+G468</f>
        <v>1824</v>
      </c>
      <c r="H446" s="369">
        <f>H447+H452+H457+H468</f>
        <v>1834</v>
      </c>
      <c r="I446" s="222"/>
    </row>
    <row r="447" spans="1:9" ht="31.5" x14ac:dyDescent="0.25">
      <c r="A447" s="370" t="s">
        <v>367</v>
      </c>
      <c r="B447" s="367">
        <v>903</v>
      </c>
      <c r="C447" s="371" t="s">
        <v>259</v>
      </c>
      <c r="D447" s="371" t="s">
        <v>230</v>
      </c>
      <c r="E447" s="371" t="s">
        <v>368</v>
      </c>
      <c r="F447" s="371"/>
      <c r="G447" s="369">
        <f t="shared" ref="G447:H450" si="37">G448</f>
        <v>44</v>
      </c>
      <c r="H447" s="369">
        <f t="shared" si="37"/>
        <v>54</v>
      </c>
      <c r="I447" s="222"/>
    </row>
    <row r="448" spans="1:9" ht="31.5" x14ac:dyDescent="0.25">
      <c r="A448" s="370" t="s">
        <v>974</v>
      </c>
      <c r="B448" s="367">
        <v>903</v>
      </c>
      <c r="C448" s="371" t="s">
        <v>259</v>
      </c>
      <c r="D448" s="371" t="s">
        <v>230</v>
      </c>
      <c r="E448" s="371" t="s">
        <v>973</v>
      </c>
      <c r="F448" s="371"/>
      <c r="G448" s="369">
        <f t="shared" si="37"/>
        <v>44</v>
      </c>
      <c r="H448" s="369">
        <f t="shared" si="37"/>
        <v>54</v>
      </c>
      <c r="I448" s="222"/>
    </row>
    <row r="449" spans="1:9" ht="31.5" x14ac:dyDescent="0.25">
      <c r="A449" s="372" t="s">
        <v>867</v>
      </c>
      <c r="B449" s="366">
        <v>903</v>
      </c>
      <c r="C449" s="368" t="s">
        <v>259</v>
      </c>
      <c r="D449" s="368" t="s">
        <v>230</v>
      </c>
      <c r="E449" s="368" t="s">
        <v>975</v>
      </c>
      <c r="F449" s="368"/>
      <c r="G449" s="373">
        <f t="shared" si="37"/>
        <v>44</v>
      </c>
      <c r="H449" s="373">
        <f t="shared" si="37"/>
        <v>54</v>
      </c>
      <c r="I449" s="222"/>
    </row>
    <row r="450" spans="1:9" ht="21.2" customHeight="1" x14ac:dyDescent="0.25">
      <c r="A450" s="372" t="s">
        <v>263</v>
      </c>
      <c r="B450" s="366">
        <v>903</v>
      </c>
      <c r="C450" s="368" t="s">
        <v>259</v>
      </c>
      <c r="D450" s="368" t="s">
        <v>230</v>
      </c>
      <c r="E450" s="368" t="s">
        <v>975</v>
      </c>
      <c r="F450" s="368" t="s">
        <v>264</v>
      </c>
      <c r="G450" s="373">
        <f>G451</f>
        <v>44</v>
      </c>
      <c r="H450" s="373">
        <f t="shared" si="37"/>
        <v>54</v>
      </c>
      <c r="I450" s="222"/>
    </row>
    <row r="451" spans="1:9" ht="31.5" x14ac:dyDescent="0.25">
      <c r="A451" s="372" t="s">
        <v>265</v>
      </c>
      <c r="B451" s="366">
        <v>903</v>
      </c>
      <c r="C451" s="368" t="s">
        <v>259</v>
      </c>
      <c r="D451" s="368" t="s">
        <v>230</v>
      </c>
      <c r="E451" s="368" t="s">
        <v>975</v>
      </c>
      <c r="F451" s="368" t="s">
        <v>266</v>
      </c>
      <c r="G451" s="373">
        <v>44</v>
      </c>
      <c r="H451" s="373">
        <v>54</v>
      </c>
      <c r="I451" s="222"/>
    </row>
    <row r="452" spans="1:9" ht="31.5" x14ac:dyDescent="0.25">
      <c r="A452" s="370" t="s">
        <v>370</v>
      </c>
      <c r="B452" s="367">
        <v>903</v>
      </c>
      <c r="C452" s="367">
        <v>10</v>
      </c>
      <c r="D452" s="371" t="s">
        <v>230</v>
      </c>
      <c r="E452" s="371" t="s">
        <v>371</v>
      </c>
      <c r="F452" s="371"/>
      <c r="G452" s="369">
        <f>G454</f>
        <v>420</v>
      </c>
      <c r="H452" s="369">
        <f>H454</f>
        <v>420</v>
      </c>
      <c r="I452" s="222"/>
    </row>
    <row r="453" spans="1:9" ht="31.5" x14ac:dyDescent="0.25">
      <c r="A453" s="370" t="s">
        <v>1146</v>
      </c>
      <c r="B453" s="367">
        <v>903</v>
      </c>
      <c r="C453" s="367">
        <v>10</v>
      </c>
      <c r="D453" s="371" t="s">
        <v>230</v>
      </c>
      <c r="E453" s="371" t="s">
        <v>976</v>
      </c>
      <c r="F453" s="371"/>
      <c r="G453" s="369">
        <f t="shared" ref="G453:H455" si="38">G454</f>
        <v>420</v>
      </c>
      <c r="H453" s="369">
        <f t="shared" si="38"/>
        <v>420</v>
      </c>
      <c r="I453" s="222"/>
    </row>
    <row r="454" spans="1:9" ht="15.75" x14ac:dyDescent="0.25">
      <c r="A454" s="372" t="s">
        <v>1203</v>
      </c>
      <c r="B454" s="366">
        <v>903</v>
      </c>
      <c r="C454" s="368" t="s">
        <v>259</v>
      </c>
      <c r="D454" s="368" t="s">
        <v>230</v>
      </c>
      <c r="E454" s="368" t="s">
        <v>977</v>
      </c>
      <c r="F454" s="368"/>
      <c r="G454" s="373">
        <f t="shared" si="38"/>
        <v>420</v>
      </c>
      <c r="H454" s="373">
        <f t="shared" si="38"/>
        <v>420</v>
      </c>
      <c r="I454" s="222"/>
    </row>
    <row r="455" spans="1:9" ht="22.7" customHeight="1" x14ac:dyDescent="0.25">
      <c r="A455" s="372" t="s">
        <v>263</v>
      </c>
      <c r="B455" s="366">
        <v>903</v>
      </c>
      <c r="C455" s="368" t="s">
        <v>259</v>
      </c>
      <c r="D455" s="368" t="s">
        <v>230</v>
      </c>
      <c r="E455" s="368" t="s">
        <v>977</v>
      </c>
      <c r="F455" s="368" t="s">
        <v>264</v>
      </c>
      <c r="G455" s="373">
        <f t="shared" si="38"/>
        <v>420</v>
      </c>
      <c r="H455" s="373">
        <f t="shared" si="38"/>
        <v>420</v>
      </c>
      <c r="I455" s="222"/>
    </row>
    <row r="456" spans="1:9" ht="31.5" x14ac:dyDescent="0.25">
      <c r="A456" s="372" t="s">
        <v>363</v>
      </c>
      <c r="B456" s="366">
        <v>903</v>
      </c>
      <c r="C456" s="368" t="s">
        <v>259</v>
      </c>
      <c r="D456" s="368" t="s">
        <v>230</v>
      </c>
      <c r="E456" s="368" t="s">
        <v>977</v>
      </c>
      <c r="F456" s="368" t="s">
        <v>364</v>
      </c>
      <c r="G456" s="373">
        <f>420</f>
        <v>420</v>
      </c>
      <c r="H456" s="373">
        <f t="shared" si="35"/>
        <v>420</v>
      </c>
      <c r="I456" s="222"/>
    </row>
    <row r="457" spans="1:9" ht="15.75" x14ac:dyDescent="0.25">
      <c r="A457" s="370" t="s">
        <v>373</v>
      </c>
      <c r="B457" s="367">
        <v>903</v>
      </c>
      <c r="C457" s="367">
        <v>10</v>
      </c>
      <c r="D457" s="371" t="s">
        <v>230</v>
      </c>
      <c r="E457" s="371" t="s">
        <v>374</v>
      </c>
      <c r="F457" s="371"/>
      <c r="G457" s="369">
        <f>G462+G458</f>
        <v>1110</v>
      </c>
      <c r="H457" s="369">
        <f>H462+H458</f>
        <v>1110</v>
      </c>
      <c r="I457" s="222"/>
    </row>
    <row r="458" spans="1:9" ht="31.5" x14ac:dyDescent="0.25">
      <c r="A458" s="370" t="s">
        <v>1205</v>
      </c>
      <c r="B458" s="367">
        <v>903</v>
      </c>
      <c r="C458" s="371" t="s">
        <v>259</v>
      </c>
      <c r="D458" s="371" t="s">
        <v>230</v>
      </c>
      <c r="E458" s="371" t="s">
        <v>979</v>
      </c>
      <c r="F458" s="371"/>
      <c r="G458" s="369">
        <f t="shared" ref="G458:H460" si="39">G459</f>
        <v>630</v>
      </c>
      <c r="H458" s="369">
        <f t="shared" si="39"/>
        <v>630</v>
      </c>
      <c r="I458" s="222"/>
    </row>
    <row r="459" spans="1:9" ht="47.25" x14ac:dyDescent="0.25">
      <c r="A459" s="99" t="s">
        <v>1206</v>
      </c>
      <c r="B459" s="366">
        <v>903</v>
      </c>
      <c r="C459" s="368" t="s">
        <v>259</v>
      </c>
      <c r="D459" s="368" t="s">
        <v>230</v>
      </c>
      <c r="E459" s="368" t="s">
        <v>980</v>
      </c>
      <c r="F459" s="368"/>
      <c r="G459" s="373">
        <f t="shared" si="39"/>
        <v>630</v>
      </c>
      <c r="H459" s="373">
        <f t="shared" si="39"/>
        <v>630</v>
      </c>
      <c r="I459" s="222"/>
    </row>
    <row r="460" spans="1:9" ht="31.5" x14ac:dyDescent="0.25">
      <c r="A460" s="372" t="s">
        <v>263</v>
      </c>
      <c r="B460" s="366">
        <v>903</v>
      </c>
      <c r="C460" s="368" t="s">
        <v>259</v>
      </c>
      <c r="D460" s="368" t="s">
        <v>230</v>
      </c>
      <c r="E460" s="368" t="s">
        <v>980</v>
      </c>
      <c r="F460" s="368" t="s">
        <v>264</v>
      </c>
      <c r="G460" s="373">
        <f t="shared" si="39"/>
        <v>630</v>
      </c>
      <c r="H460" s="373">
        <f t="shared" si="39"/>
        <v>630</v>
      </c>
      <c r="I460" s="222"/>
    </row>
    <row r="461" spans="1:9" ht="31.5" x14ac:dyDescent="0.25">
      <c r="A461" s="372" t="s">
        <v>363</v>
      </c>
      <c r="B461" s="366">
        <v>903</v>
      </c>
      <c r="C461" s="368" t="s">
        <v>259</v>
      </c>
      <c r="D461" s="368" t="s">
        <v>230</v>
      </c>
      <c r="E461" s="368" t="s">
        <v>980</v>
      </c>
      <c r="F461" s="368" t="s">
        <v>364</v>
      </c>
      <c r="G461" s="373">
        <f>630</f>
        <v>630</v>
      </c>
      <c r="H461" s="373">
        <f t="shared" si="35"/>
        <v>630</v>
      </c>
      <c r="I461" s="222"/>
    </row>
    <row r="462" spans="1:9" ht="31.5" x14ac:dyDescent="0.25">
      <c r="A462" s="370" t="s">
        <v>978</v>
      </c>
      <c r="B462" s="367">
        <v>903</v>
      </c>
      <c r="C462" s="367">
        <v>10</v>
      </c>
      <c r="D462" s="371" t="s">
        <v>230</v>
      </c>
      <c r="E462" s="371" t="s">
        <v>981</v>
      </c>
      <c r="F462" s="371"/>
      <c r="G462" s="369">
        <f>G463+G466</f>
        <v>480</v>
      </c>
      <c r="H462" s="369">
        <f>H463+H466</f>
        <v>480</v>
      </c>
      <c r="I462" s="222"/>
    </row>
    <row r="463" spans="1:9" ht="31.5" x14ac:dyDescent="0.25">
      <c r="A463" s="372" t="s">
        <v>1147</v>
      </c>
      <c r="B463" s="366">
        <v>903</v>
      </c>
      <c r="C463" s="368" t="s">
        <v>259</v>
      </c>
      <c r="D463" s="368" t="s">
        <v>230</v>
      </c>
      <c r="E463" s="368" t="s">
        <v>982</v>
      </c>
      <c r="F463" s="368"/>
      <c r="G463" s="373">
        <f>G464</f>
        <v>270</v>
      </c>
      <c r="H463" s="373">
        <f>H464</f>
        <v>270</v>
      </c>
      <c r="I463" s="222"/>
    </row>
    <row r="464" spans="1:9" ht="31.5" x14ac:dyDescent="0.25">
      <c r="A464" s="372" t="s">
        <v>146</v>
      </c>
      <c r="B464" s="366">
        <v>903</v>
      </c>
      <c r="C464" s="368" t="s">
        <v>259</v>
      </c>
      <c r="D464" s="368" t="s">
        <v>230</v>
      </c>
      <c r="E464" s="368" t="s">
        <v>982</v>
      </c>
      <c r="F464" s="368" t="s">
        <v>147</v>
      </c>
      <c r="G464" s="373">
        <f>G465</f>
        <v>270</v>
      </c>
      <c r="H464" s="373">
        <f>H465</f>
        <v>270</v>
      </c>
      <c r="I464" s="222"/>
    </row>
    <row r="465" spans="1:9" ht="31.5" x14ac:dyDescent="0.25">
      <c r="A465" s="372" t="s">
        <v>148</v>
      </c>
      <c r="B465" s="366">
        <v>903</v>
      </c>
      <c r="C465" s="368" t="s">
        <v>259</v>
      </c>
      <c r="D465" s="368" t="s">
        <v>230</v>
      </c>
      <c r="E465" s="368" t="s">
        <v>982</v>
      </c>
      <c r="F465" s="368" t="s">
        <v>149</v>
      </c>
      <c r="G465" s="373">
        <f>270</f>
        <v>270</v>
      </c>
      <c r="H465" s="373">
        <f t="shared" si="35"/>
        <v>270</v>
      </c>
      <c r="I465" s="222"/>
    </row>
    <row r="466" spans="1:9" s="221" customFormat="1" ht="31.5" x14ac:dyDescent="0.25">
      <c r="A466" s="372" t="s">
        <v>263</v>
      </c>
      <c r="B466" s="366">
        <v>903</v>
      </c>
      <c r="C466" s="368" t="s">
        <v>259</v>
      </c>
      <c r="D466" s="368" t="s">
        <v>230</v>
      </c>
      <c r="E466" s="368" t="s">
        <v>982</v>
      </c>
      <c r="F466" s="368" t="s">
        <v>264</v>
      </c>
      <c r="G466" s="373">
        <f>G467</f>
        <v>210</v>
      </c>
      <c r="H466" s="373">
        <f>H467</f>
        <v>210</v>
      </c>
      <c r="I466" s="222"/>
    </row>
    <row r="467" spans="1:9" s="221" customFormat="1" ht="31.5" x14ac:dyDescent="0.25">
      <c r="A467" s="372" t="s">
        <v>363</v>
      </c>
      <c r="B467" s="366">
        <v>903</v>
      </c>
      <c r="C467" s="368" t="s">
        <v>259</v>
      </c>
      <c r="D467" s="368" t="s">
        <v>230</v>
      </c>
      <c r="E467" s="368" t="s">
        <v>982</v>
      </c>
      <c r="F467" s="368" t="s">
        <v>364</v>
      </c>
      <c r="G467" s="373">
        <f>210</f>
        <v>210</v>
      </c>
      <c r="H467" s="373">
        <f t="shared" si="35"/>
        <v>210</v>
      </c>
      <c r="I467" s="222"/>
    </row>
    <row r="468" spans="1:9" ht="31.5" x14ac:dyDescent="0.25">
      <c r="A468" s="370" t="s">
        <v>376</v>
      </c>
      <c r="B468" s="367">
        <v>903</v>
      </c>
      <c r="C468" s="371" t="s">
        <v>259</v>
      </c>
      <c r="D468" s="371" t="s">
        <v>230</v>
      </c>
      <c r="E468" s="371" t="s">
        <v>377</v>
      </c>
      <c r="F468" s="371"/>
      <c r="G468" s="369">
        <f t="shared" ref="G468:H471" si="40">G469</f>
        <v>250</v>
      </c>
      <c r="H468" s="369">
        <f t="shared" si="40"/>
        <v>250</v>
      </c>
      <c r="I468" s="222"/>
    </row>
    <row r="469" spans="1:9" ht="47.25" x14ac:dyDescent="0.25">
      <c r="A469" s="370" t="s">
        <v>1208</v>
      </c>
      <c r="B469" s="367">
        <v>903</v>
      </c>
      <c r="C469" s="371" t="s">
        <v>259</v>
      </c>
      <c r="D469" s="371" t="s">
        <v>230</v>
      </c>
      <c r="E469" s="371" t="s">
        <v>984</v>
      </c>
      <c r="F469" s="371"/>
      <c r="G469" s="369">
        <f t="shared" si="40"/>
        <v>250</v>
      </c>
      <c r="H469" s="369">
        <f t="shared" si="40"/>
        <v>250</v>
      </c>
      <c r="I469" s="222"/>
    </row>
    <row r="470" spans="1:9" ht="47.25" x14ac:dyDescent="0.25">
      <c r="A470" s="372" t="s">
        <v>1207</v>
      </c>
      <c r="B470" s="366">
        <v>903</v>
      </c>
      <c r="C470" s="368" t="s">
        <v>259</v>
      </c>
      <c r="D470" s="368" t="s">
        <v>230</v>
      </c>
      <c r="E470" s="368" t="s">
        <v>983</v>
      </c>
      <c r="F470" s="368"/>
      <c r="G470" s="373">
        <f t="shared" si="40"/>
        <v>250</v>
      </c>
      <c r="H470" s="373">
        <f t="shared" si="40"/>
        <v>250</v>
      </c>
      <c r="I470" s="222"/>
    </row>
    <row r="471" spans="1:9" ht="17.45" customHeight="1" x14ac:dyDescent="0.25">
      <c r="A471" s="372" t="s">
        <v>263</v>
      </c>
      <c r="B471" s="366">
        <v>903</v>
      </c>
      <c r="C471" s="368" t="s">
        <v>259</v>
      </c>
      <c r="D471" s="368" t="s">
        <v>230</v>
      </c>
      <c r="E471" s="368" t="s">
        <v>983</v>
      </c>
      <c r="F471" s="368" t="s">
        <v>264</v>
      </c>
      <c r="G471" s="373">
        <f t="shared" si="40"/>
        <v>250</v>
      </c>
      <c r="H471" s="373">
        <f t="shared" si="40"/>
        <v>250</v>
      </c>
      <c r="I471" s="222"/>
    </row>
    <row r="472" spans="1:9" ht="31.5" x14ac:dyDescent="0.25">
      <c r="A472" s="372" t="s">
        <v>363</v>
      </c>
      <c r="B472" s="366">
        <v>903</v>
      </c>
      <c r="C472" s="368" t="s">
        <v>259</v>
      </c>
      <c r="D472" s="368" t="s">
        <v>230</v>
      </c>
      <c r="E472" s="368" t="s">
        <v>983</v>
      </c>
      <c r="F472" s="368" t="s">
        <v>364</v>
      </c>
      <c r="G472" s="373">
        <f>250</f>
        <v>250</v>
      </c>
      <c r="H472" s="373">
        <f t="shared" si="35"/>
        <v>250</v>
      </c>
      <c r="I472" s="222"/>
    </row>
    <row r="473" spans="1:9" s="221" customFormat="1" ht="15.75" x14ac:dyDescent="0.25">
      <c r="A473" s="370" t="s">
        <v>597</v>
      </c>
      <c r="B473" s="367">
        <v>903</v>
      </c>
      <c r="C473" s="371" t="s">
        <v>253</v>
      </c>
      <c r="D473" s="368"/>
      <c r="E473" s="368"/>
      <c r="F473" s="368"/>
      <c r="G473" s="369">
        <f>G474</f>
        <v>5479</v>
      </c>
      <c r="H473" s="369">
        <f>H474</f>
        <v>5479</v>
      </c>
      <c r="I473" s="222"/>
    </row>
    <row r="474" spans="1:9" s="221" customFormat="1" ht="15.75" x14ac:dyDescent="0.25">
      <c r="A474" s="370" t="s">
        <v>598</v>
      </c>
      <c r="B474" s="367">
        <v>903</v>
      </c>
      <c r="C474" s="371" t="s">
        <v>253</v>
      </c>
      <c r="D474" s="371" t="s">
        <v>228</v>
      </c>
      <c r="E474" s="371"/>
      <c r="F474" s="371"/>
      <c r="G474" s="369">
        <f>G475+G487</f>
        <v>5479</v>
      </c>
      <c r="H474" s="369">
        <f>H475+H487</f>
        <v>5479</v>
      </c>
      <c r="I474" s="222"/>
    </row>
    <row r="475" spans="1:9" s="221" customFormat="1" ht="15.75" x14ac:dyDescent="0.25">
      <c r="A475" s="370" t="s">
        <v>156</v>
      </c>
      <c r="B475" s="367">
        <v>903</v>
      </c>
      <c r="C475" s="371" t="s">
        <v>253</v>
      </c>
      <c r="D475" s="371" t="s">
        <v>228</v>
      </c>
      <c r="E475" s="371" t="s">
        <v>910</v>
      </c>
      <c r="F475" s="371"/>
      <c r="G475" s="369">
        <f>G476</f>
        <v>5419</v>
      </c>
      <c r="H475" s="369">
        <f>H476</f>
        <v>5419</v>
      </c>
      <c r="I475" s="222"/>
    </row>
    <row r="476" spans="1:9" s="221" customFormat="1" ht="15.75" x14ac:dyDescent="0.25">
      <c r="A476" s="370" t="s">
        <v>1088</v>
      </c>
      <c r="B476" s="367">
        <v>903</v>
      </c>
      <c r="C476" s="371" t="s">
        <v>253</v>
      </c>
      <c r="D476" s="371" t="s">
        <v>228</v>
      </c>
      <c r="E476" s="371" t="s">
        <v>1087</v>
      </c>
      <c r="F476" s="371"/>
      <c r="G476" s="369">
        <f>G477+G484</f>
        <v>5419</v>
      </c>
      <c r="H476" s="369">
        <f>H477+H484</f>
        <v>5419</v>
      </c>
      <c r="I476" s="222"/>
    </row>
    <row r="477" spans="1:9" s="221" customFormat="1" ht="15.75" x14ac:dyDescent="0.25">
      <c r="A477" s="372" t="s">
        <v>832</v>
      </c>
      <c r="B477" s="366">
        <v>903</v>
      </c>
      <c r="C477" s="368" t="s">
        <v>253</v>
      </c>
      <c r="D477" s="368" t="s">
        <v>228</v>
      </c>
      <c r="E477" s="368" t="s">
        <v>1089</v>
      </c>
      <c r="F477" s="368"/>
      <c r="G477" s="373">
        <f>G478+G480+G482</f>
        <v>5209</v>
      </c>
      <c r="H477" s="373">
        <f>H478+H480+H482</f>
        <v>5209</v>
      </c>
      <c r="I477" s="222"/>
    </row>
    <row r="478" spans="1:9" s="221" customFormat="1" ht="78.75" x14ac:dyDescent="0.25">
      <c r="A478" s="372" t="s">
        <v>142</v>
      </c>
      <c r="B478" s="366">
        <v>903</v>
      </c>
      <c r="C478" s="368" t="s">
        <v>253</v>
      </c>
      <c r="D478" s="368" t="s">
        <v>228</v>
      </c>
      <c r="E478" s="368" t="s">
        <v>1089</v>
      </c>
      <c r="F478" s="368" t="s">
        <v>143</v>
      </c>
      <c r="G478" s="373">
        <f>G479</f>
        <v>4500</v>
      </c>
      <c r="H478" s="373">
        <f>H479</f>
        <v>4500</v>
      </c>
      <c r="I478" s="222"/>
    </row>
    <row r="479" spans="1:9" s="221" customFormat="1" ht="15.75" x14ac:dyDescent="0.25">
      <c r="A479" s="372" t="s">
        <v>223</v>
      </c>
      <c r="B479" s="366">
        <v>903</v>
      </c>
      <c r="C479" s="368" t="s">
        <v>253</v>
      </c>
      <c r="D479" s="368" t="s">
        <v>228</v>
      </c>
      <c r="E479" s="368" t="s">
        <v>1089</v>
      </c>
      <c r="F479" s="368" t="s">
        <v>224</v>
      </c>
      <c r="G479" s="374">
        <v>4500</v>
      </c>
      <c r="H479" s="374">
        <f>G479</f>
        <v>4500</v>
      </c>
      <c r="I479" s="222"/>
    </row>
    <row r="480" spans="1:9" s="221" customFormat="1" ht="31.5" x14ac:dyDescent="0.25">
      <c r="A480" s="372" t="s">
        <v>146</v>
      </c>
      <c r="B480" s="366">
        <v>903</v>
      </c>
      <c r="C480" s="368" t="s">
        <v>253</v>
      </c>
      <c r="D480" s="368" t="s">
        <v>228</v>
      </c>
      <c r="E480" s="368" t="s">
        <v>1089</v>
      </c>
      <c r="F480" s="368" t="s">
        <v>147</v>
      </c>
      <c r="G480" s="373">
        <f>G481</f>
        <v>659</v>
      </c>
      <c r="H480" s="373">
        <f>H481</f>
        <v>659</v>
      </c>
      <c r="I480" s="222"/>
    </row>
    <row r="481" spans="1:9" s="221" customFormat="1" ht="31.5" x14ac:dyDescent="0.25">
      <c r="A481" s="372" t="s">
        <v>148</v>
      </c>
      <c r="B481" s="366">
        <v>903</v>
      </c>
      <c r="C481" s="368" t="s">
        <v>253</v>
      </c>
      <c r="D481" s="368" t="s">
        <v>228</v>
      </c>
      <c r="E481" s="368" t="s">
        <v>1089</v>
      </c>
      <c r="F481" s="368" t="s">
        <v>149</v>
      </c>
      <c r="G481" s="374">
        <f>659</f>
        <v>659</v>
      </c>
      <c r="H481" s="374">
        <f>G481</f>
        <v>659</v>
      </c>
      <c r="I481" s="222"/>
    </row>
    <row r="482" spans="1:9" s="221" customFormat="1" ht="15.75" x14ac:dyDescent="0.25">
      <c r="A482" s="372" t="s">
        <v>150</v>
      </c>
      <c r="B482" s="366">
        <v>903</v>
      </c>
      <c r="C482" s="368" t="s">
        <v>253</v>
      </c>
      <c r="D482" s="368" t="s">
        <v>228</v>
      </c>
      <c r="E482" s="368" t="s">
        <v>1089</v>
      </c>
      <c r="F482" s="368" t="s">
        <v>160</v>
      </c>
      <c r="G482" s="373">
        <f>G483</f>
        <v>50</v>
      </c>
      <c r="H482" s="373">
        <f>H483</f>
        <v>50</v>
      </c>
      <c r="I482" s="222"/>
    </row>
    <row r="483" spans="1:9" s="221" customFormat="1" ht="15.75" x14ac:dyDescent="0.25">
      <c r="A483" s="372" t="s">
        <v>583</v>
      </c>
      <c r="B483" s="366">
        <v>903</v>
      </c>
      <c r="C483" s="368" t="s">
        <v>253</v>
      </c>
      <c r="D483" s="368" t="s">
        <v>228</v>
      </c>
      <c r="E483" s="368" t="s">
        <v>1089</v>
      </c>
      <c r="F483" s="368" t="s">
        <v>153</v>
      </c>
      <c r="G483" s="373">
        <f>50</f>
        <v>50</v>
      </c>
      <c r="H483" s="373">
        <f>G483</f>
        <v>50</v>
      </c>
      <c r="I483" s="222"/>
    </row>
    <row r="484" spans="1:9" s="221" customFormat="1" ht="47.25" x14ac:dyDescent="0.25">
      <c r="A484" s="372" t="s">
        <v>883</v>
      </c>
      <c r="B484" s="366">
        <v>903</v>
      </c>
      <c r="C484" s="368" t="s">
        <v>253</v>
      </c>
      <c r="D484" s="368" t="s">
        <v>228</v>
      </c>
      <c r="E484" s="368" t="s">
        <v>1090</v>
      </c>
      <c r="F484" s="368"/>
      <c r="G484" s="373">
        <f>G485</f>
        <v>210</v>
      </c>
      <c r="H484" s="373">
        <f>H485</f>
        <v>210</v>
      </c>
      <c r="I484" s="222"/>
    </row>
    <row r="485" spans="1:9" s="221" customFormat="1" ht="78.75" x14ac:dyDescent="0.25">
      <c r="A485" s="372" t="s">
        <v>142</v>
      </c>
      <c r="B485" s="366">
        <v>903</v>
      </c>
      <c r="C485" s="368" t="s">
        <v>253</v>
      </c>
      <c r="D485" s="368" t="s">
        <v>228</v>
      </c>
      <c r="E485" s="368" t="s">
        <v>1090</v>
      </c>
      <c r="F485" s="368" t="s">
        <v>143</v>
      </c>
      <c r="G485" s="373">
        <f>G486</f>
        <v>210</v>
      </c>
      <c r="H485" s="373">
        <f>H486</f>
        <v>210</v>
      </c>
      <c r="I485" s="222"/>
    </row>
    <row r="486" spans="1:9" s="221" customFormat="1" ht="15.75" x14ac:dyDescent="0.25">
      <c r="A486" s="372" t="s">
        <v>223</v>
      </c>
      <c r="B486" s="366">
        <v>903</v>
      </c>
      <c r="C486" s="368" t="s">
        <v>253</v>
      </c>
      <c r="D486" s="368" t="s">
        <v>228</v>
      </c>
      <c r="E486" s="368" t="s">
        <v>1090</v>
      </c>
      <c r="F486" s="368" t="s">
        <v>224</v>
      </c>
      <c r="G486" s="373">
        <f>210</f>
        <v>210</v>
      </c>
      <c r="H486" s="373">
        <f>G486</f>
        <v>210</v>
      </c>
      <c r="I486" s="222"/>
    </row>
    <row r="487" spans="1:9" s="221" customFormat="1" ht="63" x14ac:dyDescent="0.25">
      <c r="A487" s="41" t="s">
        <v>1429</v>
      </c>
      <c r="B487" s="367">
        <v>903</v>
      </c>
      <c r="C487" s="371" t="s">
        <v>253</v>
      </c>
      <c r="D487" s="371" t="s">
        <v>228</v>
      </c>
      <c r="E487" s="371" t="s">
        <v>726</v>
      </c>
      <c r="F487" s="250"/>
      <c r="G487" s="369">
        <f>G489</f>
        <v>60</v>
      </c>
      <c r="H487" s="369">
        <f>H489</f>
        <v>60</v>
      </c>
      <c r="I487" s="222"/>
    </row>
    <row r="488" spans="1:9" s="221" customFormat="1" ht="47.25" x14ac:dyDescent="0.25">
      <c r="A488" s="41" t="s">
        <v>947</v>
      </c>
      <c r="B488" s="367">
        <v>903</v>
      </c>
      <c r="C488" s="371" t="s">
        <v>253</v>
      </c>
      <c r="D488" s="371" t="s">
        <v>228</v>
      </c>
      <c r="E488" s="371" t="s">
        <v>945</v>
      </c>
      <c r="F488" s="250"/>
      <c r="G488" s="369">
        <f t="shared" ref="G488:H490" si="41">G489</f>
        <v>60</v>
      </c>
      <c r="H488" s="369">
        <f t="shared" si="41"/>
        <v>60</v>
      </c>
      <c r="I488" s="222"/>
    </row>
    <row r="489" spans="1:9" s="221" customFormat="1" ht="47.25" x14ac:dyDescent="0.25">
      <c r="A489" s="99" t="s">
        <v>1155</v>
      </c>
      <c r="B489" s="366">
        <v>903</v>
      </c>
      <c r="C489" s="368" t="s">
        <v>253</v>
      </c>
      <c r="D489" s="368" t="s">
        <v>228</v>
      </c>
      <c r="E489" s="368" t="s">
        <v>946</v>
      </c>
      <c r="F489" s="32"/>
      <c r="G489" s="373">
        <f t="shared" si="41"/>
        <v>60</v>
      </c>
      <c r="H489" s="373">
        <f t="shared" si="41"/>
        <v>60</v>
      </c>
      <c r="I489" s="222"/>
    </row>
    <row r="490" spans="1:9" s="221" customFormat="1" ht="31.5" x14ac:dyDescent="0.25">
      <c r="A490" s="372" t="s">
        <v>146</v>
      </c>
      <c r="B490" s="366">
        <v>903</v>
      </c>
      <c r="C490" s="368" t="s">
        <v>253</v>
      </c>
      <c r="D490" s="368" t="s">
        <v>228</v>
      </c>
      <c r="E490" s="368" t="s">
        <v>946</v>
      </c>
      <c r="F490" s="32" t="s">
        <v>147</v>
      </c>
      <c r="G490" s="373">
        <f t="shared" si="41"/>
        <v>60</v>
      </c>
      <c r="H490" s="373">
        <f t="shared" si="41"/>
        <v>60</v>
      </c>
      <c r="I490" s="222"/>
    </row>
    <row r="491" spans="1:9" s="221" customFormat="1" ht="31.5" x14ac:dyDescent="0.25">
      <c r="A491" s="372" t="s">
        <v>148</v>
      </c>
      <c r="B491" s="366">
        <v>903</v>
      </c>
      <c r="C491" s="368" t="s">
        <v>253</v>
      </c>
      <c r="D491" s="368" t="s">
        <v>228</v>
      </c>
      <c r="E491" s="368" t="s">
        <v>946</v>
      </c>
      <c r="F491" s="32" t="s">
        <v>149</v>
      </c>
      <c r="G491" s="373">
        <f>60</f>
        <v>60</v>
      </c>
      <c r="H491" s="373">
        <f>G491</f>
        <v>60</v>
      </c>
      <c r="I491" s="222"/>
    </row>
    <row r="492" spans="1:9" ht="47.25" x14ac:dyDescent="0.25">
      <c r="A492" s="367" t="s">
        <v>402</v>
      </c>
      <c r="B492" s="367">
        <v>905</v>
      </c>
      <c r="C492" s="368"/>
      <c r="D492" s="368"/>
      <c r="E492" s="368"/>
      <c r="F492" s="368"/>
      <c r="G492" s="369">
        <f>G493+G525</f>
        <v>18309.22</v>
      </c>
      <c r="H492" s="369">
        <f>H493+H525</f>
        <v>15282.82</v>
      </c>
      <c r="I492" s="222"/>
    </row>
    <row r="493" spans="1:9" ht="15.75" x14ac:dyDescent="0.25">
      <c r="A493" s="370" t="s">
        <v>132</v>
      </c>
      <c r="B493" s="367">
        <v>905</v>
      </c>
      <c r="C493" s="371" t="s">
        <v>133</v>
      </c>
      <c r="D493" s="368"/>
      <c r="E493" s="368"/>
      <c r="F493" s="368"/>
      <c r="G493" s="369">
        <f>G494+G511</f>
        <v>17128.22</v>
      </c>
      <c r="H493" s="369">
        <f>H494+H511</f>
        <v>14101.82</v>
      </c>
      <c r="I493" s="222"/>
    </row>
    <row r="494" spans="1:9" ht="63" x14ac:dyDescent="0.25">
      <c r="A494" s="370" t="s">
        <v>164</v>
      </c>
      <c r="B494" s="367">
        <v>905</v>
      </c>
      <c r="C494" s="371" t="s">
        <v>133</v>
      </c>
      <c r="D494" s="371" t="s">
        <v>165</v>
      </c>
      <c r="E494" s="371"/>
      <c r="F494" s="371"/>
      <c r="G494" s="369">
        <f>G495</f>
        <v>10962</v>
      </c>
      <c r="H494" s="369">
        <f>H495</f>
        <v>10962</v>
      </c>
      <c r="I494" s="222"/>
    </row>
    <row r="495" spans="1:9" ht="31.5" x14ac:dyDescent="0.25">
      <c r="A495" s="370" t="s">
        <v>988</v>
      </c>
      <c r="B495" s="367">
        <v>905</v>
      </c>
      <c r="C495" s="371" t="s">
        <v>133</v>
      </c>
      <c r="D495" s="371" t="s">
        <v>165</v>
      </c>
      <c r="E495" s="371" t="s">
        <v>902</v>
      </c>
      <c r="F495" s="371"/>
      <c r="G495" s="369">
        <f>G496+G507</f>
        <v>10962</v>
      </c>
      <c r="H495" s="369">
        <f>H496+H507</f>
        <v>10962</v>
      </c>
      <c r="I495" s="222"/>
    </row>
    <row r="496" spans="1:9" ht="15.75" x14ac:dyDescent="0.25">
      <c r="A496" s="370" t="s">
        <v>989</v>
      </c>
      <c r="B496" s="367">
        <v>905</v>
      </c>
      <c r="C496" s="371" t="s">
        <v>133</v>
      </c>
      <c r="D496" s="371" t="s">
        <v>165</v>
      </c>
      <c r="E496" s="371" t="s">
        <v>903</v>
      </c>
      <c r="F496" s="371"/>
      <c r="G496" s="369">
        <f>G497+G504</f>
        <v>10940</v>
      </c>
      <c r="H496" s="369">
        <f>H497+H504</f>
        <v>10940</v>
      </c>
      <c r="I496" s="222"/>
    </row>
    <row r="497" spans="1:9" ht="31.5" x14ac:dyDescent="0.25">
      <c r="A497" s="372" t="s">
        <v>965</v>
      </c>
      <c r="B497" s="366">
        <v>905</v>
      </c>
      <c r="C497" s="368" t="s">
        <v>133</v>
      </c>
      <c r="D497" s="368" t="s">
        <v>165</v>
      </c>
      <c r="E497" s="368" t="s">
        <v>904</v>
      </c>
      <c r="F497" s="368"/>
      <c r="G497" s="373">
        <f>G498+G500+G502</f>
        <v>10604</v>
      </c>
      <c r="H497" s="373">
        <f>H498+H500+H502</f>
        <v>10604</v>
      </c>
      <c r="I497" s="222"/>
    </row>
    <row r="498" spans="1:9" ht="78.75" x14ac:dyDescent="0.25">
      <c r="A498" s="372" t="s">
        <v>142</v>
      </c>
      <c r="B498" s="366">
        <v>905</v>
      </c>
      <c r="C498" s="368" t="s">
        <v>133</v>
      </c>
      <c r="D498" s="368" t="s">
        <v>165</v>
      </c>
      <c r="E498" s="368" t="s">
        <v>904</v>
      </c>
      <c r="F498" s="368" t="s">
        <v>143</v>
      </c>
      <c r="G498" s="373">
        <f>G499</f>
        <v>10033</v>
      </c>
      <c r="H498" s="373">
        <f>H499</f>
        <v>10033</v>
      </c>
      <c r="I498" s="222"/>
    </row>
    <row r="499" spans="1:9" ht="31.5" x14ac:dyDescent="0.25">
      <c r="A499" s="372" t="s">
        <v>144</v>
      </c>
      <c r="B499" s="366">
        <v>905</v>
      </c>
      <c r="C499" s="368" t="s">
        <v>133</v>
      </c>
      <c r="D499" s="368" t="s">
        <v>165</v>
      </c>
      <c r="E499" s="368" t="s">
        <v>904</v>
      </c>
      <c r="F499" s="368" t="s">
        <v>145</v>
      </c>
      <c r="G499" s="373">
        <f>10033</f>
        <v>10033</v>
      </c>
      <c r="H499" s="373">
        <f t="shared" si="35"/>
        <v>10033</v>
      </c>
      <c r="I499" s="222"/>
    </row>
    <row r="500" spans="1:9" ht="31.5" x14ac:dyDescent="0.25">
      <c r="A500" s="372" t="s">
        <v>146</v>
      </c>
      <c r="B500" s="366">
        <v>905</v>
      </c>
      <c r="C500" s="368" t="s">
        <v>133</v>
      </c>
      <c r="D500" s="368" t="s">
        <v>165</v>
      </c>
      <c r="E500" s="368" t="s">
        <v>904</v>
      </c>
      <c r="F500" s="368" t="s">
        <v>147</v>
      </c>
      <c r="G500" s="373">
        <f>G501</f>
        <v>440</v>
      </c>
      <c r="H500" s="373">
        <f>H501</f>
        <v>440</v>
      </c>
      <c r="I500" s="222"/>
    </row>
    <row r="501" spans="1:9" ht="31.5" x14ac:dyDescent="0.25">
      <c r="A501" s="372" t="s">
        <v>148</v>
      </c>
      <c r="B501" s="366">
        <v>905</v>
      </c>
      <c r="C501" s="368" t="s">
        <v>133</v>
      </c>
      <c r="D501" s="368" t="s">
        <v>165</v>
      </c>
      <c r="E501" s="368" t="s">
        <v>904</v>
      </c>
      <c r="F501" s="368" t="s">
        <v>149</v>
      </c>
      <c r="G501" s="373">
        <f>440</f>
        <v>440</v>
      </c>
      <c r="H501" s="373">
        <f t="shared" si="35"/>
        <v>440</v>
      </c>
      <c r="I501" s="222"/>
    </row>
    <row r="502" spans="1:9" ht="15.75" x14ac:dyDescent="0.25">
      <c r="A502" s="372" t="s">
        <v>150</v>
      </c>
      <c r="B502" s="366">
        <v>905</v>
      </c>
      <c r="C502" s="368" t="s">
        <v>133</v>
      </c>
      <c r="D502" s="368" t="s">
        <v>165</v>
      </c>
      <c r="E502" s="368" t="s">
        <v>904</v>
      </c>
      <c r="F502" s="368" t="s">
        <v>160</v>
      </c>
      <c r="G502" s="373">
        <f>G503</f>
        <v>131</v>
      </c>
      <c r="H502" s="373">
        <f>H503</f>
        <v>131</v>
      </c>
      <c r="I502" s="222"/>
    </row>
    <row r="503" spans="1:9" ht="15.75" x14ac:dyDescent="0.25">
      <c r="A503" s="372" t="s">
        <v>583</v>
      </c>
      <c r="B503" s="366">
        <v>905</v>
      </c>
      <c r="C503" s="368" t="s">
        <v>133</v>
      </c>
      <c r="D503" s="368" t="s">
        <v>165</v>
      </c>
      <c r="E503" s="368" t="s">
        <v>904</v>
      </c>
      <c r="F503" s="368" t="s">
        <v>153</v>
      </c>
      <c r="G503" s="373">
        <f>131</f>
        <v>131</v>
      </c>
      <c r="H503" s="373">
        <f t="shared" si="35"/>
        <v>131</v>
      </c>
      <c r="I503" s="222"/>
    </row>
    <row r="504" spans="1:9" ht="47.25" x14ac:dyDescent="0.25">
      <c r="A504" s="372" t="s">
        <v>883</v>
      </c>
      <c r="B504" s="366">
        <v>905</v>
      </c>
      <c r="C504" s="368" t="s">
        <v>133</v>
      </c>
      <c r="D504" s="368" t="s">
        <v>165</v>
      </c>
      <c r="E504" s="368" t="s">
        <v>906</v>
      </c>
      <c r="F504" s="368"/>
      <c r="G504" s="373">
        <f>G505</f>
        <v>336</v>
      </c>
      <c r="H504" s="373">
        <f>H505</f>
        <v>336</v>
      </c>
      <c r="I504" s="222"/>
    </row>
    <row r="505" spans="1:9" ht="78.75" x14ac:dyDescent="0.25">
      <c r="A505" s="372" t="s">
        <v>142</v>
      </c>
      <c r="B505" s="366">
        <v>905</v>
      </c>
      <c r="C505" s="368" t="s">
        <v>133</v>
      </c>
      <c r="D505" s="368" t="s">
        <v>165</v>
      </c>
      <c r="E505" s="368" t="s">
        <v>906</v>
      </c>
      <c r="F505" s="368" t="s">
        <v>143</v>
      </c>
      <c r="G505" s="373">
        <f>G506</f>
        <v>336</v>
      </c>
      <c r="H505" s="373">
        <f>H506</f>
        <v>336</v>
      </c>
      <c r="I505" s="222"/>
    </row>
    <row r="506" spans="1:9" ht="31.5" x14ac:dyDescent="0.25">
      <c r="A506" s="372" t="s">
        <v>144</v>
      </c>
      <c r="B506" s="366">
        <v>905</v>
      </c>
      <c r="C506" s="368" t="s">
        <v>133</v>
      </c>
      <c r="D506" s="368" t="s">
        <v>165</v>
      </c>
      <c r="E506" s="368" t="s">
        <v>906</v>
      </c>
      <c r="F506" s="368" t="s">
        <v>145</v>
      </c>
      <c r="G506" s="373">
        <f>336</f>
        <v>336</v>
      </c>
      <c r="H506" s="373">
        <f t="shared" ref="H506:H575" si="42">G506</f>
        <v>336</v>
      </c>
      <c r="I506" s="222"/>
    </row>
    <row r="507" spans="1:9" s="221" customFormat="1" ht="31.5" x14ac:dyDescent="0.25">
      <c r="A507" s="370" t="s">
        <v>930</v>
      </c>
      <c r="B507" s="367">
        <v>905</v>
      </c>
      <c r="C507" s="371" t="s">
        <v>133</v>
      </c>
      <c r="D507" s="371" t="s">
        <v>165</v>
      </c>
      <c r="E507" s="371" t="s">
        <v>907</v>
      </c>
      <c r="F507" s="371"/>
      <c r="G507" s="369">
        <f t="shared" ref="G507:H509" si="43">G508</f>
        <v>22</v>
      </c>
      <c r="H507" s="369">
        <f t="shared" si="43"/>
        <v>22</v>
      </c>
      <c r="I507" s="222"/>
    </row>
    <row r="508" spans="1:9" s="221" customFormat="1" ht="94.5" x14ac:dyDescent="0.25">
      <c r="A508" s="31" t="s">
        <v>1413</v>
      </c>
      <c r="B508" s="366">
        <v>905</v>
      </c>
      <c r="C508" s="368" t="s">
        <v>133</v>
      </c>
      <c r="D508" s="368" t="s">
        <v>165</v>
      </c>
      <c r="E508" s="368" t="s">
        <v>1412</v>
      </c>
      <c r="F508" s="368"/>
      <c r="G508" s="373">
        <f t="shared" si="43"/>
        <v>22</v>
      </c>
      <c r="H508" s="373">
        <f t="shared" si="43"/>
        <v>22</v>
      </c>
      <c r="I508" s="222"/>
    </row>
    <row r="509" spans="1:9" s="221" customFormat="1" ht="78.75" x14ac:dyDescent="0.25">
      <c r="A509" s="372" t="s">
        <v>142</v>
      </c>
      <c r="B509" s="366">
        <v>905</v>
      </c>
      <c r="C509" s="368" t="s">
        <v>133</v>
      </c>
      <c r="D509" s="368" t="s">
        <v>165</v>
      </c>
      <c r="E509" s="368" t="s">
        <v>1412</v>
      </c>
      <c r="F509" s="368" t="s">
        <v>143</v>
      </c>
      <c r="G509" s="373">
        <f>G510</f>
        <v>22</v>
      </c>
      <c r="H509" s="373">
        <f t="shared" si="43"/>
        <v>22</v>
      </c>
      <c r="I509" s="222"/>
    </row>
    <row r="510" spans="1:9" s="221" customFormat="1" ht="31.5" x14ac:dyDescent="0.25">
      <c r="A510" s="372" t="s">
        <v>144</v>
      </c>
      <c r="B510" s="366">
        <v>905</v>
      </c>
      <c r="C510" s="368" t="s">
        <v>133</v>
      </c>
      <c r="D510" s="368" t="s">
        <v>165</v>
      </c>
      <c r="E510" s="368" t="s">
        <v>1412</v>
      </c>
      <c r="F510" s="368" t="s">
        <v>145</v>
      </c>
      <c r="G510" s="373">
        <f>22</f>
        <v>22</v>
      </c>
      <c r="H510" s="373">
        <f>G510</f>
        <v>22</v>
      </c>
      <c r="I510" s="222"/>
    </row>
    <row r="511" spans="1:9" ht="15.75" x14ac:dyDescent="0.25">
      <c r="A511" s="370" t="s">
        <v>154</v>
      </c>
      <c r="B511" s="367">
        <v>905</v>
      </c>
      <c r="C511" s="371" t="s">
        <v>133</v>
      </c>
      <c r="D511" s="371" t="s">
        <v>155</v>
      </c>
      <c r="E511" s="371"/>
      <c r="F511" s="371"/>
      <c r="G511" s="369">
        <f>G512+G520</f>
        <v>6166.22</v>
      </c>
      <c r="H511" s="369">
        <f>H512+H520</f>
        <v>3139.82</v>
      </c>
      <c r="I511" s="222"/>
    </row>
    <row r="512" spans="1:9" ht="15.75" x14ac:dyDescent="0.25">
      <c r="A512" s="370" t="s">
        <v>156</v>
      </c>
      <c r="B512" s="367">
        <v>905</v>
      </c>
      <c r="C512" s="371" t="s">
        <v>133</v>
      </c>
      <c r="D512" s="371" t="s">
        <v>155</v>
      </c>
      <c r="E512" s="371" t="s">
        <v>910</v>
      </c>
      <c r="F512" s="371"/>
      <c r="G512" s="369">
        <f>G513</f>
        <v>2900</v>
      </c>
      <c r="H512" s="369">
        <f>H513</f>
        <v>2900</v>
      </c>
      <c r="I512" s="222"/>
    </row>
    <row r="513" spans="1:13" ht="31.5" x14ac:dyDescent="0.25">
      <c r="A513" s="370" t="s">
        <v>914</v>
      </c>
      <c r="B513" s="367">
        <v>905</v>
      </c>
      <c r="C513" s="371" t="s">
        <v>133</v>
      </c>
      <c r="D513" s="371" t="s">
        <v>155</v>
      </c>
      <c r="E513" s="371" t="s">
        <v>909</v>
      </c>
      <c r="F513" s="371"/>
      <c r="G513" s="369">
        <f>G514+G517</f>
        <v>2900</v>
      </c>
      <c r="H513" s="369">
        <f>H514+H517</f>
        <v>2900</v>
      </c>
      <c r="I513" s="222"/>
    </row>
    <row r="514" spans="1:13" ht="47.25" x14ac:dyDescent="0.25">
      <c r="A514" s="372" t="s">
        <v>403</v>
      </c>
      <c r="B514" s="366">
        <v>905</v>
      </c>
      <c r="C514" s="368" t="s">
        <v>133</v>
      </c>
      <c r="D514" s="368" t="s">
        <v>155</v>
      </c>
      <c r="E514" s="368" t="s">
        <v>1167</v>
      </c>
      <c r="F514" s="368"/>
      <c r="G514" s="373">
        <f>G515</f>
        <v>2900</v>
      </c>
      <c r="H514" s="373">
        <f>H515</f>
        <v>2900</v>
      </c>
      <c r="I514" s="222"/>
    </row>
    <row r="515" spans="1:13" ht="31.5" x14ac:dyDescent="0.25">
      <c r="A515" s="372" t="s">
        <v>146</v>
      </c>
      <c r="B515" s="366">
        <v>905</v>
      </c>
      <c r="C515" s="368" t="s">
        <v>133</v>
      </c>
      <c r="D515" s="368" t="s">
        <v>155</v>
      </c>
      <c r="E515" s="368" t="s">
        <v>1167</v>
      </c>
      <c r="F515" s="368" t="s">
        <v>147</v>
      </c>
      <c r="G515" s="373">
        <f>G516</f>
        <v>2900</v>
      </c>
      <c r="H515" s="373">
        <f>H516</f>
        <v>2900</v>
      </c>
      <c r="I515" s="222"/>
    </row>
    <row r="516" spans="1:13" ht="31.5" x14ac:dyDescent="0.25">
      <c r="A516" s="372" t="s">
        <v>148</v>
      </c>
      <c r="B516" s="366">
        <v>905</v>
      </c>
      <c r="C516" s="368" t="s">
        <v>133</v>
      </c>
      <c r="D516" s="368" t="s">
        <v>155</v>
      </c>
      <c r="E516" s="368" t="s">
        <v>1167</v>
      </c>
      <c r="F516" s="368" t="s">
        <v>149</v>
      </c>
      <c r="G516" s="373">
        <f>2900</f>
        <v>2900</v>
      </c>
      <c r="H516" s="373">
        <f t="shared" si="42"/>
        <v>2900</v>
      </c>
      <c r="I516" s="222"/>
    </row>
    <row r="517" spans="1:13" ht="31.5" hidden="1" x14ac:dyDescent="0.25">
      <c r="A517" s="372" t="s">
        <v>1002</v>
      </c>
      <c r="B517" s="366">
        <v>905</v>
      </c>
      <c r="C517" s="368" t="s">
        <v>133</v>
      </c>
      <c r="D517" s="368" t="s">
        <v>155</v>
      </c>
      <c r="E517" s="368" t="s">
        <v>1168</v>
      </c>
      <c r="F517" s="368"/>
      <c r="G517" s="373">
        <f>'Пр.4 ведом.20'!G516</f>
        <v>0</v>
      </c>
      <c r="H517" s="373">
        <f t="shared" si="42"/>
        <v>0</v>
      </c>
      <c r="I517" s="222"/>
    </row>
    <row r="518" spans="1:13" ht="31.5" hidden="1" x14ac:dyDescent="0.25">
      <c r="A518" s="372" t="s">
        <v>146</v>
      </c>
      <c r="B518" s="366">
        <v>905</v>
      </c>
      <c r="C518" s="368" t="s">
        <v>133</v>
      </c>
      <c r="D518" s="368" t="s">
        <v>155</v>
      </c>
      <c r="E518" s="368" t="s">
        <v>1168</v>
      </c>
      <c r="F518" s="368" t="s">
        <v>147</v>
      </c>
      <c r="G518" s="373">
        <f>'Пр.4 ведом.20'!G517</f>
        <v>0</v>
      </c>
      <c r="H518" s="373">
        <f t="shared" si="42"/>
        <v>0</v>
      </c>
      <c r="I518" s="222"/>
    </row>
    <row r="519" spans="1:13" ht="31.5" hidden="1" x14ac:dyDescent="0.25">
      <c r="A519" s="372" t="s">
        <v>148</v>
      </c>
      <c r="B519" s="366">
        <v>905</v>
      </c>
      <c r="C519" s="368" t="s">
        <v>133</v>
      </c>
      <c r="D519" s="368" t="s">
        <v>155</v>
      </c>
      <c r="E519" s="368" t="s">
        <v>1168</v>
      </c>
      <c r="F519" s="368" t="s">
        <v>149</v>
      </c>
      <c r="G519" s="373">
        <f>'Пр.4 ведом.20'!G518</f>
        <v>0</v>
      </c>
      <c r="H519" s="373">
        <f t="shared" si="42"/>
        <v>0</v>
      </c>
      <c r="I519" s="222"/>
    </row>
    <row r="520" spans="1:13" ht="63" x14ac:dyDescent="0.25">
      <c r="A520" s="370" t="s">
        <v>1433</v>
      </c>
      <c r="B520" s="367">
        <v>905</v>
      </c>
      <c r="C520" s="371" t="s">
        <v>133</v>
      </c>
      <c r="D520" s="371" t="s">
        <v>155</v>
      </c>
      <c r="E520" s="371" t="s">
        <v>804</v>
      </c>
      <c r="F520" s="371"/>
      <c r="G520" s="369">
        <f t="shared" ref="G520:H523" si="44">G521</f>
        <v>3266.2200000000003</v>
      </c>
      <c r="H520" s="369">
        <f t="shared" si="44"/>
        <v>239.82000000000016</v>
      </c>
      <c r="I520" s="222"/>
    </row>
    <row r="521" spans="1:13" ht="31.5" x14ac:dyDescent="0.25">
      <c r="A521" s="370" t="s">
        <v>1001</v>
      </c>
      <c r="B521" s="367">
        <v>905</v>
      </c>
      <c r="C521" s="371" t="s">
        <v>133</v>
      </c>
      <c r="D521" s="371" t="s">
        <v>155</v>
      </c>
      <c r="E521" s="371" t="s">
        <v>1180</v>
      </c>
      <c r="F521" s="371"/>
      <c r="G521" s="369">
        <f t="shared" si="44"/>
        <v>3266.2200000000003</v>
      </c>
      <c r="H521" s="369">
        <f t="shared" si="44"/>
        <v>239.82000000000016</v>
      </c>
      <c r="I521" s="222"/>
    </row>
    <row r="522" spans="1:13" ht="31.5" x14ac:dyDescent="0.25">
      <c r="A522" s="372" t="s">
        <v>814</v>
      </c>
      <c r="B522" s="366">
        <v>905</v>
      </c>
      <c r="C522" s="368" t="s">
        <v>133</v>
      </c>
      <c r="D522" s="368" t="s">
        <v>155</v>
      </c>
      <c r="E522" s="368" t="s">
        <v>1181</v>
      </c>
      <c r="F522" s="368"/>
      <c r="G522" s="373">
        <f t="shared" si="44"/>
        <v>3266.2200000000003</v>
      </c>
      <c r="H522" s="373">
        <f t="shared" si="44"/>
        <v>239.82000000000016</v>
      </c>
      <c r="I522" s="222"/>
    </row>
    <row r="523" spans="1:13" ht="31.5" x14ac:dyDescent="0.25">
      <c r="A523" s="372" t="s">
        <v>146</v>
      </c>
      <c r="B523" s="366">
        <v>905</v>
      </c>
      <c r="C523" s="368" t="s">
        <v>133</v>
      </c>
      <c r="D523" s="368" t="s">
        <v>155</v>
      </c>
      <c r="E523" s="368" t="s">
        <v>1181</v>
      </c>
      <c r="F523" s="368" t="s">
        <v>147</v>
      </c>
      <c r="G523" s="373">
        <f t="shared" si="44"/>
        <v>3266.2200000000003</v>
      </c>
      <c r="H523" s="373">
        <f t="shared" si="44"/>
        <v>239.82000000000016</v>
      </c>
      <c r="I523" s="222"/>
    </row>
    <row r="524" spans="1:13" ht="31.5" x14ac:dyDescent="0.25">
      <c r="A524" s="372" t="s">
        <v>148</v>
      </c>
      <c r="B524" s="366">
        <v>905</v>
      </c>
      <c r="C524" s="368" t="s">
        <v>133</v>
      </c>
      <c r="D524" s="368" t="s">
        <v>155</v>
      </c>
      <c r="E524" s="368" t="s">
        <v>1181</v>
      </c>
      <c r="F524" s="368" t="s">
        <v>149</v>
      </c>
      <c r="G524" s="373">
        <f>239.82+3026.4</f>
        <v>3266.2200000000003</v>
      </c>
      <c r="H524" s="373">
        <f>G524-3026.4</f>
        <v>239.82000000000016</v>
      </c>
      <c r="I524" s="222"/>
    </row>
    <row r="525" spans="1:13" ht="15.75" x14ac:dyDescent="0.25">
      <c r="A525" s="41" t="s">
        <v>405</v>
      </c>
      <c r="B525" s="367">
        <v>905</v>
      </c>
      <c r="C525" s="371" t="s">
        <v>249</v>
      </c>
      <c r="D525" s="371"/>
      <c r="E525" s="371"/>
      <c r="F525" s="371"/>
      <c r="G525" s="369">
        <f t="shared" ref="G525:H527" si="45">G526</f>
        <v>1181</v>
      </c>
      <c r="H525" s="369">
        <f t="shared" si="45"/>
        <v>1181</v>
      </c>
      <c r="I525" s="222"/>
      <c r="M525" s="22"/>
    </row>
    <row r="526" spans="1:13" ht="15.75" x14ac:dyDescent="0.25">
      <c r="A526" s="41" t="s">
        <v>406</v>
      </c>
      <c r="B526" s="367">
        <v>905</v>
      </c>
      <c r="C526" s="371" t="s">
        <v>249</v>
      </c>
      <c r="D526" s="371" t="s">
        <v>133</v>
      </c>
      <c r="E526" s="371"/>
      <c r="F526" s="371"/>
      <c r="G526" s="369">
        <f t="shared" si="45"/>
        <v>1181</v>
      </c>
      <c r="H526" s="369">
        <f t="shared" si="45"/>
        <v>1181</v>
      </c>
      <c r="I526" s="222"/>
    </row>
    <row r="527" spans="1:13" ht="15.75" x14ac:dyDescent="0.25">
      <c r="A527" s="370" t="s">
        <v>156</v>
      </c>
      <c r="B527" s="367">
        <v>905</v>
      </c>
      <c r="C527" s="371" t="s">
        <v>249</v>
      </c>
      <c r="D527" s="371" t="s">
        <v>133</v>
      </c>
      <c r="E527" s="371" t="s">
        <v>910</v>
      </c>
      <c r="F527" s="371"/>
      <c r="G527" s="369">
        <f t="shared" si="45"/>
        <v>1181</v>
      </c>
      <c r="H527" s="369">
        <f t="shared" si="45"/>
        <v>1181</v>
      </c>
      <c r="I527" s="222"/>
    </row>
    <row r="528" spans="1:13" ht="31.5" x14ac:dyDescent="0.25">
      <c r="A528" s="370" t="s">
        <v>914</v>
      </c>
      <c r="B528" s="367">
        <v>905</v>
      </c>
      <c r="C528" s="371" t="s">
        <v>249</v>
      </c>
      <c r="D528" s="371" t="s">
        <v>133</v>
      </c>
      <c r="E528" s="371" t="s">
        <v>909</v>
      </c>
      <c r="F528" s="371"/>
      <c r="G528" s="369">
        <f>G529+G532</f>
        <v>1181</v>
      </c>
      <c r="H528" s="369">
        <f>H529+H532</f>
        <v>1181</v>
      </c>
      <c r="I528" s="222"/>
    </row>
    <row r="529" spans="1:9" ht="31.5" x14ac:dyDescent="0.25">
      <c r="A529" s="375" t="s">
        <v>413</v>
      </c>
      <c r="B529" s="366">
        <v>905</v>
      </c>
      <c r="C529" s="368" t="s">
        <v>249</v>
      </c>
      <c r="D529" s="368" t="s">
        <v>133</v>
      </c>
      <c r="E529" s="368" t="s">
        <v>1095</v>
      </c>
      <c r="F529" s="368"/>
      <c r="G529" s="373">
        <f>G530</f>
        <v>270.39999999999998</v>
      </c>
      <c r="H529" s="373">
        <f>H530</f>
        <v>270.39999999999998</v>
      </c>
      <c r="I529" s="222"/>
    </row>
    <row r="530" spans="1:9" ht="31.5" x14ac:dyDescent="0.25">
      <c r="A530" s="372" t="s">
        <v>146</v>
      </c>
      <c r="B530" s="366">
        <v>905</v>
      </c>
      <c r="C530" s="368" t="s">
        <v>249</v>
      </c>
      <c r="D530" s="368" t="s">
        <v>133</v>
      </c>
      <c r="E530" s="368" t="s">
        <v>1095</v>
      </c>
      <c r="F530" s="368" t="s">
        <v>147</v>
      </c>
      <c r="G530" s="373">
        <f>G531</f>
        <v>270.39999999999998</v>
      </c>
      <c r="H530" s="373">
        <f>H531</f>
        <v>270.39999999999998</v>
      </c>
      <c r="I530" s="222"/>
    </row>
    <row r="531" spans="1:9" ht="31.5" x14ac:dyDescent="0.25">
      <c r="A531" s="372" t="s">
        <v>148</v>
      </c>
      <c r="B531" s="366">
        <v>905</v>
      </c>
      <c r="C531" s="368" t="s">
        <v>249</v>
      </c>
      <c r="D531" s="368" t="s">
        <v>133</v>
      </c>
      <c r="E531" s="368" t="s">
        <v>1095</v>
      </c>
      <c r="F531" s="368" t="s">
        <v>149</v>
      </c>
      <c r="G531" s="373">
        <f>270.4</f>
        <v>270.39999999999998</v>
      </c>
      <c r="H531" s="373">
        <f t="shared" si="42"/>
        <v>270.39999999999998</v>
      </c>
      <c r="I531" s="222"/>
    </row>
    <row r="532" spans="1:9" ht="31.5" x14ac:dyDescent="0.25">
      <c r="A532" s="375" t="s">
        <v>1003</v>
      </c>
      <c r="B532" s="366">
        <v>905</v>
      </c>
      <c r="C532" s="368" t="s">
        <v>249</v>
      </c>
      <c r="D532" s="368" t="s">
        <v>133</v>
      </c>
      <c r="E532" s="368" t="s">
        <v>1096</v>
      </c>
      <c r="F532" s="368"/>
      <c r="G532" s="373">
        <f>G533</f>
        <v>910.6</v>
      </c>
      <c r="H532" s="373">
        <f>H533</f>
        <v>910.6</v>
      </c>
      <c r="I532" s="222"/>
    </row>
    <row r="533" spans="1:9" ht="31.5" x14ac:dyDescent="0.25">
      <c r="A533" s="372" t="s">
        <v>146</v>
      </c>
      <c r="B533" s="366">
        <v>905</v>
      </c>
      <c r="C533" s="368" t="s">
        <v>249</v>
      </c>
      <c r="D533" s="368" t="s">
        <v>133</v>
      </c>
      <c r="E533" s="368" t="s">
        <v>1096</v>
      </c>
      <c r="F533" s="368" t="s">
        <v>147</v>
      </c>
      <c r="G533" s="373">
        <f>G534</f>
        <v>910.6</v>
      </c>
      <c r="H533" s="373">
        <f>H534</f>
        <v>910.6</v>
      </c>
      <c r="I533" s="222"/>
    </row>
    <row r="534" spans="1:9" ht="31.5" x14ac:dyDescent="0.25">
      <c r="A534" s="372" t="s">
        <v>148</v>
      </c>
      <c r="B534" s="366">
        <v>905</v>
      </c>
      <c r="C534" s="368" t="s">
        <v>249</v>
      </c>
      <c r="D534" s="368" t="s">
        <v>133</v>
      </c>
      <c r="E534" s="368" t="s">
        <v>1096</v>
      </c>
      <c r="F534" s="368" t="s">
        <v>149</v>
      </c>
      <c r="G534" s="373">
        <f>910.6</f>
        <v>910.6</v>
      </c>
      <c r="H534" s="373">
        <f t="shared" si="42"/>
        <v>910.6</v>
      </c>
      <c r="I534" s="222"/>
    </row>
    <row r="535" spans="1:9" ht="31.5" x14ac:dyDescent="0.25">
      <c r="A535" s="367" t="s">
        <v>418</v>
      </c>
      <c r="B535" s="367">
        <v>906</v>
      </c>
      <c r="C535" s="371"/>
      <c r="D535" s="371"/>
      <c r="E535" s="371"/>
      <c r="F535" s="371"/>
      <c r="G535" s="369">
        <f>G546+G536</f>
        <v>361048.4</v>
      </c>
      <c r="H535" s="369">
        <f>H546+H536</f>
        <v>361056.9</v>
      </c>
      <c r="I535" s="222"/>
    </row>
    <row r="536" spans="1:9" ht="15.75" x14ac:dyDescent="0.25">
      <c r="A536" s="370" t="s">
        <v>132</v>
      </c>
      <c r="B536" s="367">
        <v>906</v>
      </c>
      <c r="C536" s="371" t="s">
        <v>133</v>
      </c>
      <c r="D536" s="371"/>
      <c r="E536" s="371"/>
      <c r="F536" s="371"/>
      <c r="G536" s="369">
        <f t="shared" ref="G536:H539" si="46">G537</f>
        <v>50</v>
      </c>
      <c r="H536" s="369">
        <f t="shared" si="46"/>
        <v>50</v>
      </c>
      <c r="I536" s="222"/>
    </row>
    <row r="537" spans="1:9" ht="15.75" x14ac:dyDescent="0.25">
      <c r="A537" s="34" t="s">
        <v>154</v>
      </c>
      <c r="B537" s="367">
        <v>906</v>
      </c>
      <c r="C537" s="371" t="s">
        <v>133</v>
      </c>
      <c r="D537" s="371" t="s">
        <v>155</v>
      </c>
      <c r="E537" s="371"/>
      <c r="F537" s="371"/>
      <c r="G537" s="369">
        <f t="shared" si="46"/>
        <v>50</v>
      </c>
      <c r="H537" s="369">
        <f t="shared" si="46"/>
        <v>50</v>
      </c>
      <c r="I537" s="222"/>
    </row>
    <row r="538" spans="1:9" ht="47.25" x14ac:dyDescent="0.25">
      <c r="A538" s="370" t="s">
        <v>1428</v>
      </c>
      <c r="B538" s="367">
        <v>906</v>
      </c>
      <c r="C538" s="371" t="s">
        <v>133</v>
      </c>
      <c r="D538" s="371" t="s">
        <v>155</v>
      </c>
      <c r="E538" s="371" t="s">
        <v>350</v>
      </c>
      <c r="F538" s="371"/>
      <c r="G538" s="369">
        <f t="shared" si="46"/>
        <v>50</v>
      </c>
      <c r="H538" s="369">
        <f t="shared" si="46"/>
        <v>50</v>
      </c>
      <c r="I538" s="222"/>
    </row>
    <row r="539" spans="1:9" ht="31.5" x14ac:dyDescent="0.25">
      <c r="A539" s="240" t="s">
        <v>1225</v>
      </c>
      <c r="B539" s="367">
        <v>906</v>
      </c>
      <c r="C539" s="371" t="s">
        <v>133</v>
      </c>
      <c r="D539" s="371" t="s">
        <v>155</v>
      </c>
      <c r="E539" s="371" t="s">
        <v>1226</v>
      </c>
      <c r="F539" s="371"/>
      <c r="G539" s="369">
        <f t="shared" si="46"/>
        <v>50</v>
      </c>
      <c r="H539" s="369">
        <f t="shared" si="46"/>
        <v>50</v>
      </c>
      <c r="I539" s="222"/>
    </row>
    <row r="540" spans="1:9" ht="31.5" x14ac:dyDescent="0.25">
      <c r="A540" s="98" t="s">
        <v>351</v>
      </c>
      <c r="B540" s="366">
        <v>906</v>
      </c>
      <c r="C540" s="368" t="s">
        <v>133</v>
      </c>
      <c r="D540" s="368" t="s">
        <v>155</v>
      </c>
      <c r="E540" s="368" t="s">
        <v>1227</v>
      </c>
      <c r="F540" s="368"/>
      <c r="G540" s="373">
        <f>G541</f>
        <v>50</v>
      </c>
      <c r="H540" s="373">
        <f>H541</f>
        <v>50</v>
      </c>
      <c r="I540" s="222"/>
    </row>
    <row r="541" spans="1:9" ht="31.5" x14ac:dyDescent="0.25">
      <c r="A541" s="372" t="s">
        <v>146</v>
      </c>
      <c r="B541" s="366">
        <v>906</v>
      </c>
      <c r="C541" s="368" t="s">
        <v>133</v>
      </c>
      <c r="D541" s="368" t="s">
        <v>155</v>
      </c>
      <c r="E541" s="368" t="s">
        <v>1227</v>
      </c>
      <c r="F541" s="368" t="s">
        <v>147</v>
      </c>
      <c r="G541" s="373">
        <f>G542</f>
        <v>50</v>
      </c>
      <c r="H541" s="373">
        <f>H542</f>
        <v>50</v>
      </c>
      <c r="I541" s="222"/>
    </row>
    <row r="542" spans="1:9" ht="31.5" x14ac:dyDescent="0.25">
      <c r="A542" s="372" t="s">
        <v>148</v>
      </c>
      <c r="B542" s="366">
        <v>906</v>
      </c>
      <c r="C542" s="368" t="s">
        <v>133</v>
      </c>
      <c r="D542" s="368" t="s">
        <v>155</v>
      </c>
      <c r="E542" s="368" t="s">
        <v>1227</v>
      </c>
      <c r="F542" s="368" t="s">
        <v>149</v>
      </c>
      <c r="G542" s="373">
        <f>50</f>
        <v>50</v>
      </c>
      <c r="H542" s="373">
        <f t="shared" si="42"/>
        <v>50</v>
      </c>
      <c r="I542" s="222"/>
    </row>
    <row r="543" spans="1:9" ht="31.5" hidden="1" x14ac:dyDescent="0.25">
      <c r="A543" s="31" t="s">
        <v>794</v>
      </c>
      <c r="B543" s="366">
        <v>906</v>
      </c>
      <c r="C543" s="368" t="s">
        <v>133</v>
      </c>
      <c r="D543" s="368" t="s">
        <v>155</v>
      </c>
      <c r="E543" s="368" t="s">
        <v>1260</v>
      </c>
      <c r="F543" s="368"/>
      <c r="G543" s="373">
        <f>'Пр.4 ведом.20'!G548</f>
        <v>0</v>
      </c>
      <c r="H543" s="373">
        <f t="shared" si="42"/>
        <v>0</v>
      </c>
      <c r="I543" s="222"/>
    </row>
    <row r="544" spans="1:9" ht="31.5" hidden="1" x14ac:dyDescent="0.25">
      <c r="A544" s="372" t="s">
        <v>146</v>
      </c>
      <c r="B544" s="366">
        <v>906</v>
      </c>
      <c r="C544" s="368" t="s">
        <v>133</v>
      </c>
      <c r="D544" s="368" t="s">
        <v>155</v>
      </c>
      <c r="E544" s="368" t="s">
        <v>1260</v>
      </c>
      <c r="F544" s="368" t="s">
        <v>147</v>
      </c>
      <c r="G544" s="373">
        <f>'Пр.4 ведом.20'!G549</f>
        <v>0</v>
      </c>
      <c r="H544" s="373">
        <f t="shared" si="42"/>
        <v>0</v>
      </c>
      <c r="I544" s="222"/>
    </row>
    <row r="545" spans="1:9" ht="31.5" hidden="1" x14ac:dyDescent="0.25">
      <c r="A545" s="372" t="s">
        <v>148</v>
      </c>
      <c r="B545" s="366">
        <v>906</v>
      </c>
      <c r="C545" s="368" t="s">
        <v>133</v>
      </c>
      <c r="D545" s="368" t="s">
        <v>155</v>
      </c>
      <c r="E545" s="368" t="s">
        <v>1260</v>
      </c>
      <c r="F545" s="368" t="s">
        <v>149</v>
      </c>
      <c r="G545" s="373">
        <f>'Пр.4 ведом.20'!G550</f>
        <v>0</v>
      </c>
      <c r="H545" s="373">
        <f t="shared" si="42"/>
        <v>0</v>
      </c>
      <c r="I545" s="222"/>
    </row>
    <row r="546" spans="1:9" ht="15.75" x14ac:dyDescent="0.25">
      <c r="A546" s="370" t="s">
        <v>278</v>
      </c>
      <c r="B546" s="367">
        <v>906</v>
      </c>
      <c r="C546" s="371" t="s">
        <v>279</v>
      </c>
      <c r="D546" s="371"/>
      <c r="E546" s="371"/>
      <c r="F546" s="371"/>
      <c r="G546" s="369">
        <f>G547+G618+G733+G743+G699</f>
        <v>360998.40000000002</v>
      </c>
      <c r="H546" s="369">
        <f>H547+H618+H733+H743+H699</f>
        <v>361006.9</v>
      </c>
      <c r="I546" s="222"/>
    </row>
    <row r="547" spans="1:9" ht="15.75" x14ac:dyDescent="0.25">
      <c r="A547" s="370" t="s">
        <v>419</v>
      </c>
      <c r="B547" s="367">
        <v>906</v>
      </c>
      <c r="C547" s="371" t="s">
        <v>279</v>
      </c>
      <c r="D547" s="371" t="s">
        <v>133</v>
      </c>
      <c r="E547" s="371"/>
      <c r="F547" s="371"/>
      <c r="G547" s="369">
        <f>G548+G601+G613</f>
        <v>109329.5</v>
      </c>
      <c r="H547" s="369">
        <f>H548+H601+H613</f>
        <v>109329.5</v>
      </c>
      <c r="I547" s="222"/>
    </row>
    <row r="548" spans="1:9" ht="47.25" x14ac:dyDescent="0.25">
      <c r="A548" s="370" t="s">
        <v>1434</v>
      </c>
      <c r="B548" s="367">
        <v>906</v>
      </c>
      <c r="C548" s="371" t="s">
        <v>279</v>
      </c>
      <c r="D548" s="371" t="s">
        <v>133</v>
      </c>
      <c r="E548" s="371" t="s">
        <v>421</v>
      </c>
      <c r="F548" s="371"/>
      <c r="G548" s="369">
        <f>G549+G573</f>
        <v>108865.2</v>
      </c>
      <c r="H548" s="369">
        <f>H549+H573</f>
        <v>108865.2</v>
      </c>
      <c r="I548" s="222"/>
    </row>
    <row r="549" spans="1:9" ht="31.5" x14ac:dyDescent="0.25">
      <c r="A549" s="370" t="s">
        <v>422</v>
      </c>
      <c r="B549" s="367">
        <v>906</v>
      </c>
      <c r="C549" s="371" t="s">
        <v>279</v>
      </c>
      <c r="D549" s="371" t="s">
        <v>133</v>
      </c>
      <c r="E549" s="371" t="s">
        <v>423</v>
      </c>
      <c r="F549" s="371"/>
      <c r="G549" s="369">
        <f>G550+G557</f>
        <v>97867.5</v>
      </c>
      <c r="H549" s="369">
        <f>H550+H557</f>
        <v>97867.5</v>
      </c>
      <c r="I549" s="222"/>
    </row>
    <row r="550" spans="1:9" ht="31.5" x14ac:dyDescent="0.25">
      <c r="A550" s="370" t="s">
        <v>1026</v>
      </c>
      <c r="B550" s="367">
        <v>906</v>
      </c>
      <c r="C550" s="371" t="s">
        <v>279</v>
      </c>
      <c r="D550" s="371" t="s">
        <v>133</v>
      </c>
      <c r="E550" s="371" t="s">
        <v>1004</v>
      </c>
      <c r="F550" s="371"/>
      <c r="G550" s="369">
        <f>G551+G554</f>
        <v>12027</v>
      </c>
      <c r="H550" s="369">
        <f>H551+H554</f>
        <v>12027</v>
      </c>
      <c r="I550" s="222"/>
    </row>
    <row r="551" spans="1:9" ht="39.75" customHeight="1" x14ac:dyDescent="0.25">
      <c r="A551" s="372" t="s">
        <v>1061</v>
      </c>
      <c r="B551" s="366">
        <v>906</v>
      </c>
      <c r="C551" s="368" t="s">
        <v>279</v>
      </c>
      <c r="D551" s="368" t="s">
        <v>133</v>
      </c>
      <c r="E551" s="368" t="s">
        <v>1060</v>
      </c>
      <c r="F551" s="368"/>
      <c r="G551" s="373">
        <f>G552</f>
        <v>7224.3</v>
      </c>
      <c r="H551" s="373">
        <f>H552</f>
        <v>7224.3</v>
      </c>
      <c r="I551" s="222"/>
    </row>
    <row r="552" spans="1:9" ht="31.5" x14ac:dyDescent="0.25">
      <c r="A552" s="372" t="s">
        <v>287</v>
      </c>
      <c r="B552" s="366">
        <v>906</v>
      </c>
      <c r="C552" s="368" t="s">
        <v>279</v>
      </c>
      <c r="D552" s="368" t="s">
        <v>133</v>
      </c>
      <c r="E552" s="368" t="s">
        <v>1060</v>
      </c>
      <c r="F552" s="368" t="s">
        <v>288</v>
      </c>
      <c r="G552" s="373">
        <f>G553</f>
        <v>7224.3</v>
      </c>
      <c r="H552" s="373">
        <f>H553</f>
        <v>7224.3</v>
      </c>
      <c r="I552" s="222"/>
    </row>
    <row r="553" spans="1:9" ht="15.75" x14ac:dyDescent="0.25">
      <c r="A553" s="372" t="s">
        <v>289</v>
      </c>
      <c r="B553" s="366">
        <v>906</v>
      </c>
      <c r="C553" s="368" t="s">
        <v>279</v>
      </c>
      <c r="D553" s="368" t="s">
        <v>133</v>
      </c>
      <c r="E553" s="368" t="s">
        <v>1060</v>
      </c>
      <c r="F553" s="368" t="s">
        <v>290</v>
      </c>
      <c r="G553" s="373">
        <f>7224.3</f>
        <v>7224.3</v>
      </c>
      <c r="H553" s="373">
        <f t="shared" si="42"/>
        <v>7224.3</v>
      </c>
      <c r="I553" s="222"/>
    </row>
    <row r="554" spans="1:9" s="221" customFormat="1" ht="63" x14ac:dyDescent="0.25">
      <c r="A554" s="372" t="s">
        <v>1238</v>
      </c>
      <c r="B554" s="366">
        <v>906</v>
      </c>
      <c r="C554" s="368" t="s">
        <v>279</v>
      </c>
      <c r="D554" s="368" t="s">
        <v>133</v>
      </c>
      <c r="E554" s="368" t="s">
        <v>1062</v>
      </c>
      <c r="F554" s="368"/>
      <c r="G554" s="373">
        <f>G555</f>
        <v>4802.7</v>
      </c>
      <c r="H554" s="373">
        <f>H555</f>
        <v>4802.7</v>
      </c>
      <c r="I554" s="222"/>
    </row>
    <row r="555" spans="1:9" s="221" customFormat="1" ht="31.5" x14ac:dyDescent="0.25">
      <c r="A555" s="372" t="s">
        <v>287</v>
      </c>
      <c r="B555" s="366">
        <v>906</v>
      </c>
      <c r="C555" s="368" t="s">
        <v>279</v>
      </c>
      <c r="D555" s="368" t="s">
        <v>133</v>
      </c>
      <c r="E555" s="368" t="s">
        <v>1062</v>
      </c>
      <c r="F555" s="368" t="s">
        <v>288</v>
      </c>
      <c r="G555" s="373">
        <f>G556</f>
        <v>4802.7</v>
      </c>
      <c r="H555" s="373">
        <f>H556</f>
        <v>4802.7</v>
      </c>
      <c r="I555" s="222"/>
    </row>
    <row r="556" spans="1:9" s="221" customFormat="1" ht="15.75" x14ac:dyDescent="0.25">
      <c r="A556" s="372" t="s">
        <v>289</v>
      </c>
      <c r="B556" s="366">
        <v>906</v>
      </c>
      <c r="C556" s="368" t="s">
        <v>279</v>
      </c>
      <c r="D556" s="368" t="s">
        <v>133</v>
      </c>
      <c r="E556" s="368" t="s">
        <v>1062</v>
      </c>
      <c r="F556" s="368" t="s">
        <v>290</v>
      </c>
      <c r="G556" s="373">
        <f>4802.7</f>
        <v>4802.7</v>
      </c>
      <c r="H556" s="373">
        <f t="shared" ref="H556" si="47">G556</f>
        <v>4802.7</v>
      </c>
      <c r="I556" s="222"/>
    </row>
    <row r="557" spans="1:9" ht="47.25" x14ac:dyDescent="0.25">
      <c r="A557" s="370" t="s">
        <v>969</v>
      </c>
      <c r="B557" s="367">
        <v>906</v>
      </c>
      <c r="C557" s="371" t="s">
        <v>279</v>
      </c>
      <c r="D557" s="371" t="s">
        <v>133</v>
      </c>
      <c r="E557" s="371" t="s">
        <v>1019</v>
      </c>
      <c r="F557" s="371"/>
      <c r="G557" s="44">
        <f>G561+G564+G567+G570+G558</f>
        <v>85840.5</v>
      </c>
      <c r="H557" s="44">
        <f>H561+H564+H567+H570+H558</f>
        <v>85840.5</v>
      </c>
      <c r="I557" s="222"/>
    </row>
    <row r="558" spans="1:9" s="361" customFormat="1" ht="94.5" x14ac:dyDescent="0.25">
      <c r="A558" s="31" t="s">
        <v>308</v>
      </c>
      <c r="B558" s="366">
        <v>906</v>
      </c>
      <c r="C558" s="368" t="s">
        <v>279</v>
      </c>
      <c r="D558" s="368" t="s">
        <v>133</v>
      </c>
      <c r="E558" s="368" t="s">
        <v>1523</v>
      </c>
      <c r="F558" s="368"/>
      <c r="G558" s="374">
        <f>G559</f>
        <v>2916.1</v>
      </c>
      <c r="H558" s="374">
        <f>H559</f>
        <v>2916.1</v>
      </c>
      <c r="I558" s="362"/>
    </row>
    <row r="559" spans="1:9" s="361" customFormat="1" ht="31.5" x14ac:dyDescent="0.25">
      <c r="A559" s="372" t="s">
        <v>287</v>
      </c>
      <c r="B559" s="366">
        <v>906</v>
      </c>
      <c r="C559" s="368" t="s">
        <v>279</v>
      </c>
      <c r="D559" s="368" t="s">
        <v>133</v>
      </c>
      <c r="E559" s="368" t="s">
        <v>1523</v>
      </c>
      <c r="F559" s="368" t="s">
        <v>288</v>
      </c>
      <c r="G559" s="374">
        <f>G560</f>
        <v>2916.1</v>
      </c>
      <c r="H559" s="374">
        <f>H560</f>
        <v>2916.1</v>
      </c>
      <c r="I559" s="362"/>
    </row>
    <row r="560" spans="1:9" s="361" customFormat="1" ht="15.75" x14ac:dyDescent="0.25">
      <c r="A560" s="372" t="s">
        <v>289</v>
      </c>
      <c r="B560" s="366">
        <v>906</v>
      </c>
      <c r="C560" s="368" t="s">
        <v>279</v>
      </c>
      <c r="D560" s="368" t="s">
        <v>133</v>
      </c>
      <c r="E560" s="368" t="s">
        <v>1523</v>
      </c>
      <c r="F560" s="368" t="s">
        <v>290</v>
      </c>
      <c r="G560" s="374">
        <v>2916.1</v>
      </c>
      <c r="H560" s="374">
        <v>2916.1</v>
      </c>
      <c r="I560" s="362"/>
    </row>
    <row r="561" spans="1:9" ht="66.75" customHeight="1" x14ac:dyDescent="0.25">
      <c r="A561" s="31" t="s">
        <v>304</v>
      </c>
      <c r="B561" s="366">
        <v>906</v>
      </c>
      <c r="C561" s="368" t="s">
        <v>279</v>
      </c>
      <c r="D561" s="368" t="s">
        <v>133</v>
      </c>
      <c r="E561" s="368" t="s">
        <v>1018</v>
      </c>
      <c r="F561" s="368"/>
      <c r="G561" s="373">
        <f>G562</f>
        <v>559.70000000000005</v>
      </c>
      <c r="H561" s="373">
        <f>H562</f>
        <v>559.70000000000005</v>
      </c>
      <c r="I561" s="222"/>
    </row>
    <row r="562" spans="1:9" ht="31.5" x14ac:dyDescent="0.25">
      <c r="A562" s="372" t="s">
        <v>287</v>
      </c>
      <c r="B562" s="366">
        <v>906</v>
      </c>
      <c r="C562" s="368" t="s">
        <v>279</v>
      </c>
      <c r="D562" s="368" t="s">
        <v>133</v>
      </c>
      <c r="E562" s="368" t="s">
        <v>1018</v>
      </c>
      <c r="F562" s="368" t="s">
        <v>288</v>
      </c>
      <c r="G562" s="373">
        <f>G563</f>
        <v>559.70000000000005</v>
      </c>
      <c r="H562" s="373">
        <f>H563</f>
        <v>559.70000000000005</v>
      </c>
      <c r="I562" s="222"/>
    </row>
    <row r="563" spans="1:9" ht="15.75" x14ac:dyDescent="0.25">
      <c r="A563" s="372" t="s">
        <v>289</v>
      </c>
      <c r="B563" s="366">
        <v>906</v>
      </c>
      <c r="C563" s="368" t="s">
        <v>279</v>
      </c>
      <c r="D563" s="368" t="s">
        <v>133</v>
      </c>
      <c r="E563" s="368" t="s">
        <v>1018</v>
      </c>
      <c r="F563" s="368" t="s">
        <v>290</v>
      </c>
      <c r="G563" s="373">
        <f>559.7</f>
        <v>559.70000000000005</v>
      </c>
      <c r="H563" s="373">
        <f t="shared" si="42"/>
        <v>559.70000000000005</v>
      </c>
      <c r="I563" s="222"/>
    </row>
    <row r="564" spans="1:9" ht="63" x14ac:dyDescent="0.25">
      <c r="A564" s="31" t="s">
        <v>306</v>
      </c>
      <c r="B564" s="366">
        <v>906</v>
      </c>
      <c r="C564" s="368" t="s">
        <v>279</v>
      </c>
      <c r="D564" s="368" t="s">
        <v>133</v>
      </c>
      <c r="E564" s="368" t="s">
        <v>1021</v>
      </c>
      <c r="F564" s="368"/>
      <c r="G564" s="373">
        <f>G565</f>
        <v>1629.3</v>
      </c>
      <c r="H564" s="373">
        <f>H565</f>
        <v>1629.3</v>
      </c>
      <c r="I564" s="222"/>
    </row>
    <row r="565" spans="1:9" ht="31.5" x14ac:dyDescent="0.25">
      <c r="A565" s="372" t="s">
        <v>287</v>
      </c>
      <c r="B565" s="366">
        <v>906</v>
      </c>
      <c r="C565" s="368" t="s">
        <v>279</v>
      </c>
      <c r="D565" s="368" t="s">
        <v>133</v>
      </c>
      <c r="E565" s="368" t="s">
        <v>1021</v>
      </c>
      <c r="F565" s="368" t="s">
        <v>288</v>
      </c>
      <c r="G565" s="373">
        <f>G566</f>
        <v>1629.3</v>
      </c>
      <c r="H565" s="373">
        <f>H566</f>
        <v>1629.3</v>
      </c>
      <c r="I565" s="222"/>
    </row>
    <row r="566" spans="1:9" ht="15.75" x14ac:dyDescent="0.25">
      <c r="A566" s="372" t="s">
        <v>289</v>
      </c>
      <c r="B566" s="366">
        <v>906</v>
      </c>
      <c r="C566" s="368" t="s">
        <v>279</v>
      </c>
      <c r="D566" s="368" t="s">
        <v>133</v>
      </c>
      <c r="E566" s="368" t="s">
        <v>1021</v>
      </c>
      <c r="F566" s="368" t="s">
        <v>290</v>
      </c>
      <c r="G566" s="373">
        <f>1629.3</f>
        <v>1629.3</v>
      </c>
      <c r="H566" s="373">
        <f t="shared" si="42"/>
        <v>1629.3</v>
      </c>
      <c r="I566" s="222"/>
    </row>
    <row r="567" spans="1:9" ht="94.5" x14ac:dyDescent="0.25">
      <c r="A567" s="31" t="s">
        <v>436</v>
      </c>
      <c r="B567" s="366">
        <v>906</v>
      </c>
      <c r="C567" s="368" t="s">
        <v>279</v>
      </c>
      <c r="D567" s="368" t="s">
        <v>133</v>
      </c>
      <c r="E567" s="368" t="s">
        <v>1020</v>
      </c>
      <c r="F567" s="368"/>
      <c r="G567" s="373">
        <f>G568</f>
        <v>80735.399999999994</v>
      </c>
      <c r="H567" s="373">
        <f>H568</f>
        <v>80735.399999999994</v>
      </c>
      <c r="I567" s="222"/>
    </row>
    <row r="568" spans="1:9" ht="31.5" x14ac:dyDescent="0.25">
      <c r="A568" s="372" t="s">
        <v>287</v>
      </c>
      <c r="B568" s="366">
        <v>906</v>
      </c>
      <c r="C568" s="368" t="s">
        <v>279</v>
      </c>
      <c r="D568" s="368" t="s">
        <v>133</v>
      </c>
      <c r="E568" s="368" t="s">
        <v>1020</v>
      </c>
      <c r="F568" s="368" t="s">
        <v>288</v>
      </c>
      <c r="G568" s="373">
        <f>G569</f>
        <v>80735.399999999994</v>
      </c>
      <c r="H568" s="373">
        <f>H569</f>
        <v>80735.399999999994</v>
      </c>
      <c r="I568" s="222"/>
    </row>
    <row r="569" spans="1:9" ht="15.75" x14ac:dyDescent="0.25">
      <c r="A569" s="372" t="s">
        <v>289</v>
      </c>
      <c r="B569" s="366">
        <v>906</v>
      </c>
      <c r="C569" s="368" t="s">
        <v>279</v>
      </c>
      <c r="D569" s="368" t="s">
        <v>133</v>
      </c>
      <c r="E569" s="368" t="s">
        <v>1020</v>
      </c>
      <c r="F569" s="368" t="s">
        <v>290</v>
      </c>
      <c r="G569" s="373">
        <f>80735.4</f>
        <v>80735.399999999994</v>
      </c>
      <c r="H569" s="373">
        <f t="shared" si="42"/>
        <v>80735.399999999994</v>
      </c>
      <c r="I569" s="222"/>
    </row>
    <row r="570" spans="1:9" ht="94.5" hidden="1" x14ac:dyDescent="0.25">
      <c r="A570" s="31" t="s">
        <v>308</v>
      </c>
      <c r="B570" s="366">
        <v>906</v>
      </c>
      <c r="C570" s="368" t="s">
        <v>279</v>
      </c>
      <c r="D570" s="368" t="s">
        <v>133</v>
      </c>
      <c r="E570" s="368" t="s">
        <v>1022</v>
      </c>
      <c r="F570" s="368"/>
      <c r="G570" s="373">
        <f>G571</f>
        <v>0</v>
      </c>
      <c r="H570" s="373">
        <f>H571</f>
        <v>0</v>
      </c>
      <c r="I570" s="222"/>
    </row>
    <row r="571" spans="1:9" ht="31.5" hidden="1" x14ac:dyDescent="0.25">
      <c r="A571" s="372" t="s">
        <v>287</v>
      </c>
      <c r="B571" s="366">
        <v>906</v>
      </c>
      <c r="C571" s="368" t="s">
        <v>279</v>
      </c>
      <c r="D571" s="368" t="s">
        <v>133</v>
      </c>
      <c r="E571" s="368" t="s">
        <v>1022</v>
      </c>
      <c r="F571" s="368" t="s">
        <v>288</v>
      </c>
      <c r="G571" s="373">
        <f>G572</f>
        <v>0</v>
      </c>
      <c r="H571" s="373">
        <f>H572</f>
        <v>0</v>
      </c>
      <c r="I571" s="222"/>
    </row>
    <row r="572" spans="1:9" ht="15.75" hidden="1" x14ac:dyDescent="0.25">
      <c r="A572" s="372" t="s">
        <v>289</v>
      </c>
      <c r="B572" s="366">
        <v>906</v>
      </c>
      <c r="C572" s="368" t="s">
        <v>279</v>
      </c>
      <c r="D572" s="368" t="s">
        <v>133</v>
      </c>
      <c r="E572" s="368" t="s">
        <v>1022</v>
      </c>
      <c r="F572" s="368" t="s">
        <v>290</v>
      </c>
      <c r="G572" s="373"/>
      <c r="H572" s="373"/>
      <c r="I572" s="222"/>
    </row>
    <row r="573" spans="1:9" ht="31.5" x14ac:dyDescent="0.25">
      <c r="A573" s="370" t="s">
        <v>426</v>
      </c>
      <c r="B573" s="367">
        <v>906</v>
      </c>
      <c r="C573" s="371" t="s">
        <v>279</v>
      </c>
      <c r="D573" s="371" t="s">
        <v>133</v>
      </c>
      <c r="E573" s="371" t="s">
        <v>427</v>
      </c>
      <c r="F573" s="371"/>
      <c r="G573" s="369">
        <f>G574+G584+G594+G606</f>
        <v>10997.7</v>
      </c>
      <c r="H573" s="369">
        <f>H574+H584+H594+H606</f>
        <v>10997.7</v>
      </c>
      <c r="I573" s="222"/>
    </row>
    <row r="574" spans="1:9" ht="31.5" x14ac:dyDescent="0.25">
      <c r="A574" s="370" t="s">
        <v>1005</v>
      </c>
      <c r="B574" s="367">
        <v>906</v>
      </c>
      <c r="C574" s="371" t="s">
        <v>279</v>
      </c>
      <c r="D574" s="371" t="s">
        <v>133</v>
      </c>
      <c r="E574" s="371" t="s">
        <v>1006</v>
      </c>
      <c r="F574" s="371"/>
      <c r="G574" s="369">
        <f>G575+G578+G581</f>
        <v>4430</v>
      </c>
      <c r="H574" s="369">
        <f>H575+H578+H581</f>
        <v>4430</v>
      </c>
      <c r="I574" s="222"/>
    </row>
    <row r="575" spans="1:9" ht="31.5" hidden="1" x14ac:dyDescent="0.25">
      <c r="A575" s="372" t="s">
        <v>293</v>
      </c>
      <c r="B575" s="366">
        <v>906</v>
      </c>
      <c r="C575" s="368" t="s">
        <v>279</v>
      </c>
      <c r="D575" s="368" t="s">
        <v>133</v>
      </c>
      <c r="E575" s="368" t="s">
        <v>1007</v>
      </c>
      <c r="F575" s="368"/>
      <c r="G575" s="373">
        <f>'Пр.4 ведом.20'!G580</f>
        <v>0</v>
      </c>
      <c r="H575" s="373">
        <f t="shared" si="42"/>
        <v>0</v>
      </c>
      <c r="I575" s="222"/>
    </row>
    <row r="576" spans="1:9" ht="31.5" hidden="1" x14ac:dyDescent="0.25">
      <c r="A576" s="372" t="s">
        <v>287</v>
      </c>
      <c r="B576" s="366">
        <v>906</v>
      </c>
      <c r="C576" s="368" t="s">
        <v>279</v>
      </c>
      <c r="D576" s="368" t="s">
        <v>133</v>
      </c>
      <c r="E576" s="368" t="s">
        <v>1007</v>
      </c>
      <c r="F576" s="368" t="s">
        <v>288</v>
      </c>
      <c r="G576" s="373">
        <f>'Пр.4 ведом.20'!G581</f>
        <v>0</v>
      </c>
      <c r="H576" s="373">
        <f t="shared" ref="H576:H649" si="48">G576</f>
        <v>0</v>
      </c>
      <c r="I576" s="222"/>
    </row>
    <row r="577" spans="1:9" ht="15.75" hidden="1" x14ac:dyDescent="0.25">
      <c r="A577" s="372" t="s">
        <v>289</v>
      </c>
      <c r="B577" s="366">
        <v>906</v>
      </c>
      <c r="C577" s="368" t="s">
        <v>279</v>
      </c>
      <c r="D577" s="368" t="s">
        <v>133</v>
      </c>
      <c r="E577" s="368" t="s">
        <v>1007</v>
      </c>
      <c r="F577" s="368" t="s">
        <v>290</v>
      </c>
      <c r="G577" s="373">
        <f>'Пр.4 ведом.20'!G582</f>
        <v>0</v>
      </c>
      <c r="H577" s="373">
        <f t="shared" si="48"/>
        <v>0</v>
      </c>
      <c r="I577" s="222"/>
    </row>
    <row r="578" spans="1:9" ht="31.5" hidden="1" x14ac:dyDescent="0.25">
      <c r="A578" s="372" t="s">
        <v>295</v>
      </c>
      <c r="B578" s="366">
        <v>906</v>
      </c>
      <c r="C578" s="368" t="s">
        <v>279</v>
      </c>
      <c r="D578" s="368" t="s">
        <v>133</v>
      </c>
      <c r="E578" s="368" t="s">
        <v>1008</v>
      </c>
      <c r="F578" s="368"/>
      <c r="G578" s="373">
        <f>'Пр.4 ведом.20'!G583</f>
        <v>0</v>
      </c>
      <c r="H578" s="373">
        <f t="shared" si="48"/>
        <v>0</v>
      </c>
      <c r="I578" s="222"/>
    </row>
    <row r="579" spans="1:9" ht="31.5" hidden="1" x14ac:dyDescent="0.25">
      <c r="A579" s="372" t="s">
        <v>287</v>
      </c>
      <c r="B579" s="366">
        <v>906</v>
      </c>
      <c r="C579" s="368" t="s">
        <v>279</v>
      </c>
      <c r="D579" s="368" t="s">
        <v>133</v>
      </c>
      <c r="E579" s="368" t="s">
        <v>1008</v>
      </c>
      <c r="F579" s="368" t="s">
        <v>288</v>
      </c>
      <c r="G579" s="373">
        <f>'Пр.4 ведом.20'!G584</f>
        <v>0</v>
      </c>
      <c r="H579" s="373">
        <f t="shared" si="48"/>
        <v>0</v>
      </c>
      <c r="I579" s="222"/>
    </row>
    <row r="580" spans="1:9" ht="15.75" hidden="1" x14ac:dyDescent="0.25">
      <c r="A580" s="372" t="s">
        <v>289</v>
      </c>
      <c r="B580" s="366">
        <v>906</v>
      </c>
      <c r="C580" s="368" t="s">
        <v>279</v>
      </c>
      <c r="D580" s="368" t="s">
        <v>133</v>
      </c>
      <c r="E580" s="368" t="s">
        <v>1008</v>
      </c>
      <c r="F580" s="368" t="s">
        <v>290</v>
      </c>
      <c r="G580" s="373">
        <f>'Пр.4 ведом.20'!G585</f>
        <v>0</v>
      </c>
      <c r="H580" s="373">
        <f t="shared" si="48"/>
        <v>0</v>
      </c>
      <c r="I580" s="222"/>
    </row>
    <row r="581" spans="1:9" ht="31.5" x14ac:dyDescent="0.25">
      <c r="A581" s="375" t="s">
        <v>430</v>
      </c>
      <c r="B581" s="366">
        <v>906</v>
      </c>
      <c r="C581" s="368" t="s">
        <v>279</v>
      </c>
      <c r="D581" s="368" t="s">
        <v>133</v>
      </c>
      <c r="E581" s="368" t="s">
        <v>1009</v>
      </c>
      <c r="F581" s="368"/>
      <c r="G581" s="373">
        <f>G582</f>
        <v>4430</v>
      </c>
      <c r="H581" s="373">
        <f>H582</f>
        <v>4430</v>
      </c>
      <c r="I581" s="222"/>
    </row>
    <row r="582" spans="1:9" ht="31.5" x14ac:dyDescent="0.25">
      <c r="A582" s="372" t="s">
        <v>287</v>
      </c>
      <c r="B582" s="366">
        <v>906</v>
      </c>
      <c r="C582" s="368" t="s">
        <v>279</v>
      </c>
      <c r="D582" s="368" t="s">
        <v>133</v>
      </c>
      <c r="E582" s="368" t="s">
        <v>1009</v>
      </c>
      <c r="F582" s="368" t="s">
        <v>288</v>
      </c>
      <c r="G582" s="373">
        <f>G583</f>
        <v>4430</v>
      </c>
      <c r="H582" s="373">
        <f>H583</f>
        <v>4430</v>
      </c>
      <c r="I582" s="222"/>
    </row>
    <row r="583" spans="1:9" ht="15.75" x14ac:dyDescent="0.25">
      <c r="A583" s="372" t="s">
        <v>289</v>
      </c>
      <c r="B583" s="366">
        <v>906</v>
      </c>
      <c r="C583" s="368" t="s">
        <v>279</v>
      </c>
      <c r="D583" s="368" t="s">
        <v>133</v>
      </c>
      <c r="E583" s="368" t="s">
        <v>1009</v>
      </c>
      <c r="F583" s="368" t="s">
        <v>290</v>
      </c>
      <c r="G583" s="373">
        <f>4430</f>
        <v>4430</v>
      </c>
      <c r="H583" s="373">
        <f t="shared" si="48"/>
        <v>4430</v>
      </c>
      <c r="I583" s="222"/>
    </row>
    <row r="584" spans="1:9" ht="31.5" x14ac:dyDescent="0.25">
      <c r="A584" s="246" t="s">
        <v>1075</v>
      </c>
      <c r="B584" s="367">
        <v>906</v>
      </c>
      <c r="C584" s="371" t="s">
        <v>279</v>
      </c>
      <c r="D584" s="371" t="s">
        <v>133</v>
      </c>
      <c r="E584" s="371" t="s">
        <v>1010</v>
      </c>
      <c r="F584" s="371"/>
      <c r="G584" s="44">
        <f>G585+G588+G591</f>
        <v>4610</v>
      </c>
      <c r="H584" s="44">
        <f>H585+H588+H591</f>
        <v>4610</v>
      </c>
      <c r="I584" s="222"/>
    </row>
    <row r="585" spans="1:9" ht="31.5" hidden="1" x14ac:dyDescent="0.25">
      <c r="A585" s="372" t="s">
        <v>299</v>
      </c>
      <c r="B585" s="366">
        <v>906</v>
      </c>
      <c r="C585" s="368" t="s">
        <v>279</v>
      </c>
      <c r="D585" s="368" t="s">
        <v>133</v>
      </c>
      <c r="E585" s="368" t="s">
        <v>1011</v>
      </c>
      <c r="F585" s="368"/>
      <c r="G585" s="373">
        <f>'Пр.4 ведом.20'!G590</f>
        <v>0</v>
      </c>
      <c r="H585" s="373">
        <f t="shared" si="48"/>
        <v>0</v>
      </c>
      <c r="I585" s="222"/>
    </row>
    <row r="586" spans="1:9" ht="31.5" hidden="1" x14ac:dyDescent="0.25">
      <c r="A586" s="372" t="s">
        <v>287</v>
      </c>
      <c r="B586" s="366">
        <v>906</v>
      </c>
      <c r="C586" s="368" t="s">
        <v>279</v>
      </c>
      <c r="D586" s="368" t="s">
        <v>133</v>
      </c>
      <c r="E586" s="368" t="s">
        <v>1011</v>
      </c>
      <c r="F586" s="368" t="s">
        <v>288</v>
      </c>
      <c r="G586" s="373">
        <f>'Пр.4 ведом.20'!G591</f>
        <v>0</v>
      </c>
      <c r="H586" s="373">
        <f t="shared" si="48"/>
        <v>0</v>
      </c>
      <c r="I586" s="222"/>
    </row>
    <row r="587" spans="1:9" ht="15.75" hidden="1" x14ac:dyDescent="0.25">
      <c r="A587" s="372" t="s">
        <v>289</v>
      </c>
      <c r="B587" s="366">
        <v>906</v>
      </c>
      <c r="C587" s="368" t="s">
        <v>279</v>
      </c>
      <c r="D587" s="368" t="s">
        <v>133</v>
      </c>
      <c r="E587" s="368" t="s">
        <v>1011</v>
      </c>
      <c r="F587" s="368" t="s">
        <v>290</v>
      </c>
      <c r="G587" s="373">
        <f>'Пр.4 ведом.20'!G592</f>
        <v>0</v>
      </c>
      <c r="H587" s="373">
        <f t="shared" si="48"/>
        <v>0</v>
      </c>
      <c r="I587" s="222"/>
    </row>
    <row r="588" spans="1:9" ht="31.5" x14ac:dyDescent="0.25">
      <c r="A588" s="60" t="s">
        <v>785</v>
      </c>
      <c r="B588" s="366">
        <v>906</v>
      </c>
      <c r="C588" s="368" t="s">
        <v>279</v>
      </c>
      <c r="D588" s="368" t="s">
        <v>133</v>
      </c>
      <c r="E588" s="368" t="s">
        <v>1012</v>
      </c>
      <c r="F588" s="368"/>
      <c r="G588" s="373">
        <f>G589</f>
        <v>2850</v>
      </c>
      <c r="H588" s="373">
        <f>H589</f>
        <v>2850</v>
      </c>
      <c r="I588" s="222"/>
    </row>
    <row r="589" spans="1:9" ht="31.5" x14ac:dyDescent="0.25">
      <c r="A589" s="375" t="s">
        <v>287</v>
      </c>
      <c r="B589" s="366">
        <v>906</v>
      </c>
      <c r="C589" s="368" t="s">
        <v>279</v>
      </c>
      <c r="D589" s="368" t="s">
        <v>133</v>
      </c>
      <c r="E589" s="368" t="s">
        <v>1012</v>
      </c>
      <c r="F589" s="368" t="s">
        <v>288</v>
      </c>
      <c r="G589" s="373">
        <f>G590</f>
        <v>2850</v>
      </c>
      <c r="H589" s="373">
        <f>H590</f>
        <v>2850</v>
      </c>
      <c r="I589" s="222"/>
    </row>
    <row r="590" spans="1:9" ht="15.75" x14ac:dyDescent="0.25">
      <c r="A590" s="193" t="s">
        <v>289</v>
      </c>
      <c r="B590" s="366">
        <v>906</v>
      </c>
      <c r="C590" s="368" t="s">
        <v>279</v>
      </c>
      <c r="D590" s="368" t="s">
        <v>133</v>
      </c>
      <c r="E590" s="368" t="s">
        <v>1012</v>
      </c>
      <c r="F590" s="368" t="s">
        <v>290</v>
      </c>
      <c r="G590" s="373">
        <f>2850</f>
        <v>2850</v>
      </c>
      <c r="H590" s="373">
        <f t="shared" si="48"/>
        <v>2850</v>
      </c>
      <c r="I590" s="222"/>
    </row>
    <row r="591" spans="1:9" ht="47.25" x14ac:dyDescent="0.25">
      <c r="A591" s="60" t="s">
        <v>786</v>
      </c>
      <c r="B591" s="366">
        <v>906</v>
      </c>
      <c r="C591" s="368" t="s">
        <v>279</v>
      </c>
      <c r="D591" s="368" t="s">
        <v>133</v>
      </c>
      <c r="E591" s="368" t="s">
        <v>1013</v>
      </c>
      <c r="F591" s="368"/>
      <c r="G591" s="373">
        <f>G592</f>
        <v>1760</v>
      </c>
      <c r="H591" s="373">
        <f>H592</f>
        <v>1760</v>
      </c>
      <c r="I591" s="222"/>
    </row>
    <row r="592" spans="1:9" ht="31.5" x14ac:dyDescent="0.25">
      <c r="A592" s="375" t="s">
        <v>287</v>
      </c>
      <c r="B592" s="366">
        <v>906</v>
      </c>
      <c r="C592" s="368" t="s">
        <v>279</v>
      </c>
      <c r="D592" s="368" t="s">
        <v>133</v>
      </c>
      <c r="E592" s="368" t="s">
        <v>1013</v>
      </c>
      <c r="F592" s="368" t="s">
        <v>288</v>
      </c>
      <c r="G592" s="373">
        <f>G593</f>
        <v>1760</v>
      </c>
      <c r="H592" s="373">
        <f>H593</f>
        <v>1760</v>
      </c>
      <c r="I592" s="222"/>
    </row>
    <row r="593" spans="1:9" ht="15.75" x14ac:dyDescent="0.25">
      <c r="A593" s="193" t="s">
        <v>289</v>
      </c>
      <c r="B593" s="366">
        <v>906</v>
      </c>
      <c r="C593" s="368" t="s">
        <v>279</v>
      </c>
      <c r="D593" s="368" t="s">
        <v>133</v>
      </c>
      <c r="E593" s="368" t="s">
        <v>1013</v>
      </c>
      <c r="F593" s="368" t="s">
        <v>290</v>
      </c>
      <c r="G593" s="373">
        <f>1760</f>
        <v>1760</v>
      </c>
      <c r="H593" s="373">
        <f t="shared" si="48"/>
        <v>1760</v>
      </c>
      <c r="I593" s="222"/>
    </row>
    <row r="594" spans="1:9" ht="63" x14ac:dyDescent="0.25">
      <c r="A594" s="370" t="s">
        <v>1014</v>
      </c>
      <c r="B594" s="367">
        <v>906</v>
      </c>
      <c r="C594" s="371" t="s">
        <v>279</v>
      </c>
      <c r="D594" s="371" t="s">
        <v>133</v>
      </c>
      <c r="E594" s="371" t="s">
        <v>1015</v>
      </c>
      <c r="F594" s="371"/>
      <c r="G594" s="369">
        <f>G595+G598</f>
        <v>291.10000000000002</v>
      </c>
      <c r="H594" s="369">
        <f>H595+H598</f>
        <v>291.10000000000002</v>
      </c>
      <c r="I594" s="222"/>
    </row>
    <row r="595" spans="1:9" ht="120.2" customHeight="1" x14ac:dyDescent="0.25">
      <c r="A595" s="372" t="s">
        <v>1468</v>
      </c>
      <c r="B595" s="366">
        <v>906</v>
      </c>
      <c r="C595" s="368" t="s">
        <v>279</v>
      </c>
      <c r="D595" s="368" t="s">
        <v>133</v>
      </c>
      <c r="E595" s="368" t="s">
        <v>1016</v>
      </c>
      <c r="F595" s="368"/>
      <c r="G595" s="373">
        <f>G596</f>
        <v>124.4</v>
      </c>
      <c r="H595" s="373">
        <f>H596</f>
        <v>124.4</v>
      </c>
      <c r="I595" s="222"/>
    </row>
    <row r="596" spans="1:9" ht="31.5" x14ac:dyDescent="0.25">
      <c r="A596" s="375" t="s">
        <v>287</v>
      </c>
      <c r="B596" s="366">
        <v>906</v>
      </c>
      <c r="C596" s="368" t="s">
        <v>279</v>
      </c>
      <c r="D596" s="368" t="s">
        <v>133</v>
      </c>
      <c r="E596" s="368" t="s">
        <v>1016</v>
      </c>
      <c r="F596" s="368" t="s">
        <v>288</v>
      </c>
      <c r="G596" s="373">
        <f>G597</f>
        <v>124.4</v>
      </c>
      <c r="H596" s="373">
        <f>H597</f>
        <v>124.4</v>
      </c>
      <c r="I596" s="222"/>
    </row>
    <row r="597" spans="1:9" ht="15.75" x14ac:dyDescent="0.25">
      <c r="A597" s="193" t="s">
        <v>289</v>
      </c>
      <c r="B597" s="366">
        <v>906</v>
      </c>
      <c r="C597" s="368" t="s">
        <v>279</v>
      </c>
      <c r="D597" s="368" t="s">
        <v>133</v>
      </c>
      <c r="E597" s="368" t="s">
        <v>1016</v>
      </c>
      <c r="F597" s="368" t="s">
        <v>290</v>
      </c>
      <c r="G597" s="373">
        <f>124.4</f>
        <v>124.4</v>
      </c>
      <c r="H597" s="373">
        <f t="shared" si="48"/>
        <v>124.4</v>
      </c>
      <c r="I597" s="222"/>
    </row>
    <row r="598" spans="1:9" ht="126" x14ac:dyDescent="0.25">
      <c r="A598" s="372" t="s">
        <v>438</v>
      </c>
      <c r="B598" s="366">
        <v>906</v>
      </c>
      <c r="C598" s="368" t="s">
        <v>279</v>
      </c>
      <c r="D598" s="368" t="s">
        <v>133</v>
      </c>
      <c r="E598" s="368" t="s">
        <v>1017</v>
      </c>
      <c r="F598" s="368"/>
      <c r="G598" s="373">
        <f>G599</f>
        <v>166.7</v>
      </c>
      <c r="H598" s="373">
        <f>H599</f>
        <v>166.7</v>
      </c>
      <c r="I598" s="222"/>
    </row>
    <row r="599" spans="1:9" ht="31.5" x14ac:dyDescent="0.25">
      <c r="A599" s="372" t="s">
        <v>287</v>
      </c>
      <c r="B599" s="366">
        <v>906</v>
      </c>
      <c r="C599" s="368" t="s">
        <v>279</v>
      </c>
      <c r="D599" s="368" t="s">
        <v>133</v>
      </c>
      <c r="E599" s="368" t="s">
        <v>1017</v>
      </c>
      <c r="F599" s="368" t="s">
        <v>288</v>
      </c>
      <c r="G599" s="373">
        <f>G600</f>
        <v>166.7</v>
      </c>
      <c r="H599" s="373">
        <f>H600</f>
        <v>166.7</v>
      </c>
      <c r="I599" s="222"/>
    </row>
    <row r="600" spans="1:9" ht="15.75" x14ac:dyDescent="0.25">
      <c r="A600" s="372" t="s">
        <v>289</v>
      </c>
      <c r="B600" s="366">
        <v>906</v>
      </c>
      <c r="C600" s="368" t="s">
        <v>279</v>
      </c>
      <c r="D600" s="368" t="s">
        <v>133</v>
      </c>
      <c r="E600" s="368" t="s">
        <v>1017</v>
      </c>
      <c r="F600" s="368" t="s">
        <v>290</v>
      </c>
      <c r="G600" s="373">
        <f>166.7</f>
        <v>166.7</v>
      </c>
      <c r="H600" s="373">
        <f t="shared" si="48"/>
        <v>166.7</v>
      </c>
      <c r="I600" s="222"/>
    </row>
    <row r="601" spans="1:9" ht="63" hidden="1" x14ac:dyDescent="0.25">
      <c r="A601" s="34" t="s">
        <v>803</v>
      </c>
      <c r="B601" s="367">
        <v>906</v>
      </c>
      <c r="C601" s="371" t="s">
        <v>279</v>
      </c>
      <c r="D601" s="371" t="s">
        <v>133</v>
      </c>
      <c r="E601" s="371" t="s">
        <v>339</v>
      </c>
      <c r="F601" s="371"/>
      <c r="G601" s="369">
        <f>G602</f>
        <v>0</v>
      </c>
      <c r="H601" s="369">
        <f>H602</f>
        <v>0</v>
      </c>
      <c r="I601" s="222"/>
    </row>
    <row r="602" spans="1:9" ht="63" hidden="1" x14ac:dyDescent="0.25">
      <c r="A602" s="34" t="s">
        <v>1160</v>
      </c>
      <c r="B602" s="367">
        <v>906</v>
      </c>
      <c r="C602" s="371" t="s">
        <v>279</v>
      </c>
      <c r="D602" s="371" t="s">
        <v>133</v>
      </c>
      <c r="E602" s="371" t="s">
        <v>1023</v>
      </c>
      <c r="F602" s="371"/>
      <c r="G602" s="369">
        <f>G603</f>
        <v>0</v>
      </c>
      <c r="H602" s="369">
        <f>H603</f>
        <v>0</v>
      </c>
      <c r="I602" s="222"/>
    </row>
    <row r="603" spans="1:9" ht="47.25" hidden="1" x14ac:dyDescent="0.25">
      <c r="A603" s="31" t="s">
        <v>1274</v>
      </c>
      <c r="B603" s="366">
        <v>906</v>
      </c>
      <c r="C603" s="368" t="s">
        <v>279</v>
      </c>
      <c r="D603" s="368" t="s">
        <v>133</v>
      </c>
      <c r="E603" s="368" t="s">
        <v>1024</v>
      </c>
      <c r="F603" s="368"/>
      <c r="G603" s="373">
        <f>'Пр.4 ведом.20'!G615</f>
        <v>0</v>
      </c>
      <c r="H603" s="373">
        <f t="shared" si="48"/>
        <v>0</v>
      </c>
      <c r="I603" s="222"/>
    </row>
    <row r="604" spans="1:9" ht="31.5" hidden="1" x14ac:dyDescent="0.25">
      <c r="A604" s="31" t="s">
        <v>287</v>
      </c>
      <c r="B604" s="366">
        <v>906</v>
      </c>
      <c r="C604" s="368" t="s">
        <v>279</v>
      </c>
      <c r="D604" s="368" t="s">
        <v>133</v>
      </c>
      <c r="E604" s="368" t="s">
        <v>1024</v>
      </c>
      <c r="F604" s="368" t="s">
        <v>288</v>
      </c>
      <c r="G604" s="373">
        <f>'Пр.4 ведом.20'!G616</f>
        <v>0</v>
      </c>
      <c r="H604" s="373">
        <f t="shared" si="48"/>
        <v>0</v>
      </c>
      <c r="I604" s="222"/>
    </row>
    <row r="605" spans="1:9" ht="15.75" hidden="1" x14ac:dyDescent="0.25">
      <c r="A605" s="31" t="s">
        <v>289</v>
      </c>
      <c r="B605" s="366">
        <v>906</v>
      </c>
      <c r="C605" s="368" t="s">
        <v>279</v>
      </c>
      <c r="D605" s="368" t="s">
        <v>133</v>
      </c>
      <c r="E605" s="368" t="s">
        <v>1024</v>
      </c>
      <c r="F605" s="368" t="s">
        <v>290</v>
      </c>
      <c r="G605" s="373">
        <f>'Пр.4 ведом.20'!G617</f>
        <v>0</v>
      </c>
      <c r="H605" s="373">
        <f t="shared" si="48"/>
        <v>0</v>
      </c>
      <c r="I605" s="222"/>
    </row>
    <row r="606" spans="1:9" s="221" customFormat="1" ht="94.5" x14ac:dyDescent="0.25">
      <c r="A606" s="370" t="s">
        <v>1405</v>
      </c>
      <c r="B606" s="367">
        <v>906</v>
      </c>
      <c r="C606" s="371" t="s">
        <v>279</v>
      </c>
      <c r="D606" s="371" t="s">
        <v>133</v>
      </c>
      <c r="E606" s="371" t="s">
        <v>1403</v>
      </c>
      <c r="F606" s="371"/>
      <c r="G606" s="369">
        <f>G607+G610</f>
        <v>1666.6</v>
      </c>
      <c r="H606" s="369">
        <f>H607+H610</f>
        <v>1666.6</v>
      </c>
      <c r="I606" s="222"/>
    </row>
    <row r="607" spans="1:9" s="221" customFormat="1" ht="94.5" x14ac:dyDescent="0.25">
      <c r="A607" s="151" t="s">
        <v>1469</v>
      </c>
      <c r="B607" s="366">
        <v>906</v>
      </c>
      <c r="C607" s="368" t="s">
        <v>279</v>
      </c>
      <c r="D607" s="368" t="s">
        <v>133</v>
      </c>
      <c r="E607" s="368" t="s">
        <v>1407</v>
      </c>
      <c r="F607" s="368"/>
      <c r="G607" s="373">
        <f>G608</f>
        <v>0</v>
      </c>
      <c r="H607" s="373">
        <f>H608</f>
        <v>0</v>
      </c>
      <c r="I607" s="222"/>
    </row>
    <row r="608" spans="1:9" s="221" customFormat="1" ht="31.5" x14ac:dyDescent="0.25">
      <c r="A608" s="372" t="s">
        <v>287</v>
      </c>
      <c r="B608" s="366">
        <v>906</v>
      </c>
      <c r="C608" s="368" t="s">
        <v>279</v>
      </c>
      <c r="D608" s="368" t="s">
        <v>133</v>
      </c>
      <c r="E608" s="368" t="s">
        <v>1407</v>
      </c>
      <c r="F608" s="368" t="s">
        <v>288</v>
      </c>
      <c r="G608" s="373">
        <f>G609</f>
        <v>0</v>
      </c>
      <c r="H608" s="373">
        <f>H609</f>
        <v>0</v>
      </c>
      <c r="I608" s="222"/>
    </row>
    <row r="609" spans="1:9" s="221" customFormat="1" ht="15.75" x14ac:dyDescent="0.25">
      <c r="A609" s="372" t="s">
        <v>289</v>
      </c>
      <c r="B609" s="366">
        <v>906</v>
      </c>
      <c r="C609" s="368" t="s">
        <v>279</v>
      </c>
      <c r="D609" s="368" t="s">
        <v>133</v>
      </c>
      <c r="E609" s="368" t="s">
        <v>1407</v>
      </c>
      <c r="F609" s="368" t="s">
        <v>290</v>
      </c>
      <c r="G609" s="373">
        <v>0</v>
      </c>
      <c r="H609" s="373">
        <v>0</v>
      </c>
      <c r="I609" s="222"/>
    </row>
    <row r="610" spans="1:9" s="221" customFormat="1" ht="81.75" customHeight="1" x14ac:dyDescent="0.25">
      <c r="A610" s="151" t="s">
        <v>1458</v>
      </c>
      <c r="B610" s="366">
        <v>906</v>
      </c>
      <c r="C610" s="368" t="s">
        <v>279</v>
      </c>
      <c r="D610" s="368" t="s">
        <v>133</v>
      </c>
      <c r="E610" s="368" t="s">
        <v>1406</v>
      </c>
      <c r="F610" s="368"/>
      <c r="G610" s="373">
        <f>G611</f>
        <v>1666.6</v>
      </c>
      <c r="H610" s="373">
        <f>H611</f>
        <v>1666.6</v>
      </c>
      <c r="I610" s="222"/>
    </row>
    <row r="611" spans="1:9" s="221" customFormat="1" ht="31.5" x14ac:dyDescent="0.25">
      <c r="A611" s="372" t="s">
        <v>287</v>
      </c>
      <c r="B611" s="366">
        <v>906</v>
      </c>
      <c r="C611" s="368" t="s">
        <v>279</v>
      </c>
      <c r="D611" s="368" t="s">
        <v>133</v>
      </c>
      <c r="E611" s="368" t="s">
        <v>1406</v>
      </c>
      <c r="F611" s="368" t="s">
        <v>288</v>
      </c>
      <c r="G611" s="373">
        <f>G612</f>
        <v>1666.6</v>
      </c>
      <c r="H611" s="373">
        <f>H612</f>
        <v>1666.6</v>
      </c>
      <c r="I611" s="222"/>
    </row>
    <row r="612" spans="1:9" s="221" customFormat="1" ht="15.75" x14ac:dyDescent="0.25">
      <c r="A612" s="372" t="s">
        <v>289</v>
      </c>
      <c r="B612" s="366">
        <v>906</v>
      </c>
      <c r="C612" s="368" t="s">
        <v>279</v>
      </c>
      <c r="D612" s="368" t="s">
        <v>133</v>
      </c>
      <c r="E612" s="368" t="s">
        <v>1406</v>
      </c>
      <c r="F612" s="368" t="s">
        <v>290</v>
      </c>
      <c r="G612" s="373">
        <f>1666.6</f>
        <v>1666.6</v>
      </c>
      <c r="H612" s="373">
        <f>G612</f>
        <v>1666.6</v>
      </c>
      <c r="I612" s="222"/>
    </row>
    <row r="613" spans="1:9" ht="63" x14ac:dyDescent="0.25">
      <c r="A613" s="41" t="s">
        <v>728</v>
      </c>
      <c r="B613" s="367">
        <v>906</v>
      </c>
      <c r="C613" s="371" t="s">
        <v>279</v>
      </c>
      <c r="D613" s="371" t="s">
        <v>133</v>
      </c>
      <c r="E613" s="371" t="s">
        <v>726</v>
      </c>
      <c r="F613" s="250"/>
      <c r="G613" s="369">
        <f>G615</f>
        <v>464.3</v>
      </c>
      <c r="H613" s="369">
        <f>H615</f>
        <v>464.3</v>
      </c>
      <c r="I613" s="222"/>
    </row>
    <row r="614" spans="1:9" ht="47.25" x14ac:dyDescent="0.25">
      <c r="A614" s="41" t="s">
        <v>947</v>
      </c>
      <c r="B614" s="367">
        <v>906</v>
      </c>
      <c r="C614" s="371" t="s">
        <v>279</v>
      </c>
      <c r="D614" s="371" t="s">
        <v>133</v>
      </c>
      <c r="E614" s="371" t="s">
        <v>945</v>
      </c>
      <c r="F614" s="250"/>
      <c r="G614" s="369">
        <f t="shared" ref="G614:H616" si="49">G615</f>
        <v>464.3</v>
      </c>
      <c r="H614" s="369">
        <f t="shared" si="49"/>
        <v>464.3</v>
      </c>
      <c r="I614" s="222"/>
    </row>
    <row r="615" spans="1:9" ht="47.25" x14ac:dyDescent="0.25">
      <c r="A615" s="99" t="s">
        <v>801</v>
      </c>
      <c r="B615" s="366">
        <v>906</v>
      </c>
      <c r="C615" s="368" t="s">
        <v>279</v>
      </c>
      <c r="D615" s="368" t="s">
        <v>133</v>
      </c>
      <c r="E615" s="368" t="s">
        <v>1025</v>
      </c>
      <c r="F615" s="32"/>
      <c r="G615" s="373">
        <f t="shared" si="49"/>
        <v>464.3</v>
      </c>
      <c r="H615" s="373">
        <f t="shared" si="49"/>
        <v>464.3</v>
      </c>
      <c r="I615" s="222"/>
    </row>
    <row r="616" spans="1:9" ht="31.5" x14ac:dyDescent="0.25">
      <c r="A616" s="375" t="s">
        <v>287</v>
      </c>
      <c r="B616" s="366">
        <v>906</v>
      </c>
      <c r="C616" s="368" t="s">
        <v>279</v>
      </c>
      <c r="D616" s="368" t="s">
        <v>133</v>
      </c>
      <c r="E616" s="368" t="s">
        <v>1025</v>
      </c>
      <c r="F616" s="32" t="s">
        <v>288</v>
      </c>
      <c r="G616" s="373">
        <f t="shared" si="49"/>
        <v>464.3</v>
      </c>
      <c r="H616" s="373">
        <f t="shared" si="49"/>
        <v>464.3</v>
      </c>
      <c r="I616" s="222"/>
    </row>
    <row r="617" spans="1:9" ht="15.75" x14ac:dyDescent="0.25">
      <c r="A617" s="193" t="s">
        <v>289</v>
      </c>
      <c r="B617" s="366">
        <v>906</v>
      </c>
      <c r="C617" s="368" t="s">
        <v>279</v>
      </c>
      <c r="D617" s="368" t="s">
        <v>133</v>
      </c>
      <c r="E617" s="368" t="s">
        <v>1025</v>
      </c>
      <c r="F617" s="32" t="s">
        <v>290</v>
      </c>
      <c r="G617" s="373">
        <f>464.3</f>
        <v>464.3</v>
      </c>
      <c r="H617" s="373">
        <f t="shared" si="48"/>
        <v>464.3</v>
      </c>
      <c r="I617" s="222"/>
    </row>
    <row r="618" spans="1:9" ht="15.75" x14ac:dyDescent="0.25">
      <c r="A618" s="370" t="s">
        <v>440</v>
      </c>
      <c r="B618" s="367">
        <v>906</v>
      </c>
      <c r="C618" s="371" t="s">
        <v>279</v>
      </c>
      <c r="D618" s="371" t="s">
        <v>228</v>
      </c>
      <c r="E618" s="371"/>
      <c r="F618" s="371"/>
      <c r="G618" s="369">
        <f>G619+G689+G694</f>
        <v>190807.1</v>
      </c>
      <c r="H618" s="369">
        <f>H619+H689+H694</f>
        <v>190815.6</v>
      </c>
      <c r="I618" s="222"/>
    </row>
    <row r="619" spans="1:9" ht="47.25" x14ac:dyDescent="0.25">
      <c r="A619" s="370" t="s">
        <v>1435</v>
      </c>
      <c r="B619" s="367">
        <v>906</v>
      </c>
      <c r="C619" s="371" t="s">
        <v>279</v>
      </c>
      <c r="D619" s="371" t="s">
        <v>228</v>
      </c>
      <c r="E619" s="371" t="s">
        <v>421</v>
      </c>
      <c r="F619" s="371"/>
      <c r="G619" s="369">
        <f>G620+G650</f>
        <v>190083.80000000002</v>
      </c>
      <c r="H619" s="369">
        <f>H620+H650</f>
        <v>190092.30000000002</v>
      </c>
      <c r="I619" s="222"/>
    </row>
    <row r="620" spans="1:9" ht="31.5" x14ac:dyDescent="0.25">
      <c r="A620" s="370" t="s">
        <v>422</v>
      </c>
      <c r="B620" s="367">
        <v>906</v>
      </c>
      <c r="C620" s="371" t="s">
        <v>279</v>
      </c>
      <c r="D620" s="371" t="s">
        <v>228</v>
      </c>
      <c r="E620" s="371" t="s">
        <v>423</v>
      </c>
      <c r="F620" s="371"/>
      <c r="G620" s="369">
        <f>G621+G631</f>
        <v>181239.7</v>
      </c>
      <c r="H620" s="369">
        <f>H621+H631</f>
        <v>181239.7</v>
      </c>
      <c r="I620" s="222"/>
    </row>
    <row r="621" spans="1:9" ht="31.5" x14ac:dyDescent="0.25">
      <c r="A621" s="370" t="s">
        <v>1026</v>
      </c>
      <c r="B621" s="367">
        <v>906</v>
      </c>
      <c r="C621" s="371" t="s">
        <v>279</v>
      </c>
      <c r="D621" s="371" t="s">
        <v>228</v>
      </c>
      <c r="E621" s="371" t="s">
        <v>1004</v>
      </c>
      <c r="F621" s="371"/>
      <c r="G621" s="369">
        <f>G622+G625+G628</f>
        <v>28803</v>
      </c>
      <c r="H621" s="369">
        <f>H622+H625+H628</f>
        <v>28803</v>
      </c>
      <c r="I621" s="222"/>
    </row>
    <row r="622" spans="1:9" ht="47.25" x14ac:dyDescent="0.25">
      <c r="A622" s="372" t="s">
        <v>1462</v>
      </c>
      <c r="B622" s="366">
        <v>906</v>
      </c>
      <c r="C622" s="368" t="s">
        <v>279</v>
      </c>
      <c r="D622" s="368" t="s">
        <v>228</v>
      </c>
      <c r="E622" s="368" t="s">
        <v>1063</v>
      </c>
      <c r="F622" s="368"/>
      <c r="G622" s="373">
        <f>G623</f>
        <v>9775.4</v>
      </c>
      <c r="H622" s="373">
        <f>H623</f>
        <v>9775.4</v>
      </c>
      <c r="I622" s="222"/>
    </row>
    <row r="623" spans="1:9" ht="31.5" x14ac:dyDescent="0.25">
      <c r="A623" s="372" t="s">
        <v>287</v>
      </c>
      <c r="B623" s="366">
        <v>906</v>
      </c>
      <c r="C623" s="368" t="s">
        <v>279</v>
      </c>
      <c r="D623" s="368" t="s">
        <v>228</v>
      </c>
      <c r="E623" s="368" t="s">
        <v>1063</v>
      </c>
      <c r="F623" s="368" t="s">
        <v>288</v>
      </c>
      <c r="G623" s="373">
        <f>G624</f>
        <v>9775.4</v>
      </c>
      <c r="H623" s="373">
        <f>H624</f>
        <v>9775.4</v>
      </c>
      <c r="I623" s="222"/>
    </row>
    <row r="624" spans="1:9" ht="15.75" x14ac:dyDescent="0.25">
      <c r="A624" s="372" t="s">
        <v>289</v>
      </c>
      <c r="B624" s="366">
        <v>906</v>
      </c>
      <c r="C624" s="368" t="s">
        <v>279</v>
      </c>
      <c r="D624" s="368" t="s">
        <v>228</v>
      </c>
      <c r="E624" s="368" t="s">
        <v>1063</v>
      </c>
      <c r="F624" s="368" t="s">
        <v>290</v>
      </c>
      <c r="G624" s="373">
        <f>9765.4+10</f>
        <v>9775.4</v>
      </c>
      <c r="H624" s="373">
        <f t="shared" si="48"/>
        <v>9775.4</v>
      </c>
      <c r="I624" s="222"/>
    </row>
    <row r="625" spans="1:9" ht="47.25" x14ac:dyDescent="0.25">
      <c r="A625" s="372" t="s">
        <v>1067</v>
      </c>
      <c r="B625" s="366">
        <v>906</v>
      </c>
      <c r="C625" s="368" t="s">
        <v>279</v>
      </c>
      <c r="D625" s="368" t="s">
        <v>228</v>
      </c>
      <c r="E625" s="368" t="s">
        <v>1064</v>
      </c>
      <c r="F625" s="368"/>
      <c r="G625" s="373">
        <f>G626</f>
        <v>12351.7</v>
      </c>
      <c r="H625" s="373">
        <f>H626</f>
        <v>12351.7</v>
      </c>
      <c r="I625" s="222"/>
    </row>
    <row r="626" spans="1:9" ht="31.5" x14ac:dyDescent="0.25">
      <c r="A626" s="372" t="s">
        <v>287</v>
      </c>
      <c r="B626" s="366">
        <v>906</v>
      </c>
      <c r="C626" s="368" t="s">
        <v>279</v>
      </c>
      <c r="D626" s="368" t="s">
        <v>228</v>
      </c>
      <c r="E626" s="368" t="s">
        <v>1064</v>
      </c>
      <c r="F626" s="368" t="s">
        <v>288</v>
      </c>
      <c r="G626" s="373">
        <f>G627</f>
        <v>12351.7</v>
      </c>
      <c r="H626" s="373">
        <f>H627</f>
        <v>12351.7</v>
      </c>
      <c r="I626" s="222"/>
    </row>
    <row r="627" spans="1:9" ht="15.75" x14ac:dyDescent="0.25">
      <c r="A627" s="372" t="s">
        <v>289</v>
      </c>
      <c r="B627" s="366">
        <v>906</v>
      </c>
      <c r="C627" s="368" t="s">
        <v>279</v>
      </c>
      <c r="D627" s="368" t="s">
        <v>228</v>
      </c>
      <c r="E627" s="368" t="s">
        <v>1064</v>
      </c>
      <c r="F627" s="368" t="s">
        <v>290</v>
      </c>
      <c r="G627" s="373">
        <f>12351.7</f>
        <v>12351.7</v>
      </c>
      <c r="H627" s="373">
        <f t="shared" si="48"/>
        <v>12351.7</v>
      </c>
      <c r="I627" s="222"/>
    </row>
    <row r="628" spans="1:9" ht="47.25" x14ac:dyDescent="0.25">
      <c r="A628" s="372" t="s">
        <v>1068</v>
      </c>
      <c r="B628" s="366">
        <v>906</v>
      </c>
      <c r="C628" s="368" t="s">
        <v>279</v>
      </c>
      <c r="D628" s="368" t="s">
        <v>228</v>
      </c>
      <c r="E628" s="368" t="s">
        <v>1065</v>
      </c>
      <c r="F628" s="368"/>
      <c r="G628" s="373">
        <f>G629</f>
        <v>6675.9</v>
      </c>
      <c r="H628" s="373">
        <f>H629</f>
        <v>6675.9</v>
      </c>
      <c r="I628" s="222"/>
    </row>
    <row r="629" spans="1:9" ht="31.5" x14ac:dyDescent="0.25">
      <c r="A629" s="372" t="s">
        <v>287</v>
      </c>
      <c r="B629" s="366">
        <v>906</v>
      </c>
      <c r="C629" s="368" t="s">
        <v>279</v>
      </c>
      <c r="D629" s="368" t="s">
        <v>228</v>
      </c>
      <c r="E629" s="368" t="s">
        <v>1065</v>
      </c>
      <c r="F629" s="368" t="s">
        <v>288</v>
      </c>
      <c r="G629" s="373">
        <f>G630</f>
        <v>6675.9</v>
      </c>
      <c r="H629" s="373">
        <f>H630</f>
        <v>6675.9</v>
      </c>
      <c r="I629" s="222"/>
    </row>
    <row r="630" spans="1:9" ht="15.75" x14ac:dyDescent="0.25">
      <c r="A630" s="372" t="s">
        <v>289</v>
      </c>
      <c r="B630" s="366">
        <v>906</v>
      </c>
      <c r="C630" s="368" t="s">
        <v>279</v>
      </c>
      <c r="D630" s="368" t="s">
        <v>228</v>
      </c>
      <c r="E630" s="368" t="s">
        <v>1065</v>
      </c>
      <c r="F630" s="368" t="s">
        <v>290</v>
      </c>
      <c r="G630" s="373">
        <f>6675.9</f>
        <v>6675.9</v>
      </c>
      <c r="H630" s="373">
        <f t="shared" si="48"/>
        <v>6675.9</v>
      </c>
      <c r="I630" s="222"/>
    </row>
    <row r="631" spans="1:9" ht="47.25" x14ac:dyDescent="0.25">
      <c r="A631" s="370" t="s">
        <v>969</v>
      </c>
      <c r="B631" s="367">
        <v>906</v>
      </c>
      <c r="C631" s="371" t="s">
        <v>279</v>
      </c>
      <c r="D631" s="371" t="s">
        <v>228</v>
      </c>
      <c r="E631" s="371" t="s">
        <v>1019</v>
      </c>
      <c r="F631" s="371"/>
      <c r="G631" s="44">
        <f>G635+G638+G641+G644+G647+G632</f>
        <v>152436.70000000001</v>
      </c>
      <c r="H631" s="44">
        <f>H635+H638+H641+H644+H647+H632</f>
        <v>152436.70000000001</v>
      </c>
      <c r="I631" s="222"/>
    </row>
    <row r="632" spans="1:9" s="122" customFormat="1" ht="94.5" x14ac:dyDescent="0.25">
      <c r="A632" s="31" t="s">
        <v>479</v>
      </c>
      <c r="B632" s="366">
        <v>906</v>
      </c>
      <c r="C632" s="368" t="s">
        <v>279</v>
      </c>
      <c r="D632" s="368" t="s">
        <v>228</v>
      </c>
      <c r="E632" s="368" t="s">
        <v>1523</v>
      </c>
      <c r="F632" s="368"/>
      <c r="G632" s="374">
        <f>G633</f>
        <v>4841</v>
      </c>
      <c r="H632" s="374">
        <f>H633</f>
        <v>4841</v>
      </c>
      <c r="I632" s="224"/>
    </row>
    <row r="633" spans="1:9" s="122" customFormat="1" ht="31.5" x14ac:dyDescent="0.25">
      <c r="A633" s="372" t="s">
        <v>287</v>
      </c>
      <c r="B633" s="366">
        <v>906</v>
      </c>
      <c r="C633" s="368" t="s">
        <v>279</v>
      </c>
      <c r="D633" s="368" t="s">
        <v>228</v>
      </c>
      <c r="E633" s="368" t="s">
        <v>1523</v>
      </c>
      <c r="F633" s="368" t="s">
        <v>288</v>
      </c>
      <c r="G633" s="374">
        <f>G634</f>
        <v>4841</v>
      </c>
      <c r="H633" s="374">
        <f>H634</f>
        <v>4841</v>
      </c>
      <c r="I633" s="224"/>
    </row>
    <row r="634" spans="1:9" s="122" customFormat="1" ht="15.75" x14ac:dyDescent="0.25">
      <c r="A634" s="372" t="s">
        <v>289</v>
      </c>
      <c r="B634" s="366">
        <v>906</v>
      </c>
      <c r="C634" s="368" t="s">
        <v>279</v>
      </c>
      <c r="D634" s="368" t="s">
        <v>228</v>
      </c>
      <c r="E634" s="368" t="s">
        <v>1523</v>
      </c>
      <c r="F634" s="368" t="s">
        <v>290</v>
      </c>
      <c r="G634" s="374">
        <v>4841</v>
      </c>
      <c r="H634" s="374">
        <v>4841</v>
      </c>
      <c r="I634" s="224"/>
    </row>
    <row r="635" spans="1:9" ht="78.75" x14ac:dyDescent="0.25">
      <c r="A635" s="31" t="s">
        <v>475</v>
      </c>
      <c r="B635" s="366">
        <v>906</v>
      </c>
      <c r="C635" s="368" t="s">
        <v>279</v>
      </c>
      <c r="D635" s="368" t="s">
        <v>228</v>
      </c>
      <c r="E635" s="368" t="s">
        <v>1047</v>
      </c>
      <c r="F635" s="368"/>
      <c r="G635" s="373">
        <f>G636</f>
        <v>143160</v>
      </c>
      <c r="H635" s="373">
        <f>H636</f>
        <v>143160</v>
      </c>
      <c r="I635" s="222"/>
    </row>
    <row r="636" spans="1:9" ht="31.5" x14ac:dyDescent="0.25">
      <c r="A636" s="372" t="s">
        <v>287</v>
      </c>
      <c r="B636" s="366">
        <v>906</v>
      </c>
      <c r="C636" s="368" t="s">
        <v>279</v>
      </c>
      <c r="D636" s="368" t="s">
        <v>228</v>
      </c>
      <c r="E636" s="368" t="s">
        <v>1047</v>
      </c>
      <c r="F636" s="368" t="s">
        <v>288</v>
      </c>
      <c r="G636" s="373">
        <f>G637</f>
        <v>143160</v>
      </c>
      <c r="H636" s="373">
        <f>H637</f>
        <v>143160</v>
      </c>
      <c r="I636" s="222"/>
    </row>
    <row r="637" spans="1:9" ht="15.75" x14ac:dyDescent="0.25">
      <c r="A637" s="372" t="s">
        <v>289</v>
      </c>
      <c r="B637" s="366">
        <v>906</v>
      </c>
      <c r="C637" s="368" t="s">
        <v>279</v>
      </c>
      <c r="D637" s="368" t="s">
        <v>228</v>
      </c>
      <c r="E637" s="368" t="s">
        <v>1047</v>
      </c>
      <c r="F637" s="368" t="s">
        <v>290</v>
      </c>
      <c r="G637" s="373">
        <f>143160</f>
        <v>143160</v>
      </c>
      <c r="H637" s="373">
        <f t="shared" si="48"/>
        <v>143160</v>
      </c>
      <c r="I637" s="222"/>
    </row>
    <row r="638" spans="1:9" ht="63" x14ac:dyDescent="0.25">
      <c r="A638" s="31" t="s">
        <v>304</v>
      </c>
      <c r="B638" s="366">
        <v>906</v>
      </c>
      <c r="C638" s="368" t="s">
        <v>279</v>
      </c>
      <c r="D638" s="368" t="s">
        <v>228</v>
      </c>
      <c r="E638" s="368" t="s">
        <v>1018</v>
      </c>
      <c r="F638" s="368"/>
      <c r="G638" s="373">
        <f>G639</f>
        <v>1245.5999999999999</v>
      </c>
      <c r="H638" s="373">
        <f>H639</f>
        <v>1245.5999999999999</v>
      </c>
      <c r="I638" s="222"/>
    </row>
    <row r="639" spans="1:9" ht="31.5" x14ac:dyDescent="0.25">
      <c r="A639" s="372" t="s">
        <v>287</v>
      </c>
      <c r="B639" s="366">
        <v>906</v>
      </c>
      <c r="C639" s="368" t="s">
        <v>279</v>
      </c>
      <c r="D639" s="368" t="s">
        <v>228</v>
      </c>
      <c r="E639" s="368" t="s">
        <v>1018</v>
      </c>
      <c r="F639" s="368" t="s">
        <v>288</v>
      </c>
      <c r="G639" s="373">
        <f>G640</f>
        <v>1245.5999999999999</v>
      </c>
      <c r="H639" s="373">
        <f>H640</f>
        <v>1245.5999999999999</v>
      </c>
      <c r="I639" s="222"/>
    </row>
    <row r="640" spans="1:9" ht="15.75" x14ac:dyDescent="0.25">
      <c r="A640" s="372" t="s">
        <v>289</v>
      </c>
      <c r="B640" s="366">
        <v>906</v>
      </c>
      <c r="C640" s="368" t="s">
        <v>279</v>
      </c>
      <c r="D640" s="368" t="s">
        <v>228</v>
      </c>
      <c r="E640" s="368" t="s">
        <v>1018</v>
      </c>
      <c r="F640" s="368" t="s">
        <v>290</v>
      </c>
      <c r="G640" s="373">
        <f>1245.6</f>
        <v>1245.5999999999999</v>
      </c>
      <c r="H640" s="373">
        <f t="shared" si="48"/>
        <v>1245.5999999999999</v>
      </c>
      <c r="I640" s="222"/>
    </row>
    <row r="641" spans="1:9" ht="63" x14ac:dyDescent="0.25">
      <c r="A641" s="31" t="s">
        <v>306</v>
      </c>
      <c r="B641" s="366">
        <v>906</v>
      </c>
      <c r="C641" s="368" t="s">
        <v>279</v>
      </c>
      <c r="D641" s="368" t="s">
        <v>228</v>
      </c>
      <c r="E641" s="368" t="s">
        <v>1021</v>
      </c>
      <c r="F641" s="368"/>
      <c r="G641" s="373">
        <f>G642</f>
        <v>2266.6999999999998</v>
      </c>
      <c r="H641" s="373">
        <f>H642</f>
        <v>2266.6999999999998</v>
      </c>
      <c r="I641" s="222"/>
    </row>
    <row r="642" spans="1:9" ht="31.5" x14ac:dyDescent="0.25">
      <c r="A642" s="372" t="s">
        <v>287</v>
      </c>
      <c r="B642" s="366">
        <v>906</v>
      </c>
      <c r="C642" s="368" t="s">
        <v>279</v>
      </c>
      <c r="D642" s="368" t="s">
        <v>228</v>
      </c>
      <c r="E642" s="368" t="s">
        <v>1021</v>
      </c>
      <c r="F642" s="368" t="s">
        <v>288</v>
      </c>
      <c r="G642" s="373">
        <f>G643</f>
        <v>2266.6999999999998</v>
      </c>
      <c r="H642" s="373">
        <f>H643</f>
        <v>2266.6999999999998</v>
      </c>
      <c r="I642" s="222"/>
    </row>
    <row r="643" spans="1:9" ht="15.75" x14ac:dyDescent="0.25">
      <c r="A643" s="372" t="s">
        <v>289</v>
      </c>
      <c r="B643" s="366">
        <v>906</v>
      </c>
      <c r="C643" s="368" t="s">
        <v>279</v>
      </c>
      <c r="D643" s="368" t="s">
        <v>228</v>
      </c>
      <c r="E643" s="368" t="s">
        <v>1021</v>
      </c>
      <c r="F643" s="368" t="s">
        <v>290</v>
      </c>
      <c r="G643" s="373">
        <f>2266.7</f>
        <v>2266.6999999999998</v>
      </c>
      <c r="H643" s="373">
        <f t="shared" si="48"/>
        <v>2266.6999999999998</v>
      </c>
      <c r="I643" s="222"/>
    </row>
    <row r="644" spans="1:9" ht="47.25" x14ac:dyDescent="0.25">
      <c r="A644" s="31" t="s">
        <v>477</v>
      </c>
      <c r="B644" s="366">
        <v>906</v>
      </c>
      <c r="C644" s="368" t="s">
        <v>279</v>
      </c>
      <c r="D644" s="368" t="s">
        <v>228</v>
      </c>
      <c r="E644" s="368" t="s">
        <v>1048</v>
      </c>
      <c r="F644" s="368"/>
      <c r="G644" s="373">
        <f>G645</f>
        <v>923.4</v>
      </c>
      <c r="H644" s="373">
        <f>H645</f>
        <v>923.4</v>
      </c>
      <c r="I644" s="222"/>
    </row>
    <row r="645" spans="1:9" ht="31.5" x14ac:dyDescent="0.25">
      <c r="A645" s="372" t="s">
        <v>287</v>
      </c>
      <c r="B645" s="366">
        <v>906</v>
      </c>
      <c r="C645" s="368" t="s">
        <v>279</v>
      </c>
      <c r="D645" s="368" t="s">
        <v>228</v>
      </c>
      <c r="E645" s="368" t="s">
        <v>1048</v>
      </c>
      <c r="F645" s="368" t="s">
        <v>288</v>
      </c>
      <c r="G645" s="373">
        <f>G646</f>
        <v>923.4</v>
      </c>
      <c r="H645" s="373">
        <f>H646</f>
        <v>923.4</v>
      </c>
      <c r="I645" s="222"/>
    </row>
    <row r="646" spans="1:9" ht="15.75" x14ac:dyDescent="0.25">
      <c r="A646" s="372" t="s">
        <v>289</v>
      </c>
      <c r="B646" s="366">
        <v>906</v>
      </c>
      <c r="C646" s="368" t="s">
        <v>279</v>
      </c>
      <c r="D646" s="368" t="s">
        <v>228</v>
      </c>
      <c r="E646" s="368" t="s">
        <v>1048</v>
      </c>
      <c r="F646" s="368" t="s">
        <v>290</v>
      </c>
      <c r="G646" s="373">
        <f>923.4</f>
        <v>923.4</v>
      </c>
      <c r="H646" s="373">
        <f t="shared" si="48"/>
        <v>923.4</v>
      </c>
      <c r="I646" s="222"/>
    </row>
    <row r="647" spans="1:9" ht="94.5" hidden="1" x14ac:dyDescent="0.25">
      <c r="A647" s="31" t="s">
        <v>479</v>
      </c>
      <c r="B647" s="366">
        <v>906</v>
      </c>
      <c r="C647" s="368" t="s">
        <v>279</v>
      </c>
      <c r="D647" s="368" t="s">
        <v>228</v>
      </c>
      <c r="E647" s="368" t="s">
        <v>1022</v>
      </c>
      <c r="F647" s="368"/>
      <c r="G647" s="373">
        <f>G648</f>
        <v>0</v>
      </c>
      <c r="H647" s="373">
        <f>H648</f>
        <v>0</v>
      </c>
      <c r="I647" s="222"/>
    </row>
    <row r="648" spans="1:9" ht="31.5" hidden="1" x14ac:dyDescent="0.25">
      <c r="A648" s="372" t="s">
        <v>287</v>
      </c>
      <c r="B648" s="366">
        <v>906</v>
      </c>
      <c r="C648" s="368" t="s">
        <v>279</v>
      </c>
      <c r="D648" s="368" t="s">
        <v>228</v>
      </c>
      <c r="E648" s="368" t="s">
        <v>1022</v>
      </c>
      <c r="F648" s="368" t="s">
        <v>288</v>
      </c>
      <c r="G648" s="373">
        <f>G649</f>
        <v>0</v>
      </c>
      <c r="H648" s="373">
        <f>H649</f>
        <v>0</v>
      </c>
      <c r="I648" s="222"/>
    </row>
    <row r="649" spans="1:9" ht="15.75" hidden="1" x14ac:dyDescent="0.25">
      <c r="A649" s="372" t="s">
        <v>289</v>
      </c>
      <c r="B649" s="366">
        <v>906</v>
      </c>
      <c r="C649" s="368" t="s">
        <v>279</v>
      </c>
      <c r="D649" s="368" t="s">
        <v>228</v>
      </c>
      <c r="E649" s="368" t="s">
        <v>1022</v>
      </c>
      <c r="F649" s="368" t="s">
        <v>290</v>
      </c>
      <c r="G649" s="373"/>
      <c r="H649" s="373">
        <f t="shared" si="48"/>
        <v>0</v>
      </c>
      <c r="I649" s="222"/>
    </row>
    <row r="650" spans="1:9" ht="31.5" x14ac:dyDescent="0.25">
      <c r="A650" s="288" t="s">
        <v>445</v>
      </c>
      <c r="B650" s="367">
        <v>906</v>
      </c>
      <c r="C650" s="371" t="s">
        <v>279</v>
      </c>
      <c r="D650" s="371" t="s">
        <v>228</v>
      </c>
      <c r="E650" s="371" t="s">
        <v>446</v>
      </c>
      <c r="F650" s="371"/>
      <c r="G650" s="369">
        <f>G651+G664+G671+G678+G685</f>
        <v>8844.0999999999985</v>
      </c>
      <c r="H650" s="369">
        <f>H651+H664+H671+H678+H685</f>
        <v>8852.5999999999985</v>
      </c>
      <c r="I650" s="222"/>
    </row>
    <row r="651" spans="1:9" ht="31.5" x14ac:dyDescent="0.25">
      <c r="A651" s="370" t="s">
        <v>1027</v>
      </c>
      <c r="B651" s="291">
        <v>906</v>
      </c>
      <c r="C651" s="371" t="s">
        <v>279</v>
      </c>
      <c r="D651" s="371" t="s">
        <v>228</v>
      </c>
      <c r="E651" s="371" t="s">
        <v>1028</v>
      </c>
      <c r="F651" s="371"/>
      <c r="G651" s="369">
        <f>G652+G655+G658+G661</f>
        <v>224</v>
      </c>
      <c r="H651" s="369">
        <f>H652+H655+H658+H661</f>
        <v>224</v>
      </c>
      <c r="I651" s="222"/>
    </row>
    <row r="652" spans="1:9" ht="31.5" hidden="1" x14ac:dyDescent="0.25">
      <c r="A652" s="372" t="s">
        <v>455</v>
      </c>
      <c r="B652" s="37">
        <v>906</v>
      </c>
      <c r="C652" s="368" t="s">
        <v>279</v>
      </c>
      <c r="D652" s="368" t="s">
        <v>228</v>
      </c>
      <c r="E652" s="368" t="s">
        <v>1032</v>
      </c>
      <c r="F652" s="368"/>
      <c r="G652" s="373">
        <f>'Пр.4 ведом.20'!G657</f>
        <v>0</v>
      </c>
      <c r="H652" s="373">
        <f t="shared" ref="H652:H715" si="50">G652</f>
        <v>0</v>
      </c>
      <c r="I652" s="222"/>
    </row>
    <row r="653" spans="1:9" ht="31.5" hidden="1" x14ac:dyDescent="0.25">
      <c r="A653" s="372" t="s">
        <v>287</v>
      </c>
      <c r="B653" s="37">
        <v>906</v>
      </c>
      <c r="C653" s="368" t="s">
        <v>279</v>
      </c>
      <c r="D653" s="368" t="s">
        <v>228</v>
      </c>
      <c r="E653" s="368" t="s">
        <v>1032</v>
      </c>
      <c r="F653" s="368" t="s">
        <v>288</v>
      </c>
      <c r="G653" s="373">
        <f>'Пр.4 ведом.20'!G658</f>
        <v>0</v>
      </c>
      <c r="H653" s="373">
        <f t="shared" si="50"/>
        <v>0</v>
      </c>
      <c r="I653" s="222"/>
    </row>
    <row r="654" spans="1:9" ht="15.75" hidden="1" x14ac:dyDescent="0.25">
      <c r="A654" s="372" t="s">
        <v>289</v>
      </c>
      <c r="B654" s="37">
        <v>906</v>
      </c>
      <c r="C654" s="368" t="s">
        <v>279</v>
      </c>
      <c r="D654" s="368" t="s">
        <v>228</v>
      </c>
      <c r="E654" s="368" t="s">
        <v>1032</v>
      </c>
      <c r="F654" s="368" t="s">
        <v>290</v>
      </c>
      <c r="G654" s="373">
        <f>'Пр.4 ведом.20'!G659</f>
        <v>0</v>
      </c>
      <c r="H654" s="373">
        <f t="shared" si="50"/>
        <v>0</v>
      </c>
      <c r="I654" s="222"/>
    </row>
    <row r="655" spans="1:9" ht="31.5" hidden="1" x14ac:dyDescent="0.25">
      <c r="A655" s="372" t="s">
        <v>293</v>
      </c>
      <c r="B655" s="37">
        <v>906</v>
      </c>
      <c r="C655" s="368" t="s">
        <v>279</v>
      </c>
      <c r="D655" s="368" t="s">
        <v>228</v>
      </c>
      <c r="E655" s="368" t="s">
        <v>1033</v>
      </c>
      <c r="F655" s="368"/>
      <c r="G655" s="373">
        <f>'Пр.4 ведом.20'!G660</f>
        <v>0</v>
      </c>
      <c r="H655" s="373">
        <f t="shared" si="50"/>
        <v>0</v>
      </c>
      <c r="I655" s="222"/>
    </row>
    <row r="656" spans="1:9" ht="31.5" hidden="1" x14ac:dyDescent="0.25">
      <c r="A656" s="372" t="s">
        <v>287</v>
      </c>
      <c r="B656" s="37">
        <v>906</v>
      </c>
      <c r="C656" s="368" t="s">
        <v>279</v>
      </c>
      <c r="D656" s="368" t="s">
        <v>228</v>
      </c>
      <c r="E656" s="368" t="s">
        <v>1033</v>
      </c>
      <c r="F656" s="368" t="s">
        <v>288</v>
      </c>
      <c r="G656" s="373">
        <f>'Пр.4 ведом.20'!G661</f>
        <v>0</v>
      </c>
      <c r="H656" s="373">
        <f t="shared" si="50"/>
        <v>0</v>
      </c>
      <c r="I656" s="222"/>
    </row>
    <row r="657" spans="1:9" ht="15.75" hidden="1" x14ac:dyDescent="0.25">
      <c r="A657" s="372" t="s">
        <v>289</v>
      </c>
      <c r="B657" s="37">
        <v>906</v>
      </c>
      <c r="C657" s="368" t="s">
        <v>279</v>
      </c>
      <c r="D657" s="368" t="s">
        <v>228</v>
      </c>
      <c r="E657" s="368" t="s">
        <v>1033</v>
      </c>
      <c r="F657" s="368" t="s">
        <v>290</v>
      </c>
      <c r="G657" s="373">
        <f>'Пр.4 ведом.20'!G662</f>
        <v>0</v>
      </c>
      <c r="H657" s="373">
        <f t="shared" si="50"/>
        <v>0</v>
      </c>
      <c r="I657" s="222"/>
    </row>
    <row r="658" spans="1:9" ht="31.5" hidden="1" x14ac:dyDescent="0.25">
      <c r="A658" s="372" t="s">
        <v>295</v>
      </c>
      <c r="B658" s="37">
        <v>906</v>
      </c>
      <c r="C658" s="368" t="s">
        <v>279</v>
      </c>
      <c r="D658" s="368" t="s">
        <v>228</v>
      </c>
      <c r="E658" s="368" t="s">
        <v>1034</v>
      </c>
      <c r="F658" s="368"/>
      <c r="G658" s="373">
        <f>G659</f>
        <v>0</v>
      </c>
      <c r="H658" s="373">
        <f>H659</f>
        <v>0</v>
      </c>
      <c r="I658" s="222"/>
    </row>
    <row r="659" spans="1:9" ht="31.5" hidden="1" x14ac:dyDescent="0.25">
      <c r="A659" s="372" t="s">
        <v>287</v>
      </c>
      <c r="B659" s="37">
        <v>906</v>
      </c>
      <c r="C659" s="368" t="s">
        <v>279</v>
      </c>
      <c r="D659" s="368" t="s">
        <v>228</v>
      </c>
      <c r="E659" s="368" t="s">
        <v>1034</v>
      </c>
      <c r="F659" s="368" t="s">
        <v>288</v>
      </c>
      <c r="G659" s="373">
        <f>G660</f>
        <v>0</v>
      </c>
      <c r="H659" s="373">
        <f>H660</f>
        <v>0</v>
      </c>
      <c r="I659" s="222"/>
    </row>
    <row r="660" spans="1:9" ht="15.75" hidden="1" x14ac:dyDescent="0.25">
      <c r="A660" s="372" t="s">
        <v>289</v>
      </c>
      <c r="B660" s="37">
        <v>906</v>
      </c>
      <c r="C660" s="368" t="s">
        <v>279</v>
      </c>
      <c r="D660" s="368" t="s">
        <v>228</v>
      </c>
      <c r="E660" s="368" t="s">
        <v>1034</v>
      </c>
      <c r="F660" s="368" t="s">
        <v>290</v>
      </c>
      <c r="G660" s="373">
        <v>0</v>
      </c>
      <c r="H660" s="373">
        <v>0</v>
      </c>
      <c r="I660" s="222"/>
    </row>
    <row r="661" spans="1:9" ht="31.5" x14ac:dyDescent="0.25">
      <c r="A661" s="372" t="s">
        <v>297</v>
      </c>
      <c r="B661" s="37">
        <v>906</v>
      </c>
      <c r="C661" s="368" t="s">
        <v>279</v>
      </c>
      <c r="D661" s="368" t="s">
        <v>228</v>
      </c>
      <c r="E661" s="368" t="s">
        <v>1035</v>
      </c>
      <c r="F661" s="368"/>
      <c r="G661" s="373">
        <f>G662</f>
        <v>224</v>
      </c>
      <c r="H661" s="373">
        <f>H662</f>
        <v>224</v>
      </c>
      <c r="I661" s="222"/>
    </row>
    <row r="662" spans="1:9" ht="31.5" x14ac:dyDescent="0.25">
      <c r="A662" s="372" t="s">
        <v>287</v>
      </c>
      <c r="B662" s="37">
        <v>906</v>
      </c>
      <c r="C662" s="368" t="s">
        <v>279</v>
      </c>
      <c r="D662" s="368" t="s">
        <v>228</v>
      </c>
      <c r="E662" s="368" t="s">
        <v>1035</v>
      </c>
      <c r="F662" s="368" t="s">
        <v>288</v>
      </c>
      <c r="G662" s="373">
        <f>G663</f>
        <v>224</v>
      </c>
      <c r="H662" s="373">
        <f>H663</f>
        <v>224</v>
      </c>
      <c r="I662" s="222"/>
    </row>
    <row r="663" spans="1:9" ht="15.75" x14ac:dyDescent="0.25">
      <c r="A663" s="372" t="s">
        <v>289</v>
      </c>
      <c r="B663" s="37">
        <v>906</v>
      </c>
      <c r="C663" s="368" t="s">
        <v>279</v>
      </c>
      <c r="D663" s="368" t="s">
        <v>228</v>
      </c>
      <c r="E663" s="368" t="s">
        <v>1035</v>
      </c>
      <c r="F663" s="368" t="s">
        <v>290</v>
      </c>
      <c r="G663" s="373">
        <f>224</f>
        <v>224</v>
      </c>
      <c r="H663" s="373">
        <f t="shared" si="50"/>
        <v>224</v>
      </c>
      <c r="I663" s="222"/>
    </row>
    <row r="664" spans="1:9" ht="31.5" x14ac:dyDescent="0.25">
      <c r="A664" s="370" t="s">
        <v>1029</v>
      </c>
      <c r="B664" s="291">
        <v>906</v>
      </c>
      <c r="C664" s="371" t="s">
        <v>279</v>
      </c>
      <c r="D664" s="371" t="s">
        <v>228</v>
      </c>
      <c r="E664" s="371" t="s">
        <v>1030</v>
      </c>
      <c r="F664" s="371"/>
      <c r="G664" s="369">
        <f>G665+G668</f>
        <v>3943.4</v>
      </c>
      <c r="H664" s="369">
        <f>H665+H668</f>
        <v>3951.9</v>
      </c>
      <c r="I664" s="222"/>
    </row>
    <row r="665" spans="1:9" ht="49.7" customHeight="1" x14ac:dyDescent="0.25">
      <c r="A665" s="375" t="s">
        <v>617</v>
      </c>
      <c r="B665" s="37">
        <v>906</v>
      </c>
      <c r="C665" s="368" t="s">
        <v>279</v>
      </c>
      <c r="D665" s="368" t="s">
        <v>228</v>
      </c>
      <c r="E665" s="368" t="s">
        <v>1036</v>
      </c>
      <c r="F665" s="368"/>
      <c r="G665" s="373">
        <f>G666</f>
        <v>2200</v>
      </c>
      <c r="H665" s="373">
        <f>H666</f>
        <v>2200</v>
      </c>
      <c r="I665" s="222"/>
    </row>
    <row r="666" spans="1:9" ht="31.5" x14ac:dyDescent="0.25">
      <c r="A666" s="372" t="s">
        <v>287</v>
      </c>
      <c r="B666" s="37">
        <v>906</v>
      </c>
      <c r="C666" s="368" t="s">
        <v>279</v>
      </c>
      <c r="D666" s="368" t="s">
        <v>228</v>
      </c>
      <c r="E666" s="368" t="s">
        <v>1036</v>
      </c>
      <c r="F666" s="368" t="s">
        <v>288</v>
      </c>
      <c r="G666" s="373">
        <f>G667</f>
        <v>2200</v>
      </c>
      <c r="H666" s="373">
        <f>H667</f>
        <v>2200</v>
      </c>
      <c r="I666" s="222"/>
    </row>
    <row r="667" spans="1:9" ht="15.75" x14ac:dyDescent="0.25">
      <c r="A667" s="372" t="s">
        <v>289</v>
      </c>
      <c r="B667" s="37">
        <v>906</v>
      </c>
      <c r="C667" s="368" t="s">
        <v>279</v>
      </c>
      <c r="D667" s="368" t="s">
        <v>228</v>
      </c>
      <c r="E667" s="368" t="s">
        <v>1036</v>
      </c>
      <c r="F667" s="368" t="s">
        <v>290</v>
      </c>
      <c r="G667" s="373">
        <f>2200</f>
        <v>2200</v>
      </c>
      <c r="H667" s="373">
        <f t="shared" si="50"/>
        <v>2200</v>
      </c>
      <c r="I667" s="222"/>
    </row>
    <row r="668" spans="1:9" ht="31.5" x14ac:dyDescent="0.25">
      <c r="A668" s="372" t="s">
        <v>471</v>
      </c>
      <c r="B668" s="37">
        <v>906</v>
      </c>
      <c r="C668" s="368" t="s">
        <v>279</v>
      </c>
      <c r="D668" s="368" t="s">
        <v>228</v>
      </c>
      <c r="E668" s="368" t="s">
        <v>1037</v>
      </c>
      <c r="F668" s="368"/>
      <c r="G668" s="373">
        <f>G669</f>
        <v>1743.4</v>
      </c>
      <c r="H668" s="373">
        <f>H669</f>
        <v>1751.9</v>
      </c>
      <c r="I668" s="222"/>
    </row>
    <row r="669" spans="1:9" ht="31.5" x14ac:dyDescent="0.25">
      <c r="A669" s="372" t="s">
        <v>287</v>
      </c>
      <c r="B669" s="37">
        <v>906</v>
      </c>
      <c r="C669" s="368" t="s">
        <v>279</v>
      </c>
      <c r="D669" s="368" t="s">
        <v>228</v>
      </c>
      <c r="E669" s="368" t="s">
        <v>1037</v>
      </c>
      <c r="F669" s="368" t="s">
        <v>288</v>
      </c>
      <c r="G669" s="373">
        <f>G670</f>
        <v>1743.4</v>
      </c>
      <c r="H669" s="373">
        <f>H670</f>
        <v>1751.9</v>
      </c>
      <c r="I669" s="222"/>
    </row>
    <row r="670" spans="1:9" ht="15.75" x14ac:dyDescent="0.25">
      <c r="A670" s="372" t="s">
        <v>289</v>
      </c>
      <c r="B670" s="37">
        <v>906</v>
      </c>
      <c r="C670" s="368" t="s">
        <v>279</v>
      </c>
      <c r="D670" s="368" t="s">
        <v>228</v>
      </c>
      <c r="E670" s="368" t="s">
        <v>1037</v>
      </c>
      <c r="F670" s="368" t="s">
        <v>290</v>
      </c>
      <c r="G670" s="373">
        <v>1743.4</v>
      </c>
      <c r="H670" s="373">
        <v>1751.9</v>
      </c>
      <c r="I670" s="222"/>
    </row>
    <row r="671" spans="1:9" ht="31.5" x14ac:dyDescent="0.25">
      <c r="A671" s="370" t="s">
        <v>1031</v>
      </c>
      <c r="B671" s="291">
        <v>906</v>
      </c>
      <c r="C671" s="371" t="s">
        <v>279</v>
      </c>
      <c r="D671" s="371" t="s">
        <v>228</v>
      </c>
      <c r="E671" s="371" t="s">
        <v>1038</v>
      </c>
      <c r="F671" s="371"/>
      <c r="G671" s="44">
        <f>G672+G675</f>
        <v>1364.7</v>
      </c>
      <c r="H671" s="44">
        <f>H672+H675</f>
        <v>1364.7</v>
      </c>
      <c r="I671" s="222"/>
    </row>
    <row r="672" spans="1:9" ht="47.25" x14ac:dyDescent="0.25">
      <c r="A672" s="372" t="s">
        <v>453</v>
      </c>
      <c r="B672" s="37">
        <v>906</v>
      </c>
      <c r="C672" s="368" t="s">
        <v>279</v>
      </c>
      <c r="D672" s="368" t="s">
        <v>228</v>
      </c>
      <c r="E672" s="368" t="s">
        <v>1039</v>
      </c>
      <c r="F672" s="368"/>
      <c r="G672" s="373">
        <f>G673</f>
        <v>868</v>
      </c>
      <c r="H672" s="373">
        <f>H673</f>
        <v>868</v>
      </c>
      <c r="I672" s="222"/>
    </row>
    <row r="673" spans="1:9" ht="31.5" x14ac:dyDescent="0.25">
      <c r="A673" s="372" t="s">
        <v>287</v>
      </c>
      <c r="B673" s="37">
        <v>906</v>
      </c>
      <c r="C673" s="368" t="s">
        <v>279</v>
      </c>
      <c r="D673" s="368" t="s">
        <v>228</v>
      </c>
      <c r="E673" s="368" t="s">
        <v>1039</v>
      </c>
      <c r="F673" s="368" t="s">
        <v>288</v>
      </c>
      <c r="G673" s="373">
        <f>G674</f>
        <v>868</v>
      </c>
      <c r="H673" s="373">
        <f>H674</f>
        <v>868</v>
      </c>
      <c r="I673" s="222"/>
    </row>
    <row r="674" spans="1:9" ht="15.75" x14ac:dyDescent="0.25">
      <c r="A674" s="372" t="s">
        <v>289</v>
      </c>
      <c r="B674" s="37">
        <v>906</v>
      </c>
      <c r="C674" s="368" t="s">
        <v>279</v>
      </c>
      <c r="D674" s="368" t="s">
        <v>228</v>
      </c>
      <c r="E674" s="368" t="s">
        <v>1039</v>
      </c>
      <c r="F674" s="368" t="s">
        <v>290</v>
      </c>
      <c r="G674" s="373">
        <f>868</f>
        <v>868</v>
      </c>
      <c r="H674" s="373">
        <f t="shared" si="50"/>
        <v>868</v>
      </c>
      <c r="I674" s="222"/>
    </row>
    <row r="675" spans="1:9" ht="47.25" x14ac:dyDescent="0.25">
      <c r="A675" s="372" t="s">
        <v>473</v>
      </c>
      <c r="B675" s="37">
        <v>906</v>
      </c>
      <c r="C675" s="368" t="s">
        <v>279</v>
      </c>
      <c r="D675" s="368" t="s">
        <v>228</v>
      </c>
      <c r="E675" s="368" t="s">
        <v>1040</v>
      </c>
      <c r="F675" s="368"/>
      <c r="G675" s="373">
        <f>G676</f>
        <v>496.7</v>
      </c>
      <c r="H675" s="373">
        <f>H676</f>
        <v>496.7</v>
      </c>
      <c r="I675" s="222"/>
    </row>
    <row r="676" spans="1:9" ht="31.5" x14ac:dyDescent="0.25">
      <c r="A676" s="289" t="s">
        <v>287</v>
      </c>
      <c r="B676" s="366">
        <v>906</v>
      </c>
      <c r="C676" s="368" t="s">
        <v>279</v>
      </c>
      <c r="D676" s="368" t="s">
        <v>228</v>
      </c>
      <c r="E676" s="368" t="s">
        <v>1040</v>
      </c>
      <c r="F676" s="368" t="s">
        <v>288</v>
      </c>
      <c r="G676" s="373">
        <f>G677</f>
        <v>496.7</v>
      </c>
      <c r="H676" s="373">
        <f>H677</f>
        <v>496.7</v>
      </c>
      <c r="I676" s="222"/>
    </row>
    <row r="677" spans="1:9" ht="15.75" x14ac:dyDescent="0.25">
      <c r="A677" s="372" t="s">
        <v>289</v>
      </c>
      <c r="B677" s="366">
        <v>906</v>
      </c>
      <c r="C677" s="368" t="s">
        <v>279</v>
      </c>
      <c r="D677" s="368" t="s">
        <v>228</v>
      </c>
      <c r="E677" s="368" t="s">
        <v>1040</v>
      </c>
      <c r="F677" s="368" t="s">
        <v>290</v>
      </c>
      <c r="G677" s="373">
        <f>496.7</f>
        <v>496.7</v>
      </c>
      <c r="H677" s="373">
        <f t="shared" si="50"/>
        <v>496.7</v>
      </c>
      <c r="I677" s="222"/>
    </row>
    <row r="678" spans="1:9" ht="31.5" x14ac:dyDescent="0.25">
      <c r="A678" s="246" t="s">
        <v>1075</v>
      </c>
      <c r="B678" s="367">
        <v>906</v>
      </c>
      <c r="C678" s="371" t="s">
        <v>279</v>
      </c>
      <c r="D678" s="371" t="s">
        <v>228</v>
      </c>
      <c r="E678" s="371" t="s">
        <v>1041</v>
      </c>
      <c r="F678" s="371"/>
      <c r="G678" s="44">
        <f>G679+G682</f>
        <v>2634</v>
      </c>
      <c r="H678" s="44">
        <f>H679+H682</f>
        <v>2634</v>
      </c>
      <c r="I678" s="222"/>
    </row>
    <row r="679" spans="1:9" ht="31.5" hidden="1" x14ac:dyDescent="0.25">
      <c r="A679" s="372" t="s">
        <v>815</v>
      </c>
      <c r="B679" s="366">
        <v>906</v>
      </c>
      <c r="C679" s="368" t="s">
        <v>279</v>
      </c>
      <c r="D679" s="368" t="s">
        <v>228</v>
      </c>
      <c r="E679" s="368" t="s">
        <v>1043</v>
      </c>
      <c r="F679" s="368"/>
      <c r="G679" s="373">
        <f>'Пр.4 ведом.20'!G684</f>
        <v>0</v>
      </c>
      <c r="H679" s="373">
        <f t="shared" si="50"/>
        <v>0</v>
      </c>
      <c r="I679" s="222"/>
    </row>
    <row r="680" spans="1:9" ht="31.5" hidden="1" x14ac:dyDescent="0.25">
      <c r="A680" s="372" t="s">
        <v>287</v>
      </c>
      <c r="B680" s="366">
        <v>906</v>
      </c>
      <c r="C680" s="368" t="s">
        <v>279</v>
      </c>
      <c r="D680" s="368" t="s">
        <v>228</v>
      </c>
      <c r="E680" s="368" t="s">
        <v>1043</v>
      </c>
      <c r="F680" s="368" t="s">
        <v>288</v>
      </c>
      <c r="G680" s="373">
        <f>'Пр.4 ведом.20'!G685</f>
        <v>0</v>
      </c>
      <c r="H680" s="373">
        <f t="shared" si="50"/>
        <v>0</v>
      </c>
      <c r="I680" s="222"/>
    </row>
    <row r="681" spans="1:9" ht="15.75" hidden="1" x14ac:dyDescent="0.25">
      <c r="A681" s="372" t="s">
        <v>289</v>
      </c>
      <c r="B681" s="366">
        <v>906</v>
      </c>
      <c r="C681" s="368" t="s">
        <v>279</v>
      </c>
      <c r="D681" s="368" t="s">
        <v>228</v>
      </c>
      <c r="E681" s="368" t="s">
        <v>1043</v>
      </c>
      <c r="F681" s="368" t="s">
        <v>290</v>
      </c>
      <c r="G681" s="373">
        <f>'Пр.4 ведом.20'!G686</f>
        <v>0</v>
      </c>
      <c r="H681" s="373">
        <f t="shared" si="50"/>
        <v>0</v>
      </c>
      <c r="I681" s="222"/>
    </row>
    <row r="682" spans="1:9" ht="31.5" x14ac:dyDescent="0.25">
      <c r="A682" s="60" t="s">
        <v>785</v>
      </c>
      <c r="B682" s="366">
        <v>906</v>
      </c>
      <c r="C682" s="368" t="s">
        <v>279</v>
      </c>
      <c r="D682" s="368" t="s">
        <v>228</v>
      </c>
      <c r="E682" s="368" t="s">
        <v>1044</v>
      </c>
      <c r="F682" s="368"/>
      <c r="G682" s="373">
        <f>G683</f>
        <v>2634</v>
      </c>
      <c r="H682" s="373">
        <f>H683</f>
        <v>2634</v>
      </c>
      <c r="I682" s="222"/>
    </row>
    <row r="683" spans="1:9" ht="31.5" x14ac:dyDescent="0.25">
      <c r="A683" s="375" t="s">
        <v>287</v>
      </c>
      <c r="B683" s="366">
        <v>906</v>
      </c>
      <c r="C683" s="368" t="s">
        <v>279</v>
      </c>
      <c r="D683" s="368" t="s">
        <v>228</v>
      </c>
      <c r="E683" s="368" t="s">
        <v>1044</v>
      </c>
      <c r="F683" s="368" t="s">
        <v>288</v>
      </c>
      <c r="G683" s="373">
        <f>G684</f>
        <v>2634</v>
      </c>
      <c r="H683" s="373">
        <f>H684</f>
        <v>2634</v>
      </c>
      <c r="I683" s="222"/>
    </row>
    <row r="684" spans="1:9" ht="15.75" x14ac:dyDescent="0.25">
      <c r="A684" s="193" t="s">
        <v>289</v>
      </c>
      <c r="B684" s="366">
        <v>906</v>
      </c>
      <c r="C684" s="368" t="s">
        <v>279</v>
      </c>
      <c r="D684" s="368" t="s">
        <v>228</v>
      </c>
      <c r="E684" s="368" t="s">
        <v>1044</v>
      </c>
      <c r="F684" s="368" t="s">
        <v>290</v>
      </c>
      <c r="G684" s="373">
        <f>2634</f>
        <v>2634</v>
      </c>
      <c r="H684" s="373">
        <f t="shared" si="50"/>
        <v>2634</v>
      </c>
      <c r="I684" s="222"/>
    </row>
    <row r="685" spans="1:9" ht="31.5" x14ac:dyDescent="0.25">
      <c r="A685" s="244" t="s">
        <v>1046</v>
      </c>
      <c r="B685" s="367">
        <v>906</v>
      </c>
      <c r="C685" s="371" t="s">
        <v>279</v>
      </c>
      <c r="D685" s="371" t="s">
        <v>228</v>
      </c>
      <c r="E685" s="371" t="s">
        <v>1042</v>
      </c>
      <c r="F685" s="371"/>
      <c r="G685" s="369">
        <f t="shared" ref="G685:H687" si="51">G686</f>
        <v>678</v>
      </c>
      <c r="H685" s="369">
        <f t="shared" si="51"/>
        <v>678</v>
      </c>
      <c r="I685" s="222"/>
    </row>
    <row r="686" spans="1:9" ht="50.25" customHeight="1" x14ac:dyDescent="0.25">
      <c r="A686" s="193" t="s">
        <v>872</v>
      </c>
      <c r="B686" s="366">
        <v>906</v>
      </c>
      <c r="C686" s="368" t="s">
        <v>279</v>
      </c>
      <c r="D686" s="368" t="s">
        <v>228</v>
      </c>
      <c r="E686" s="368" t="s">
        <v>1045</v>
      </c>
      <c r="F686" s="368"/>
      <c r="G686" s="373">
        <f t="shared" si="51"/>
        <v>678</v>
      </c>
      <c r="H686" s="373">
        <f t="shared" si="51"/>
        <v>678</v>
      </c>
      <c r="I686" s="222"/>
    </row>
    <row r="687" spans="1:9" ht="31.5" x14ac:dyDescent="0.25">
      <c r="A687" s="31" t="s">
        <v>287</v>
      </c>
      <c r="B687" s="366">
        <v>906</v>
      </c>
      <c r="C687" s="368" t="s">
        <v>279</v>
      </c>
      <c r="D687" s="368" t="s">
        <v>228</v>
      </c>
      <c r="E687" s="368" t="s">
        <v>1045</v>
      </c>
      <c r="F687" s="368" t="s">
        <v>288</v>
      </c>
      <c r="G687" s="373">
        <f t="shared" si="51"/>
        <v>678</v>
      </c>
      <c r="H687" s="373">
        <f t="shared" si="51"/>
        <v>678</v>
      </c>
      <c r="I687" s="222"/>
    </row>
    <row r="688" spans="1:9" ht="15.75" x14ac:dyDescent="0.25">
      <c r="A688" s="31" t="s">
        <v>289</v>
      </c>
      <c r="B688" s="366">
        <v>906</v>
      </c>
      <c r="C688" s="368" t="s">
        <v>279</v>
      </c>
      <c r="D688" s="368" t="s">
        <v>228</v>
      </c>
      <c r="E688" s="368" t="s">
        <v>1045</v>
      </c>
      <c r="F688" s="368" t="s">
        <v>290</v>
      </c>
      <c r="G688" s="373">
        <f>678</f>
        <v>678</v>
      </c>
      <c r="H688" s="373">
        <f t="shared" si="50"/>
        <v>678</v>
      </c>
      <c r="I688" s="222"/>
    </row>
    <row r="689" spans="1:9" ht="63" hidden="1" x14ac:dyDescent="0.25">
      <c r="A689" s="34" t="s">
        <v>803</v>
      </c>
      <c r="B689" s="367">
        <v>906</v>
      </c>
      <c r="C689" s="371" t="s">
        <v>279</v>
      </c>
      <c r="D689" s="371" t="s">
        <v>228</v>
      </c>
      <c r="E689" s="371" t="s">
        <v>339</v>
      </c>
      <c r="F689" s="371"/>
      <c r="G689" s="369">
        <f>G690</f>
        <v>0</v>
      </c>
      <c r="H689" s="369">
        <f>H690</f>
        <v>0</v>
      </c>
      <c r="I689" s="222"/>
    </row>
    <row r="690" spans="1:9" ht="63" hidden="1" x14ac:dyDescent="0.25">
      <c r="A690" s="34" t="s">
        <v>1188</v>
      </c>
      <c r="B690" s="367">
        <v>906</v>
      </c>
      <c r="C690" s="371" t="s">
        <v>279</v>
      </c>
      <c r="D690" s="371" t="s">
        <v>228</v>
      </c>
      <c r="E690" s="371" t="s">
        <v>1023</v>
      </c>
      <c r="F690" s="371"/>
      <c r="G690" s="369">
        <f>G691</f>
        <v>0</v>
      </c>
      <c r="H690" s="369">
        <f>H691</f>
        <v>0</v>
      </c>
      <c r="I690" s="222"/>
    </row>
    <row r="691" spans="1:9" ht="47.25" hidden="1" x14ac:dyDescent="0.25">
      <c r="A691" s="31" t="s">
        <v>1274</v>
      </c>
      <c r="B691" s="366">
        <v>906</v>
      </c>
      <c r="C691" s="368" t="s">
        <v>279</v>
      </c>
      <c r="D691" s="368" t="s">
        <v>228</v>
      </c>
      <c r="E691" s="368" t="s">
        <v>1024</v>
      </c>
      <c r="F691" s="368"/>
      <c r="G691" s="373">
        <f>G692</f>
        <v>0</v>
      </c>
      <c r="H691" s="373">
        <f t="shared" si="50"/>
        <v>0</v>
      </c>
      <c r="I691" s="222"/>
    </row>
    <row r="692" spans="1:9" ht="31.5" hidden="1" x14ac:dyDescent="0.25">
      <c r="A692" s="31" t="s">
        <v>287</v>
      </c>
      <c r="B692" s="366">
        <v>906</v>
      </c>
      <c r="C692" s="368" t="s">
        <v>279</v>
      </c>
      <c r="D692" s="368" t="s">
        <v>228</v>
      </c>
      <c r="E692" s="368" t="s">
        <v>1024</v>
      </c>
      <c r="F692" s="368" t="s">
        <v>288</v>
      </c>
      <c r="G692" s="373">
        <f>G693</f>
        <v>0</v>
      </c>
      <c r="H692" s="373">
        <f t="shared" si="50"/>
        <v>0</v>
      </c>
      <c r="I692" s="222"/>
    </row>
    <row r="693" spans="1:9" ht="15.75" hidden="1" x14ac:dyDescent="0.25">
      <c r="A693" s="31" t="s">
        <v>289</v>
      </c>
      <c r="B693" s="366">
        <v>906</v>
      </c>
      <c r="C693" s="368" t="s">
        <v>279</v>
      </c>
      <c r="D693" s="368" t="s">
        <v>228</v>
      </c>
      <c r="E693" s="368" t="s">
        <v>1024</v>
      </c>
      <c r="F693" s="368" t="s">
        <v>290</v>
      </c>
      <c r="G693" s="373">
        <v>0</v>
      </c>
      <c r="H693" s="373">
        <v>0</v>
      </c>
      <c r="I693" s="222"/>
    </row>
    <row r="694" spans="1:9" ht="63" x14ac:dyDescent="0.25">
      <c r="A694" s="41" t="s">
        <v>1429</v>
      </c>
      <c r="B694" s="367">
        <v>906</v>
      </c>
      <c r="C694" s="371" t="s">
        <v>279</v>
      </c>
      <c r="D694" s="371" t="s">
        <v>228</v>
      </c>
      <c r="E694" s="371" t="s">
        <v>726</v>
      </c>
      <c r="F694" s="250"/>
      <c r="G694" s="369">
        <f t="shared" ref="G694:H697" si="52">G695</f>
        <v>723.3</v>
      </c>
      <c r="H694" s="369">
        <f t="shared" si="52"/>
        <v>723.3</v>
      </c>
      <c r="I694" s="222"/>
    </row>
    <row r="695" spans="1:9" ht="47.25" x14ac:dyDescent="0.25">
      <c r="A695" s="41" t="s">
        <v>947</v>
      </c>
      <c r="B695" s="367">
        <v>906</v>
      </c>
      <c r="C695" s="371" t="s">
        <v>279</v>
      </c>
      <c r="D695" s="371" t="s">
        <v>228</v>
      </c>
      <c r="E695" s="371" t="s">
        <v>945</v>
      </c>
      <c r="F695" s="250"/>
      <c r="G695" s="369">
        <f t="shared" si="52"/>
        <v>723.3</v>
      </c>
      <c r="H695" s="369">
        <f t="shared" si="52"/>
        <v>723.3</v>
      </c>
      <c r="I695" s="222"/>
    </row>
    <row r="696" spans="1:9" ht="47.25" x14ac:dyDescent="0.25">
      <c r="A696" s="99" t="s">
        <v>801</v>
      </c>
      <c r="B696" s="366">
        <v>906</v>
      </c>
      <c r="C696" s="368" t="s">
        <v>279</v>
      </c>
      <c r="D696" s="368" t="s">
        <v>228</v>
      </c>
      <c r="E696" s="368" t="s">
        <v>1025</v>
      </c>
      <c r="F696" s="32"/>
      <c r="G696" s="373">
        <f t="shared" si="52"/>
        <v>723.3</v>
      </c>
      <c r="H696" s="373">
        <f t="shared" si="52"/>
        <v>723.3</v>
      </c>
      <c r="I696" s="222"/>
    </row>
    <row r="697" spans="1:9" ht="31.5" x14ac:dyDescent="0.25">
      <c r="A697" s="375" t="s">
        <v>287</v>
      </c>
      <c r="B697" s="366">
        <v>906</v>
      </c>
      <c r="C697" s="368" t="s">
        <v>279</v>
      </c>
      <c r="D697" s="368" t="s">
        <v>228</v>
      </c>
      <c r="E697" s="368" t="s">
        <v>1025</v>
      </c>
      <c r="F697" s="32" t="s">
        <v>288</v>
      </c>
      <c r="G697" s="373">
        <f t="shared" si="52"/>
        <v>723.3</v>
      </c>
      <c r="H697" s="373">
        <f t="shared" si="52"/>
        <v>723.3</v>
      </c>
      <c r="I697" s="222"/>
    </row>
    <row r="698" spans="1:9" ht="15.75" x14ac:dyDescent="0.25">
      <c r="A698" s="193" t="s">
        <v>289</v>
      </c>
      <c r="B698" s="366">
        <v>906</v>
      </c>
      <c r="C698" s="368" t="s">
        <v>279</v>
      </c>
      <c r="D698" s="368" t="s">
        <v>228</v>
      </c>
      <c r="E698" s="368" t="s">
        <v>1025</v>
      </c>
      <c r="F698" s="32" t="s">
        <v>290</v>
      </c>
      <c r="G698" s="373">
        <f>723.3</f>
        <v>723.3</v>
      </c>
      <c r="H698" s="373">
        <f t="shared" si="50"/>
        <v>723.3</v>
      </c>
      <c r="I698" s="222"/>
    </row>
    <row r="699" spans="1:9" ht="15.75" x14ac:dyDescent="0.25">
      <c r="A699" s="370" t="s">
        <v>280</v>
      </c>
      <c r="B699" s="367">
        <v>906</v>
      </c>
      <c r="C699" s="371" t="s">
        <v>279</v>
      </c>
      <c r="D699" s="371" t="s">
        <v>230</v>
      </c>
      <c r="E699" s="371"/>
      <c r="F699" s="371"/>
      <c r="G699" s="44">
        <f>G700+G728</f>
        <v>35226.899999999994</v>
      </c>
      <c r="H699" s="44">
        <f>H700+H728</f>
        <v>35226.899999999994</v>
      </c>
      <c r="I699" s="222"/>
    </row>
    <row r="700" spans="1:9" ht="47.25" x14ac:dyDescent="0.25">
      <c r="A700" s="370" t="s">
        <v>441</v>
      </c>
      <c r="B700" s="367">
        <v>906</v>
      </c>
      <c r="C700" s="371" t="s">
        <v>279</v>
      </c>
      <c r="D700" s="371" t="s">
        <v>230</v>
      </c>
      <c r="E700" s="371" t="s">
        <v>421</v>
      </c>
      <c r="F700" s="371"/>
      <c r="G700" s="44">
        <f>G701+G719</f>
        <v>34926.199999999997</v>
      </c>
      <c r="H700" s="44">
        <f>H701+H719</f>
        <v>34926.199999999997</v>
      </c>
      <c r="I700" s="222"/>
    </row>
    <row r="701" spans="1:9" ht="31.5" x14ac:dyDescent="0.25">
      <c r="A701" s="370" t="s">
        <v>422</v>
      </c>
      <c r="B701" s="367">
        <v>906</v>
      </c>
      <c r="C701" s="371" t="s">
        <v>279</v>
      </c>
      <c r="D701" s="371" t="s">
        <v>230</v>
      </c>
      <c r="E701" s="371" t="s">
        <v>423</v>
      </c>
      <c r="F701" s="371"/>
      <c r="G701" s="44">
        <f>G703+G706</f>
        <v>34237.199999999997</v>
      </c>
      <c r="H701" s="44">
        <f>H703+H706</f>
        <v>34237.199999999997</v>
      </c>
      <c r="I701" s="222"/>
    </row>
    <row r="702" spans="1:9" ht="31.5" x14ac:dyDescent="0.25">
      <c r="A702" s="370" t="s">
        <v>1026</v>
      </c>
      <c r="B702" s="367">
        <v>906</v>
      </c>
      <c r="C702" s="371" t="s">
        <v>279</v>
      </c>
      <c r="D702" s="371" t="s">
        <v>230</v>
      </c>
      <c r="E702" s="371" t="s">
        <v>1004</v>
      </c>
      <c r="F702" s="371"/>
      <c r="G702" s="44">
        <f t="shared" ref="G702:H704" si="53">G703</f>
        <v>32615</v>
      </c>
      <c r="H702" s="44">
        <f t="shared" si="53"/>
        <v>32615</v>
      </c>
      <c r="I702" s="222"/>
    </row>
    <row r="703" spans="1:9" ht="47.25" x14ac:dyDescent="0.25">
      <c r="A703" s="372" t="s">
        <v>285</v>
      </c>
      <c r="B703" s="366">
        <v>906</v>
      </c>
      <c r="C703" s="368" t="s">
        <v>279</v>
      </c>
      <c r="D703" s="368" t="s">
        <v>230</v>
      </c>
      <c r="E703" s="368" t="s">
        <v>1049</v>
      </c>
      <c r="F703" s="368"/>
      <c r="G703" s="373">
        <f t="shared" si="53"/>
        <v>32615</v>
      </c>
      <c r="H703" s="373">
        <f t="shared" si="53"/>
        <v>32615</v>
      </c>
      <c r="I703" s="222"/>
    </row>
    <row r="704" spans="1:9" ht="31.5" x14ac:dyDescent="0.25">
      <c r="A704" s="372" t="s">
        <v>287</v>
      </c>
      <c r="B704" s="366">
        <v>906</v>
      </c>
      <c r="C704" s="368" t="s">
        <v>279</v>
      </c>
      <c r="D704" s="368" t="s">
        <v>230</v>
      </c>
      <c r="E704" s="368" t="s">
        <v>1049</v>
      </c>
      <c r="F704" s="368" t="s">
        <v>288</v>
      </c>
      <c r="G704" s="373">
        <f t="shared" si="53"/>
        <v>32615</v>
      </c>
      <c r="H704" s="373">
        <f t="shared" si="53"/>
        <v>32615</v>
      </c>
      <c r="I704" s="222"/>
    </row>
    <row r="705" spans="1:9" ht="15.75" x14ac:dyDescent="0.25">
      <c r="A705" s="372" t="s">
        <v>289</v>
      </c>
      <c r="B705" s="366">
        <v>906</v>
      </c>
      <c r="C705" s="368" t="s">
        <v>279</v>
      </c>
      <c r="D705" s="368" t="s">
        <v>230</v>
      </c>
      <c r="E705" s="368" t="s">
        <v>1049</v>
      </c>
      <c r="F705" s="368" t="s">
        <v>290</v>
      </c>
      <c r="G705" s="373">
        <f>32615</f>
        <v>32615</v>
      </c>
      <c r="H705" s="373">
        <f t="shared" si="50"/>
        <v>32615</v>
      </c>
      <c r="I705" s="222"/>
    </row>
    <row r="706" spans="1:9" ht="47.25" x14ac:dyDescent="0.25">
      <c r="A706" s="370" t="s">
        <v>969</v>
      </c>
      <c r="B706" s="367">
        <v>906</v>
      </c>
      <c r="C706" s="371" t="s">
        <v>279</v>
      </c>
      <c r="D706" s="371" t="s">
        <v>230</v>
      </c>
      <c r="E706" s="371" t="s">
        <v>1019</v>
      </c>
      <c r="F706" s="371"/>
      <c r="G706" s="44">
        <f>G710+G713+G716+G707</f>
        <v>1622.1999999999998</v>
      </c>
      <c r="H706" s="44">
        <f>H710+H713+H716+H707</f>
        <v>1622.1999999999998</v>
      </c>
      <c r="I706" s="222"/>
    </row>
    <row r="707" spans="1:9" s="361" customFormat="1" ht="94.5" x14ac:dyDescent="0.25">
      <c r="A707" s="31" t="s">
        <v>308</v>
      </c>
      <c r="B707" s="366">
        <v>906</v>
      </c>
      <c r="C707" s="368" t="s">
        <v>279</v>
      </c>
      <c r="D707" s="368" t="s">
        <v>230</v>
      </c>
      <c r="E707" s="368" t="s">
        <v>1523</v>
      </c>
      <c r="F707" s="368"/>
      <c r="G707" s="374">
        <f>G708</f>
        <v>903.4</v>
      </c>
      <c r="H707" s="374">
        <f>H708</f>
        <v>903.4</v>
      </c>
      <c r="I707" s="362"/>
    </row>
    <row r="708" spans="1:9" s="361" customFormat="1" ht="31.5" x14ac:dyDescent="0.25">
      <c r="A708" s="372" t="s">
        <v>287</v>
      </c>
      <c r="B708" s="366">
        <v>906</v>
      </c>
      <c r="C708" s="368" t="s">
        <v>279</v>
      </c>
      <c r="D708" s="368" t="s">
        <v>230</v>
      </c>
      <c r="E708" s="368" t="s">
        <v>1523</v>
      </c>
      <c r="F708" s="368" t="s">
        <v>288</v>
      </c>
      <c r="G708" s="374">
        <f>G709</f>
        <v>903.4</v>
      </c>
      <c r="H708" s="374">
        <f>H709</f>
        <v>903.4</v>
      </c>
      <c r="I708" s="362"/>
    </row>
    <row r="709" spans="1:9" s="361" customFormat="1" ht="15.75" x14ac:dyDescent="0.25">
      <c r="A709" s="372" t="s">
        <v>289</v>
      </c>
      <c r="B709" s="366">
        <v>906</v>
      </c>
      <c r="C709" s="368" t="s">
        <v>279</v>
      </c>
      <c r="D709" s="368" t="s">
        <v>230</v>
      </c>
      <c r="E709" s="368" t="s">
        <v>1523</v>
      </c>
      <c r="F709" s="368" t="s">
        <v>290</v>
      </c>
      <c r="G709" s="374">
        <f>903.4</f>
        <v>903.4</v>
      </c>
      <c r="H709" s="374">
        <v>903.4</v>
      </c>
      <c r="I709" s="362"/>
    </row>
    <row r="710" spans="1:9" ht="63" x14ac:dyDescent="0.25">
      <c r="A710" s="31" t="s">
        <v>304</v>
      </c>
      <c r="B710" s="366">
        <v>906</v>
      </c>
      <c r="C710" s="368" t="s">
        <v>279</v>
      </c>
      <c r="D710" s="368" t="s">
        <v>230</v>
      </c>
      <c r="E710" s="368" t="s">
        <v>1018</v>
      </c>
      <c r="F710" s="368"/>
      <c r="G710" s="373">
        <f>G711</f>
        <v>169.3</v>
      </c>
      <c r="H710" s="373">
        <f>H711</f>
        <v>169.3</v>
      </c>
      <c r="I710" s="222"/>
    </row>
    <row r="711" spans="1:9" ht="31.5" x14ac:dyDescent="0.25">
      <c r="A711" s="372" t="s">
        <v>287</v>
      </c>
      <c r="B711" s="366">
        <v>906</v>
      </c>
      <c r="C711" s="368" t="s">
        <v>279</v>
      </c>
      <c r="D711" s="368" t="s">
        <v>230</v>
      </c>
      <c r="E711" s="368" t="s">
        <v>1018</v>
      </c>
      <c r="F711" s="368" t="s">
        <v>288</v>
      </c>
      <c r="G711" s="373">
        <f>G712</f>
        <v>169.3</v>
      </c>
      <c r="H711" s="373">
        <f>H712</f>
        <v>169.3</v>
      </c>
      <c r="I711" s="222"/>
    </row>
    <row r="712" spans="1:9" ht="15.75" x14ac:dyDescent="0.25">
      <c r="A712" s="372" t="s">
        <v>289</v>
      </c>
      <c r="B712" s="366">
        <v>906</v>
      </c>
      <c r="C712" s="368" t="s">
        <v>279</v>
      </c>
      <c r="D712" s="368" t="s">
        <v>230</v>
      </c>
      <c r="E712" s="368" t="s">
        <v>1018</v>
      </c>
      <c r="F712" s="368" t="s">
        <v>290</v>
      </c>
      <c r="G712" s="373">
        <f>169.3</f>
        <v>169.3</v>
      </c>
      <c r="H712" s="373">
        <f t="shared" si="50"/>
        <v>169.3</v>
      </c>
      <c r="I712" s="222"/>
    </row>
    <row r="713" spans="1:9" ht="63" x14ac:dyDescent="0.25">
      <c r="A713" s="31" t="s">
        <v>306</v>
      </c>
      <c r="B713" s="366">
        <v>906</v>
      </c>
      <c r="C713" s="368" t="s">
        <v>279</v>
      </c>
      <c r="D713" s="368" t="s">
        <v>230</v>
      </c>
      <c r="E713" s="368" t="s">
        <v>1021</v>
      </c>
      <c r="F713" s="368"/>
      <c r="G713" s="373">
        <f>G714</f>
        <v>549.5</v>
      </c>
      <c r="H713" s="373">
        <f>H714</f>
        <v>549.5</v>
      </c>
      <c r="I713" s="222"/>
    </row>
    <row r="714" spans="1:9" ht="31.5" x14ac:dyDescent="0.25">
      <c r="A714" s="372" t="s">
        <v>287</v>
      </c>
      <c r="B714" s="366">
        <v>906</v>
      </c>
      <c r="C714" s="368" t="s">
        <v>279</v>
      </c>
      <c r="D714" s="368" t="s">
        <v>230</v>
      </c>
      <c r="E714" s="368" t="s">
        <v>1021</v>
      </c>
      <c r="F714" s="368" t="s">
        <v>288</v>
      </c>
      <c r="G714" s="373">
        <f>G715</f>
        <v>549.5</v>
      </c>
      <c r="H714" s="373">
        <f>H715</f>
        <v>549.5</v>
      </c>
      <c r="I714" s="222"/>
    </row>
    <row r="715" spans="1:9" ht="15.75" x14ac:dyDescent="0.25">
      <c r="A715" s="372" t="s">
        <v>289</v>
      </c>
      <c r="B715" s="366">
        <v>906</v>
      </c>
      <c r="C715" s="368" t="s">
        <v>279</v>
      </c>
      <c r="D715" s="368" t="s">
        <v>230</v>
      </c>
      <c r="E715" s="368" t="s">
        <v>1021</v>
      </c>
      <c r="F715" s="368" t="s">
        <v>290</v>
      </c>
      <c r="G715" s="373">
        <f>549.5</f>
        <v>549.5</v>
      </c>
      <c r="H715" s="373">
        <f t="shared" si="50"/>
        <v>549.5</v>
      </c>
      <c r="I715" s="222"/>
    </row>
    <row r="716" spans="1:9" ht="94.5" hidden="1" x14ac:dyDescent="0.25">
      <c r="A716" s="31" t="s">
        <v>308</v>
      </c>
      <c r="B716" s="366">
        <v>906</v>
      </c>
      <c r="C716" s="368" t="s">
        <v>279</v>
      </c>
      <c r="D716" s="368" t="s">
        <v>230</v>
      </c>
      <c r="E716" s="368" t="s">
        <v>1022</v>
      </c>
      <c r="F716" s="368"/>
      <c r="G716" s="373">
        <f>G717</f>
        <v>0</v>
      </c>
      <c r="H716" s="373">
        <f>H717</f>
        <v>0</v>
      </c>
      <c r="I716" s="222"/>
    </row>
    <row r="717" spans="1:9" ht="31.5" hidden="1" x14ac:dyDescent="0.25">
      <c r="A717" s="372" t="s">
        <v>287</v>
      </c>
      <c r="B717" s="366">
        <v>906</v>
      </c>
      <c r="C717" s="368" t="s">
        <v>279</v>
      </c>
      <c r="D717" s="368" t="s">
        <v>230</v>
      </c>
      <c r="E717" s="368" t="s">
        <v>1022</v>
      </c>
      <c r="F717" s="368" t="s">
        <v>288</v>
      </c>
      <c r="G717" s="373">
        <f>G718</f>
        <v>0</v>
      </c>
      <c r="H717" s="373">
        <f>H718</f>
        <v>0</v>
      </c>
      <c r="I717" s="222"/>
    </row>
    <row r="718" spans="1:9" ht="15.75" hidden="1" x14ac:dyDescent="0.25">
      <c r="A718" s="372" t="s">
        <v>289</v>
      </c>
      <c r="B718" s="366">
        <v>906</v>
      </c>
      <c r="C718" s="368" t="s">
        <v>279</v>
      </c>
      <c r="D718" s="368" t="s">
        <v>230</v>
      </c>
      <c r="E718" s="368" t="s">
        <v>1022</v>
      </c>
      <c r="F718" s="368" t="s">
        <v>290</v>
      </c>
      <c r="G718" s="373"/>
      <c r="H718" s="373">
        <f t="shared" ref="H718:H785" si="54">G718</f>
        <v>0</v>
      </c>
      <c r="I718" s="222"/>
    </row>
    <row r="719" spans="1:9" ht="31.5" x14ac:dyDescent="0.25">
      <c r="A719" s="34" t="s">
        <v>719</v>
      </c>
      <c r="B719" s="367">
        <v>906</v>
      </c>
      <c r="C719" s="371" t="s">
        <v>279</v>
      </c>
      <c r="D719" s="371" t="s">
        <v>230</v>
      </c>
      <c r="E719" s="371" t="s">
        <v>462</v>
      </c>
      <c r="F719" s="371"/>
      <c r="G719" s="44">
        <f>G720+G724</f>
        <v>689</v>
      </c>
      <c r="H719" s="44">
        <f>H720+H724</f>
        <v>689</v>
      </c>
      <c r="I719" s="222"/>
    </row>
    <row r="720" spans="1:9" ht="31.5" hidden="1" x14ac:dyDescent="0.25">
      <c r="A720" s="370" t="s">
        <v>1050</v>
      </c>
      <c r="B720" s="367">
        <v>906</v>
      </c>
      <c r="C720" s="371" t="s">
        <v>279</v>
      </c>
      <c r="D720" s="371" t="s">
        <v>230</v>
      </c>
      <c r="E720" s="371" t="s">
        <v>1233</v>
      </c>
      <c r="F720" s="371"/>
      <c r="G720" s="44">
        <f>G721</f>
        <v>0</v>
      </c>
      <c r="H720" s="44">
        <f>H721</f>
        <v>0</v>
      </c>
      <c r="I720" s="222"/>
    </row>
    <row r="721" spans="1:9" ht="31.5" hidden="1" x14ac:dyDescent="0.25">
      <c r="A721" s="45" t="s">
        <v>787</v>
      </c>
      <c r="B721" s="366">
        <v>906</v>
      </c>
      <c r="C721" s="368" t="s">
        <v>279</v>
      </c>
      <c r="D721" s="368" t="s">
        <v>230</v>
      </c>
      <c r="E721" s="368" t="s">
        <v>1234</v>
      </c>
      <c r="F721" s="368"/>
      <c r="G721" s="373">
        <f>'Пр.4 ведом.20'!G733</f>
        <v>0</v>
      </c>
      <c r="H721" s="373">
        <f t="shared" si="54"/>
        <v>0</v>
      </c>
      <c r="I721" s="222"/>
    </row>
    <row r="722" spans="1:9" ht="31.5" hidden="1" x14ac:dyDescent="0.25">
      <c r="A722" s="31" t="s">
        <v>287</v>
      </c>
      <c r="B722" s="366">
        <v>906</v>
      </c>
      <c r="C722" s="368" t="s">
        <v>279</v>
      </c>
      <c r="D722" s="368" t="s">
        <v>230</v>
      </c>
      <c r="E722" s="368" t="s">
        <v>1234</v>
      </c>
      <c r="F722" s="368" t="s">
        <v>288</v>
      </c>
      <c r="G722" s="373">
        <f>'Пр.4 ведом.20'!G734</f>
        <v>0</v>
      </c>
      <c r="H722" s="373">
        <f t="shared" si="54"/>
        <v>0</v>
      </c>
      <c r="I722" s="222"/>
    </row>
    <row r="723" spans="1:9" ht="15.75" hidden="1" x14ac:dyDescent="0.25">
      <c r="A723" s="31" t="s">
        <v>289</v>
      </c>
      <c r="B723" s="366">
        <v>906</v>
      </c>
      <c r="C723" s="368" t="s">
        <v>279</v>
      </c>
      <c r="D723" s="368" t="s">
        <v>230</v>
      </c>
      <c r="E723" s="368" t="s">
        <v>1234</v>
      </c>
      <c r="F723" s="368" t="s">
        <v>290</v>
      </c>
      <c r="G723" s="373">
        <f>'Пр.4 ведом.20'!G735</f>
        <v>0</v>
      </c>
      <c r="H723" s="373">
        <f t="shared" si="54"/>
        <v>0</v>
      </c>
      <c r="I723" s="222"/>
    </row>
    <row r="724" spans="1:9" ht="31.5" x14ac:dyDescent="0.25">
      <c r="A724" s="246" t="s">
        <v>1075</v>
      </c>
      <c r="B724" s="367">
        <v>906</v>
      </c>
      <c r="C724" s="371" t="s">
        <v>279</v>
      </c>
      <c r="D724" s="371" t="s">
        <v>230</v>
      </c>
      <c r="E724" s="371" t="s">
        <v>1051</v>
      </c>
      <c r="F724" s="371"/>
      <c r="G724" s="44">
        <f t="shared" ref="G724:H726" si="55">G725</f>
        <v>689</v>
      </c>
      <c r="H724" s="44">
        <f t="shared" si="55"/>
        <v>689</v>
      </c>
      <c r="I724" s="222"/>
    </row>
    <row r="725" spans="1:9" ht="31.5" x14ac:dyDescent="0.25">
      <c r="A725" s="45" t="s">
        <v>785</v>
      </c>
      <c r="B725" s="366">
        <v>906</v>
      </c>
      <c r="C725" s="368" t="s">
        <v>279</v>
      </c>
      <c r="D725" s="368" t="s">
        <v>230</v>
      </c>
      <c r="E725" s="368" t="s">
        <v>1052</v>
      </c>
      <c r="F725" s="368"/>
      <c r="G725" s="373">
        <f t="shared" si="55"/>
        <v>689</v>
      </c>
      <c r="H725" s="373">
        <f t="shared" si="55"/>
        <v>689</v>
      </c>
      <c r="I725" s="222"/>
    </row>
    <row r="726" spans="1:9" ht="31.5" x14ac:dyDescent="0.25">
      <c r="A726" s="372" t="s">
        <v>287</v>
      </c>
      <c r="B726" s="366">
        <v>906</v>
      </c>
      <c r="C726" s="368" t="s">
        <v>279</v>
      </c>
      <c r="D726" s="368" t="s">
        <v>230</v>
      </c>
      <c r="E726" s="368" t="s">
        <v>1052</v>
      </c>
      <c r="F726" s="368" t="s">
        <v>288</v>
      </c>
      <c r="G726" s="373">
        <f t="shared" si="55"/>
        <v>689</v>
      </c>
      <c r="H726" s="373">
        <f t="shared" si="55"/>
        <v>689</v>
      </c>
      <c r="I726" s="222"/>
    </row>
    <row r="727" spans="1:9" ht="15.75" x14ac:dyDescent="0.25">
      <c r="A727" s="31" t="s">
        <v>289</v>
      </c>
      <c r="B727" s="366">
        <v>906</v>
      </c>
      <c r="C727" s="368" t="s">
        <v>279</v>
      </c>
      <c r="D727" s="368" t="s">
        <v>230</v>
      </c>
      <c r="E727" s="368" t="s">
        <v>1052</v>
      </c>
      <c r="F727" s="368" t="s">
        <v>290</v>
      </c>
      <c r="G727" s="373">
        <f>689</f>
        <v>689</v>
      </c>
      <c r="H727" s="373">
        <f t="shared" si="54"/>
        <v>689</v>
      </c>
      <c r="I727" s="222"/>
    </row>
    <row r="728" spans="1:9" ht="63" x14ac:dyDescent="0.25">
      <c r="A728" s="41" t="s">
        <v>1429</v>
      </c>
      <c r="B728" s="367">
        <v>906</v>
      </c>
      <c r="C728" s="371" t="s">
        <v>279</v>
      </c>
      <c r="D728" s="371" t="s">
        <v>230</v>
      </c>
      <c r="E728" s="371" t="s">
        <v>726</v>
      </c>
      <c r="F728" s="250"/>
      <c r="G728" s="44">
        <f>G730</f>
        <v>300.7</v>
      </c>
      <c r="H728" s="44">
        <f>H730</f>
        <v>300.7</v>
      </c>
      <c r="I728" s="222"/>
    </row>
    <row r="729" spans="1:9" ht="47.25" x14ac:dyDescent="0.25">
      <c r="A729" s="41" t="s">
        <v>947</v>
      </c>
      <c r="B729" s="367">
        <v>906</v>
      </c>
      <c r="C729" s="371" t="s">
        <v>279</v>
      </c>
      <c r="D729" s="371" t="s">
        <v>1053</v>
      </c>
      <c r="E729" s="371" t="s">
        <v>945</v>
      </c>
      <c r="F729" s="250"/>
      <c r="G729" s="44">
        <f t="shared" ref="G729:H731" si="56">G730</f>
        <v>300.7</v>
      </c>
      <c r="H729" s="44">
        <f t="shared" si="56"/>
        <v>300.7</v>
      </c>
      <c r="I729" s="222"/>
    </row>
    <row r="730" spans="1:9" ht="47.25" x14ac:dyDescent="0.25">
      <c r="A730" s="99" t="s">
        <v>801</v>
      </c>
      <c r="B730" s="366">
        <v>906</v>
      </c>
      <c r="C730" s="368" t="s">
        <v>279</v>
      </c>
      <c r="D730" s="368" t="s">
        <v>230</v>
      </c>
      <c r="E730" s="368" t="s">
        <v>1025</v>
      </c>
      <c r="F730" s="32"/>
      <c r="G730" s="373">
        <f t="shared" si="56"/>
        <v>300.7</v>
      </c>
      <c r="H730" s="373">
        <f t="shared" si="56"/>
        <v>300.7</v>
      </c>
      <c r="I730" s="222"/>
    </row>
    <row r="731" spans="1:9" ht="31.5" x14ac:dyDescent="0.25">
      <c r="A731" s="375" t="s">
        <v>287</v>
      </c>
      <c r="B731" s="366">
        <v>906</v>
      </c>
      <c r="C731" s="368" t="s">
        <v>279</v>
      </c>
      <c r="D731" s="368" t="s">
        <v>230</v>
      </c>
      <c r="E731" s="368" t="s">
        <v>1025</v>
      </c>
      <c r="F731" s="32" t="s">
        <v>288</v>
      </c>
      <c r="G731" s="373">
        <f t="shared" si="56"/>
        <v>300.7</v>
      </c>
      <c r="H731" s="373">
        <f t="shared" si="56"/>
        <v>300.7</v>
      </c>
      <c r="I731" s="222"/>
    </row>
    <row r="732" spans="1:9" ht="15.75" x14ac:dyDescent="0.25">
      <c r="A732" s="193" t="s">
        <v>289</v>
      </c>
      <c r="B732" s="366">
        <v>906</v>
      </c>
      <c r="C732" s="368" t="s">
        <v>279</v>
      </c>
      <c r="D732" s="368" t="s">
        <v>230</v>
      </c>
      <c r="E732" s="368" t="s">
        <v>1025</v>
      </c>
      <c r="F732" s="32" t="s">
        <v>290</v>
      </c>
      <c r="G732" s="373">
        <f>300.7</f>
        <v>300.7</v>
      </c>
      <c r="H732" s="373">
        <f t="shared" si="54"/>
        <v>300.7</v>
      </c>
      <c r="I732" s="222"/>
    </row>
    <row r="733" spans="1:9" ht="15.75" x14ac:dyDescent="0.25">
      <c r="A733" s="370" t="s">
        <v>481</v>
      </c>
      <c r="B733" s="367">
        <v>906</v>
      </c>
      <c r="C733" s="371" t="s">
        <v>279</v>
      </c>
      <c r="D733" s="371" t="s">
        <v>279</v>
      </c>
      <c r="E733" s="371"/>
      <c r="F733" s="371"/>
      <c r="G733" s="369">
        <f>G734</f>
        <v>5804.9</v>
      </c>
      <c r="H733" s="369">
        <f>H734</f>
        <v>5804.9</v>
      </c>
      <c r="I733" s="222"/>
    </row>
    <row r="734" spans="1:9" ht="47.25" x14ac:dyDescent="0.25">
      <c r="A734" s="370" t="s">
        <v>1435</v>
      </c>
      <c r="B734" s="367">
        <v>906</v>
      </c>
      <c r="C734" s="371" t="s">
        <v>279</v>
      </c>
      <c r="D734" s="371" t="s">
        <v>279</v>
      </c>
      <c r="E734" s="371" t="s">
        <v>421</v>
      </c>
      <c r="F734" s="371"/>
      <c r="G734" s="369">
        <f t="shared" ref="G734:H734" si="57">G735</f>
        <v>5804.9</v>
      </c>
      <c r="H734" s="369">
        <f t="shared" si="57"/>
        <v>5804.9</v>
      </c>
      <c r="I734" s="222"/>
    </row>
    <row r="735" spans="1:9" ht="31.5" x14ac:dyDescent="0.25">
      <c r="A735" s="370" t="s">
        <v>482</v>
      </c>
      <c r="B735" s="367">
        <v>906</v>
      </c>
      <c r="C735" s="371" t="s">
        <v>279</v>
      </c>
      <c r="D735" s="371" t="s">
        <v>483</v>
      </c>
      <c r="E735" s="371" t="s">
        <v>484</v>
      </c>
      <c r="F735" s="371"/>
      <c r="G735" s="369">
        <f>G736</f>
        <v>5804.9</v>
      </c>
      <c r="H735" s="369">
        <f>H736</f>
        <v>5804.9</v>
      </c>
      <c r="I735" s="222"/>
    </row>
    <row r="736" spans="1:9" ht="31.5" x14ac:dyDescent="0.25">
      <c r="A736" s="370" t="s">
        <v>1054</v>
      </c>
      <c r="B736" s="367">
        <v>906</v>
      </c>
      <c r="C736" s="371" t="s">
        <v>279</v>
      </c>
      <c r="D736" s="371" t="s">
        <v>279</v>
      </c>
      <c r="E736" s="371" t="s">
        <v>1055</v>
      </c>
      <c r="F736" s="371"/>
      <c r="G736" s="369">
        <f>G737+G740</f>
        <v>5804.9</v>
      </c>
      <c r="H736" s="369">
        <f>H737+H740</f>
        <v>5804.9</v>
      </c>
      <c r="I736" s="222"/>
    </row>
    <row r="737" spans="1:9" ht="31.5" x14ac:dyDescent="0.25">
      <c r="A737" s="31" t="s">
        <v>1235</v>
      </c>
      <c r="B737" s="366">
        <v>906</v>
      </c>
      <c r="C737" s="368" t="s">
        <v>279</v>
      </c>
      <c r="D737" s="368" t="s">
        <v>279</v>
      </c>
      <c r="E737" s="368" t="s">
        <v>1056</v>
      </c>
      <c r="F737" s="368"/>
      <c r="G737" s="373">
        <f>G738</f>
        <v>3584</v>
      </c>
      <c r="H737" s="373">
        <f>H738</f>
        <v>3584</v>
      </c>
      <c r="I737" s="222"/>
    </row>
    <row r="738" spans="1:9" ht="31.5" x14ac:dyDescent="0.25">
      <c r="A738" s="372" t="s">
        <v>287</v>
      </c>
      <c r="B738" s="366">
        <v>906</v>
      </c>
      <c r="C738" s="368" t="s">
        <v>279</v>
      </c>
      <c r="D738" s="368" t="s">
        <v>279</v>
      </c>
      <c r="E738" s="368" t="s">
        <v>1056</v>
      </c>
      <c r="F738" s="368" t="s">
        <v>288</v>
      </c>
      <c r="G738" s="373">
        <f>G739</f>
        <v>3584</v>
      </c>
      <c r="H738" s="373">
        <f>H739</f>
        <v>3584</v>
      </c>
      <c r="I738" s="222"/>
    </row>
    <row r="739" spans="1:9" ht="15.75" x14ac:dyDescent="0.25">
      <c r="A739" s="372" t="s">
        <v>289</v>
      </c>
      <c r="B739" s="366">
        <v>906</v>
      </c>
      <c r="C739" s="368" t="s">
        <v>279</v>
      </c>
      <c r="D739" s="368" t="s">
        <v>279</v>
      </c>
      <c r="E739" s="368" t="s">
        <v>1056</v>
      </c>
      <c r="F739" s="368" t="s">
        <v>290</v>
      </c>
      <c r="G739" s="373">
        <f>3584</f>
        <v>3584</v>
      </c>
      <c r="H739" s="373">
        <f t="shared" si="54"/>
        <v>3584</v>
      </c>
      <c r="I739" s="222"/>
    </row>
    <row r="740" spans="1:9" ht="31.5" x14ac:dyDescent="0.25">
      <c r="A740" s="31" t="s">
        <v>1459</v>
      </c>
      <c r="B740" s="366">
        <v>906</v>
      </c>
      <c r="C740" s="368" t="s">
        <v>279</v>
      </c>
      <c r="D740" s="368" t="s">
        <v>279</v>
      </c>
      <c r="E740" s="368" t="s">
        <v>1057</v>
      </c>
      <c r="F740" s="368"/>
      <c r="G740" s="373">
        <f>G741</f>
        <v>2220.9</v>
      </c>
      <c r="H740" s="373">
        <f>H741</f>
        <v>2220.9</v>
      </c>
      <c r="I740" s="222"/>
    </row>
    <row r="741" spans="1:9" ht="31.5" x14ac:dyDescent="0.25">
      <c r="A741" s="372" t="s">
        <v>287</v>
      </c>
      <c r="B741" s="366">
        <v>906</v>
      </c>
      <c r="C741" s="368" t="s">
        <v>279</v>
      </c>
      <c r="D741" s="368" t="s">
        <v>279</v>
      </c>
      <c r="E741" s="368" t="s">
        <v>1057</v>
      </c>
      <c r="F741" s="368" t="s">
        <v>288</v>
      </c>
      <c r="G741" s="373">
        <f>G742</f>
        <v>2220.9</v>
      </c>
      <c r="H741" s="373">
        <f>H742</f>
        <v>2220.9</v>
      </c>
      <c r="I741" s="222"/>
    </row>
    <row r="742" spans="1:9" ht="15.75" x14ac:dyDescent="0.25">
      <c r="A742" s="372" t="s">
        <v>289</v>
      </c>
      <c r="B742" s="366">
        <v>906</v>
      </c>
      <c r="C742" s="368" t="s">
        <v>279</v>
      </c>
      <c r="D742" s="368" t="s">
        <v>279</v>
      </c>
      <c r="E742" s="368" t="s">
        <v>1057</v>
      </c>
      <c r="F742" s="368" t="s">
        <v>290</v>
      </c>
      <c r="G742" s="373">
        <v>2220.9</v>
      </c>
      <c r="H742" s="373">
        <f t="shared" si="54"/>
        <v>2220.9</v>
      </c>
      <c r="I742" s="222"/>
    </row>
    <row r="743" spans="1:9" ht="15.75" x14ac:dyDescent="0.25">
      <c r="A743" s="370" t="s">
        <v>310</v>
      </c>
      <c r="B743" s="367">
        <v>906</v>
      </c>
      <c r="C743" s="371" t="s">
        <v>279</v>
      </c>
      <c r="D743" s="371" t="s">
        <v>234</v>
      </c>
      <c r="E743" s="371"/>
      <c r="F743" s="371"/>
      <c r="G743" s="369">
        <f>G744+G754</f>
        <v>19830</v>
      </c>
      <c r="H743" s="369">
        <f>H744+H754</f>
        <v>19830</v>
      </c>
      <c r="I743" s="222"/>
    </row>
    <row r="744" spans="1:9" ht="31.5" x14ac:dyDescent="0.25">
      <c r="A744" s="370" t="s">
        <v>988</v>
      </c>
      <c r="B744" s="367">
        <v>906</v>
      </c>
      <c r="C744" s="371" t="s">
        <v>279</v>
      </c>
      <c r="D744" s="371" t="s">
        <v>234</v>
      </c>
      <c r="E744" s="371" t="s">
        <v>902</v>
      </c>
      <c r="F744" s="371"/>
      <c r="G744" s="369">
        <f>G745</f>
        <v>5585</v>
      </c>
      <c r="H744" s="369">
        <f>H745</f>
        <v>5585</v>
      </c>
      <c r="I744" s="222"/>
    </row>
    <row r="745" spans="1:9" ht="15.75" x14ac:dyDescent="0.25">
      <c r="A745" s="370" t="s">
        <v>989</v>
      </c>
      <c r="B745" s="367">
        <v>906</v>
      </c>
      <c r="C745" s="371" t="s">
        <v>279</v>
      </c>
      <c r="D745" s="371" t="s">
        <v>234</v>
      </c>
      <c r="E745" s="371" t="s">
        <v>903</v>
      </c>
      <c r="F745" s="371"/>
      <c r="G745" s="369">
        <f>G746+G751</f>
        <v>5585</v>
      </c>
      <c r="H745" s="369">
        <f>H746+H751</f>
        <v>5585</v>
      </c>
      <c r="I745" s="222"/>
    </row>
    <row r="746" spans="1:9" ht="31.5" x14ac:dyDescent="0.25">
      <c r="A746" s="372" t="s">
        <v>965</v>
      </c>
      <c r="B746" s="366">
        <v>906</v>
      </c>
      <c r="C746" s="368" t="s">
        <v>279</v>
      </c>
      <c r="D746" s="368" t="s">
        <v>234</v>
      </c>
      <c r="E746" s="368" t="s">
        <v>904</v>
      </c>
      <c r="F746" s="368"/>
      <c r="G746" s="373">
        <f>G747+G749</f>
        <v>5459</v>
      </c>
      <c r="H746" s="373">
        <f>H747+H749</f>
        <v>5459</v>
      </c>
      <c r="I746" s="222"/>
    </row>
    <row r="747" spans="1:9" ht="78.75" x14ac:dyDescent="0.25">
      <c r="A747" s="372" t="s">
        <v>142</v>
      </c>
      <c r="B747" s="366">
        <v>906</v>
      </c>
      <c r="C747" s="368" t="s">
        <v>279</v>
      </c>
      <c r="D747" s="368" t="s">
        <v>234</v>
      </c>
      <c r="E747" s="368" t="s">
        <v>904</v>
      </c>
      <c r="F747" s="368" t="s">
        <v>143</v>
      </c>
      <c r="G747" s="373">
        <f>G748</f>
        <v>5247</v>
      </c>
      <c r="H747" s="373">
        <f>H748</f>
        <v>5247</v>
      </c>
      <c r="I747" s="222"/>
    </row>
    <row r="748" spans="1:9" ht="31.5" x14ac:dyDescent="0.25">
      <c r="A748" s="372" t="s">
        <v>144</v>
      </c>
      <c r="B748" s="366">
        <v>906</v>
      </c>
      <c r="C748" s="368" t="s">
        <v>279</v>
      </c>
      <c r="D748" s="368" t="s">
        <v>234</v>
      </c>
      <c r="E748" s="368" t="s">
        <v>904</v>
      </c>
      <c r="F748" s="368" t="s">
        <v>145</v>
      </c>
      <c r="G748" s="373">
        <f>5247</f>
        <v>5247</v>
      </c>
      <c r="H748" s="373">
        <f t="shared" si="54"/>
        <v>5247</v>
      </c>
      <c r="I748" s="222"/>
    </row>
    <row r="749" spans="1:9" ht="31.5" x14ac:dyDescent="0.25">
      <c r="A749" s="372" t="s">
        <v>146</v>
      </c>
      <c r="B749" s="366">
        <v>906</v>
      </c>
      <c r="C749" s="368" t="s">
        <v>279</v>
      </c>
      <c r="D749" s="368" t="s">
        <v>234</v>
      </c>
      <c r="E749" s="368" t="s">
        <v>904</v>
      </c>
      <c r="F749" s="368" t="s">
        <v>147</v>
      </c>
      <c r="G749" s="373">
        <f>G750</f>
        <v>212</v>
      </c>
      <c r="H749" s="373">
        <f>H750</f>
        <v>212</v>
      </c>
      <c r="I749" s="222"/>
    </row>
    <row r="750" spans="1:9" ht="31.5" x14ac:dyDescent="0.25">
      <c r="A750" s="372" t="s">
        <v>148</v>
      </c>
      <c r="B750" s="366">
        <v>906</v>
      </c>
      <c r="C750" s="368" t="s">
        <v>279</v>
      </c>
      <c r="D750" s="368" t="s">
        <v>234</v>
      </c>
      <c r="E750" s="368" t="s">
        <v>904</v>
      </c>
      <c r="F750" s="368" t="s">
        <v>149</v>
      </c>
      <c r="G750" s="373">
        <f>212</f>
        <v>212</v>
      </c>
      <c r="H750" s="373">
        <f t="shared" si="54"/>
        <v>212</v>
      </c>
      <c r="I750" s="222"/>
    </row>
    <row r="751" spans="1:9" ht="47.25" x14ac:dyDescent="0.25">
      <c r="A751" s="372" t="s">
        <v>883</v>
      </c>
      <c r="B751" s="366">
        <v>906</v>
      </c>
      <c r="C751" s="368" t="s">
        <v>279</v>
      </c>
      <c r="D751" s="368" t="s">
        <v>234</v>
      </c>
      <c r="E751" s="368" t="s">
        <v>906</v>
      </c>
      <c r="F751" s="368"/>
      <c r="G751" s="373">
        <f>G752</f>
        <v>126</v>
      </c>
      <c r="H751" s="373">
        <f>H752</f>
        <v>126</v>
      </c>
      <c r="I751" s="222"/>
    </row>
    <row r="752" spans="1:9" ht="78.75" x14ac:dyDescent="0.25">
      <c r="A752" s="372" t="s">
        <v>142</v>
      </c>
      <c r="B752" s="366">
        <v>906</v>
      </c>
      <c r="C752" s="368" t="s">
        <v>279</v>
      </c>
      <c r="D752" s="368" t="s">
        <v>234</v>
      </c>
      <c r="E752" s="368" t="s">
        <v>906</v>
      </c>
      <c r="F752" s="368" t="s">
        <v>143</v>
      </c>
      <c r="G752" s="373">
        <f>G753</f>
        <v>126</v>
      </c>
      <c r="H752" s="373">
        <f>H753</f>
        <v>126</v>
      </c>
      <c r="I752" s="222"/>
    </row>
    <row r="753" spans="1:9" ht="31.5" x14ac:dyDescent="0.25">
      <c r="A753" s="372" t="s">
        <v>144</v>
      </c>
      <c r="B753" s="366">
        <v>906</v>
      </c>
      <c r="C753" s="368" t="s">
        <v>279</v>
      </c>
      <c r="D753" s="368" t="s">
        <v>234</v>
      </c>
      <c r="E753" s="368" t="s">
        <v>906</v>
      </c>
      <c r="F753" s="368" t="s">
        <v>145</v>
      </c>
      <c r="G753" s="373">
        <f>126</f>
        <v>126</v>
      </c>
      <c r="H753" s="373">
        <f t="shared" si="54"/>
        <v>126</v>
      </c>
      <c r="I753" s="222"/>
    </row>
    <row r="754" spans="1:9" ht="15.75" x14ac:dyDescent="0.25">
      <c r="A754" s="370" t="s">
        <v>156</v>
      </c>
      <c r="B754" s="367">
        <v>906</v>
      </c>
      <c r="C754" s="371" t="s">
        <v>279</v>
      </c>
      <c r="D754" s="371" t="s">
        <v>234</v>
      </c>
      <c r="E754" s="371" t="s">
        <v>910</v>
      </c>
      <c r="F754" s="371"/>
      <c r="G754" s="369">
        <f>G755+G759</f>
        <v>14245</v>
      </c>
      <c r="H754" s="369">
        <f>H755+H759</f>
        <v>14245</v>
      </c>
      <c r="I754" s="222"/>
    </row>
    <row r="755" spans="1:9" ht="31.5" x14ac:dyDescent="0.25">
      <c r="A755" s="370" t="s">
        <v>914</v>
      </c>
      <c r="B755" s="367">
        <v>906</v>
      </c>
      <c r="C755" s="371" t="s">
        <v>279</v>
      </c>
      <c r="D755" s="371" t="s">
        <v>234</v>
      </c>
      <c r="E755" s="371" t="s">
        <v>909</v>
      </c>
      <c r="F755" s="371"/>
      <c r="G755" s="369">
        <f t="shared" ref="G755:H757" si="58">G756</f>
        <v>300</v>
      </c>
      <c r="H755" s="369">
        <f t="shared" si="58"/>
        <v>300</v>
      </c>
      <c r="I755" s="222"/>
    </row>
    <row r="756" spans="1:9" ht="15.75" x14ac:dyDescent="0.25">
      <c r="A756" s="372" t="s">
        <v>493</v>
      </c>
      <c r="B756" s="366">
        <v>906</v>
      </c>
      <c r="C756" s="368" t="s">
        <v>279</v>
      </c>
      <c r="D756" s="368" t="s">
        <v>234</v>
      </c>
      <c r="E756" s="368" t="s">
        <v>1058</v>
      </c>
      <c r="F756" s="368"/>
      <c r="G756" s="373">
        <f t="shared" si="58"/>
        <v>300</v>
      </c>
      <c r="H756" s="373">
        <f t="shared" si="58"/>
        <v>300</v>
      </c>
      <c r="I756" s="222"/>
    </row>
    <row r="757" spans="1:9" ht="31.5" x14ac:dyDescent="0.25">
      <c r="A757" s="372" t="s">
        <v>146</v>
      </c>
      <c r="B757" s="366">
        <v>906</v>
      </c>
      <c r="C757" s="368" t="s">
        <v>279</v>
      </c>
      <c r="D757" s="368" t="s">
        <v>234</v>
      </c>
      <c r="E757" s="368" t="s">
        <v>1058</v>
      </c>
      <c r="F757" s="368" t="s">
        <v>147</v>
      </c>
      <c r="G757" s="373">
        <f t="shared" si="58"/>
        <v>300</v>
      </c>
      <c r="H757" s="373">
        <f t="shared" si="58"/>
        <v>300</v>
      </c>
      <c r="I757" s="222"/>
    </row>
    <row r="758" spans="1:9" ht="31.5" x14ac:dyDescent="0.25">
      <c r="A758" s="372" t="s">
        <v>148</v>
      </c>
      <c r="B758" s="366">
        <v>906</v>
      </c>
      <c r="C758" s="368" t="s">
        <v>279</v>
      </c>
      <c r="D758" s="368" t="s">
        <v>234</v>
      </c>
      <c r="E758" s="368" t="s">
        <v>1058</v>
      </c>
      <c r="F758" s="368" t="s">
        <v>149</v>
      </c>
      <c r="G758" s="373">
        <f>300</f>
        <v>300</v>
      </c>
      <c r="H758" s="373">
        <f t="shared" si="54"/>
        <v>300</v>
      </c>
      <c r="I758" s="222"/>
    </row>
    <row r="759" spans="1:9" ht="31.5" x14ac:dyDescent="0.25">
      <c r="A759" s="370" t="s">
        <v>1000</v>
      </c>
      <c r="B759" s="367">
        <v>906</v>
      </c>
      <c r="C759" s="371" t="s">
        <v>279</v>
      </c>
      <c r="D759" s="371" t="s">
        <v>234</v>
      </c>
      <c r="E759" s="371" t="s">
        <v>985</v>
      </c>
      <c r="F759" s="371"/>
      <c r="G759" s="369">
        <f>G760+G767</f>
        <v>13945</v>
      </c>
      <c r="H759" s="369">
        <f>H760+H767</f>
        <v>13945</v>
      </c>
      <c r="I759" s="222"/>
    </row>
    <row r="760" spans="1:9" ht="31.5" x14ac:dyDescent="0.25">
      <c r="A760" s="372" t="s">
        <v>1280</v>
      </c>
      <c r="B760" s="366">
        <v>906</v>
      </c>
      <c r="C760" s="368" t="s">
        <v>279</v>
      </c>
      <c r="D760" s="368" t="s">
        <v>234</v>
      </c>
      <c r="E760" s="368" t="s">
        <v>986</v>
      </c>
      <c r="F760" s="368"/>
      <c r="G760" s="373">
        <f>G761+G763+G765</f>
        <v>13609</v>
      </c>
      <c r="H760" s="373">
        <f>H761+H763+H765</f>
        <v>13609</v>
      </c>
      <c r="I760" s="222"/>
    </row>
    <row r="761" spans="1:9" ht="78.75" x14ac:dyDescent="0.25">
      <c r="A761" s="372" t="s">
        <v>142</v>
      </c>
      <c r="B761" s="366">
        <v>906</v>
      </c>
      <c r="C761" s="368" t="s">
        <v>279</v>
      </c>
      <c r="D761" s="368" t="s">
        <v>234</v>
      </c>
      <c r="E761" s="368" t="s">
        <v>986</v>
      </c>
      <c r="F761" s="368" t="s">
        <v>143</v>
      </c>
      <c r="G761" s="373">
        <f>G762</f>
        <v>12517</v>
      </c>
      <c r="H761" s="373">
        <f t="shared" si="54"/>
        <v>12517</v>
      </c>
      <c r="I761" s="222"/>
    </row>
    <row r="762" spans="1:9" ht="31.5" x14ac:dyDescent="0.25">
      <c r="A762" s="372" t="s">
        <v>357</v>
      </c>
      <c r="B762" s="366">
        <v>906</v>
      </c>
      <c r="C762" s="368" t="s">
        <v>279</v>
      </c>
      <c r="D762" s="368" t="s">
        <v>234</v>
      </c>
      <c r="E762" s="368" t="s">
        <v>986</v>
      </c>
      <c r="F762" s="368" t="s">
        <v>224</v>
      </c>
      <c r="G762" s="373">
        <f>12517</f>
        <v>12517</v>
      </c>
      <c r="H762" s="373">
        <f t="shared" si="54"/>
        <v>12517</v>
      </c>
      <c r="I762" s="222"/>
    </row>
    <row r="763" spans="1:9" ht="31.5" x14ac:dyDescent="0.25">
      <c r="A763" s="372" t="s">
        <v>146</v>
      </c>
      <c r="B763" s="366">
        <v>906</v>
      </c>
      <c r="C763" s="368" t="s">
        <v>279</v>
      </c>
      <c r="D763" s="368" t="s">
        <v>234</v>
      </c>
      <c r="E763" s="368" t="s">
        <v>986</v>
      </c>
      <c r="F763" s="368" t="s">
        <v>147</v>
      </c>
      <c r="G763" s="373">
        <f>G764</f>
        <v>1077</v>
      </c>
      <c r="H763" s="373">
        <f t="shared" si="54"/>
        <v>1077</v>
      </c>
      <c r="I763" s="222"/>
    </row>
    <row r="764" spans="1:9" ht="31.5" x14ac:dyDescent="0.25">
      <c r="A764" s="372" t="s">
        <v>148</v>
      </c>
      <c r="B764" s="366">
        <v>906</v>
      </c>
      <c r="C764" s="368" t="s">
        <v>279</v>
      </c>
      <c r="D764" s="368" t="s">
        <v>234</v>
      </c>
      <c r="E764" s="368" t="s">
        <v>986</v>
      </c>
      <c r="F764" s="368" t="s">
        <v>149</v>
      </c>
      <c r="G764" s="373">
        <f>1077</f>
        <v>1077</v>
      </c>
      <c r="H764" s="373">
        <f t="shared" si="54"/>
        <v>1077</v>
      </c>
      <c r="I764" s="222"/>
    </row>
    <row r="765" spans="1:9" ht="15.75" x14ac:dyDescent="0.25">
      <c r="A765" s="372" t="s">
        <v>150</v>
      </c>
      <c r="B765" s="366">
        <v>906</v>
      </c>
      <c r="C765" s="368" t="s">
        <v>279</v>
      </c>
      <c r="D765" s="368" t="s">
        <v>234</v>
      </c>
      <c r="E765" s="368" t="s">
        <v>986</v>
      </c>
      <c r="F765" s="368" t="s">
        <v>160</v>
      </c>
      <c r="G765" s="373">
        <f>G766</f>
        <v>15</v>
      </c>
      <c r="H765" s="373">
        <f t="shared" si="54"/>
        <v>15</v>
      </c>
      <c r="I765" s="222"/>
    </row>
    <row r="766" spans="1:9" ht="15.75" x14ac:dyDescent="0.25">
      <c r="A766" s="372" t="s">
        <v>583</v>
      </c>
      <c r="B766" s="366">
        <v>906</v>
      </c>
      <c r="C766" s="368" t="s">
        <v>279</v>
      </c>
      <c r="D766" s="368" t="s">
        <v>234</v>
      </c>
      <c r="E766" s="368" t="s">
        <v>986</v>
      </c>
      <c r="F766" s="368" t="s">
        <v>153</v>
      </c>
      <c r="G766" s="373">
        <f>15</f>
        <v>15</v>
      </c>
      <c r="H766" s="373">
        <f t="shared" si="54"/>
        <v>15</v>
      </c>
      <c r="I766" s="222"/>
    </row>
    <row r="767" spans="1:9" ht="47.25" x14ac:dyDescent="0.25">
      <c r="A767" s="372" t="s">
        <v>883</v>
      </c>
      <c r="B767" s="366">
        <v>906</v>
      </c>
      <c r="C767" s="368" t="s">
        <v>279</v>
      </c>
      <c r="D767" s="368" t="s">
        <v>234</v>
      </c>
      <c r="E767" s="368" t="s">
        <v>987</v>
      </c>
      <c r="F767" s="368"/>
      <c r="G767" s="373">
        <f>G768</f>
        <v>336</v>
      </c>
      <c r="H767" s="373">
        <f>H768</f>
        <v>336</v>
      </c>
      <c r="I767" s="222"/>
    </row>
    <row r="768" spans="1:9" ht="78.75" x14ac:dyDescent="0.25">
      <c r="A768" s="372" t="s">
        <v>142</v>
      </c>
      <c r="B768" s="366">
        <v>906</v>
      </c>
      <c r="C768" s="368" t="s">
        <v>279</v>
      </c>
      <c r="D768" s="368" t="s">
        <v>234</v>
      </c>
      <c r="E768" s="368" t="s">
        <v>987</v>
      </c>
      <c r="F768" s="368" t="s">
        <v>143</v>
      </c>
      <c r="G768" s="373">
        <f>G769</f>
        <v>336</v>
      </c>
      <c r="H768" s="373">
        <f>H769</f>
        <v>336</v>
      </c>
      <c r="I768" s="222"/>
    </row>
    <row r="769" spans="1:9" ht="31.5" x14ac:dyDescent="0.25">
      <c r="A769" s="372" t="s">
        <v>357</v>
      </c>
      <c r="B769" s="366">
        <v>906</v>
      </c>
      <c r="C769" s="368" t="s">
        <v>279</v>
      </c>
      <c r="D769" s="368" t="s">
        <v>234</v>
      </c>
      <c r="E769" s="368" t="s">
        <v>987</v>
      </c>
      <c r="F769" s="368" t="s">
        <v>224</v>
      </c>
      <c r="G769" s="373">
        <f>336</f>
        <v>336</v>
      </c>
      <c r="H769" s="373">
        <f t="shared" si="54"/>
        <v>336</v>
      </c>
      <c r="I769" s="222"/>
    </row>
    <row r="770" spans="1:9" ht="31.5" x14ac:dyDescent="0.25">
      <c r="A770" s="367" t="s">
        <v>495</v>
      </c>
      <c r="B770" s="367">
        <v>907</v>
      </c>
      <c r="C770" s="368"/>
      <c r="D770" s="368"/>
      <c r="E770" s="368"/>
      <c r="F770" s="368"/>
      <c r="G770" s="369">
        <f>G778+G771</f>
        <v>58553.599999999999</v>
      </c>
      <c r="H770" s="369">
        <f>H778+H771</f>
        <v>58553.599999999999</v>
      </c>
      <c r="I770" s="222"/>
    </row>
    <row r="771" spans="1:9" s="221" customFormat="1" ht="15.75" x14ac:dyDescent="0.25">
      <c r="A771" s="370" t="s">
        <v>132</v>
      </c>
      <c r="B771" s="367">
        <v>907</v>
      </c>
      <c r="C771" s="371" t="s">
        <v>133</v>
      </c>
      <c r="D771" s="371"/>
      <c r="E771" s="371"/>
      <c r="F771" s="371"/>
      <c r="G771" s="369">
        <f t="shared" ref="G771:H772" si="59">G772</f>
        <v>70</v>
      </c>
      <c r="H771" s="369">
        <f t="shared" si="59"/>
        <v>70</v>
      </c>
      <c r="I771" s="222"/>
    </row>
    <row r="772" spans="1:9" s="221" customFormat="1" ht="15.75" x14ac:dyDescent="0.25">
      <c r="A772" s="34" t="s">
        <v>154</v>
      </c>
      <c r="B772" s="367">
        <v>907</v>
      </c>
      <c r="C772" s="371" t="s">
        <v>133</v>
      </c>
      <c r="D772" s="371" t="s">
        <v>155</v>
      </c>
      <c r="E772" s="371"/>
      <c r="F772" s="371"/>
      <c r="G772" s="369">
        <f t="shared" si="59"/>
        <v>70</v>
      </c>
      <c r="H772" s="369">
        <f t="shared" si="59"/>
        <v>70</v>
      </c>
      <c r="I772" s="222"/>
    </row>
    <row r="773" spans="1:9" s="221" customFormat="1" ht="47.25" x14ac:dyDescent="0.25">
      <c r="A773" s="370" t="s">
        <v>1428</v>
      </c>
      <c r="B773" s="367">
        <v>907</v>
      </c>
      <c r="C773" s="371" t="s">
        <v>133</v>
      </c>
      <c r="D773" s="371" t="s">
        <v>155</v>
      </c>
      <c r="E773" s="371" t="s">
        <v>350</v>
      </c>
      <c r="F773" s="371"/>
      <c r="G773" s="369">
        <f t="shared" ref="G773:H776" si="60">G774</f>
        <v>70</v>
      </c>
      <c r="H773" s="369">
        <f t="shared" si="60"/>
        <v>70</v>
      </c>
      <c r="I773" s="222"/>
    </row>
    <row r="774" spans="1:9" s="221" customFormat="1" ht="31.5" x14ac:dyDescent="0.25">
      <c r="A774" s="240" t="s">
        <v>1225</v>
      </c>
      <c r="B774" s="367">
        <v>907</v>
      </c>
      <c r="C774" s="371" t="s">
        <v>133</v>
      </c>
      <c r="D774" s="371" t="s">
        <v>155</v>
      </c>
      <c r="E774" s="371" t="s">
        <v>1226</v>
      </c>
      <c r="F774" s="371"/>
      <c r="G774" s="369">
        <f t="shared" si="60"/>
        <v>70</v>
      </c>
      <c r="H774" s="369">
        <f t="shared" si="60"/>
        <v>70</v>
      </c>
      <c r="I774" s="222"/>
    </row>
    <row r="775" spans="1:9" s="221" customFormat="1" ht="31.5" x14ac:dyDescent="0.25">
      <c r="A775" s="98" t="s">
        <v>351</v>
      </c>
      <c r="B775" s="366">
        <v>907</v>
      </c>
      <c r="C775" s="368" t="s">
        <v>133</v>
      </c>
      <c r="D775" s="368" t="s">
        <v>155</v>
      </c>
      <c r="E775" s="368" t="s">
        <v>1227</v>
      </c>
      <c r="F775" s="368"/>
      <c r="G775" s="373">
        <f t="shared" si="60"/>
        <v>70</v>
      </c>
      <c r="H775" s="373">
        <f t="shared" si="60"/>
        <v>70</v>
      </c>
      <c r="I775" s="222"/>
    </row>
    <row r="776" spans="1:9" s="221" customFormat="1" ht="31.5" x14ac:dyDescent="0.25">
      <c r="A776" s="372" t="s">
        <v>146</v>
      </c>
      <c r="B776" s="366">
        <v>907</v>
      </c>
      <c r="C776" s="368" t="s">
        <v>133</v>
      </c>
      <c r="D776" s="368" t="s">
        <v>155</v>
      </c>
      <c r="E776" s="368" t="s">
        <v>1227</v>
      </c>
      <c r="F776" s="368" t="s">
        <v>147</v>
      </c>
      <c r="G776" s="373">
        <f t="shared" si="60"/>
        <v>70</v>
      </c>
      <c r="H776" s="373">
        <f t="shared" si="60"/>
        <v>70</v>
      </c>
      <c r="I776" s="222"/>
    </row>
    <row r="777" spans="1:9" s="221" customFormat="1" ht="31.5" x14ac:dyDescent="0.25">
      <c r="A777" s="372" t="s">
        <v>148</v>
      </c>
      <c r="B777" s="366">
        <v>907</v>
      </c>
      <c r="C777" s="368" t="s">
        <v>133</v>
      </c>
      <c r="D777" s="368" t="s">
        <v>155</v>
      </c>
      <c r="E777" s="368" t="s">
        <v>1227</v>
      </c>
      <c r="F777" s="368" t="s">
        <v>149</v>
      </c>
      <c r="G777" s="373">
        <f>70</f>
        <v>70</v>
      </c>
      <c r="H777" s="373">
        <f t="shared" ref="H777" si="61">G777</f>
        <v>70</v>
      </c>
      <c r="I777" s="222"/>
    </row>
    <row r="778" spans="1:9" ht="15.75" x14ac:dyDescent="0.25">
      <c r="A778" s="370" t="s">
        <v>505</v>
      </c>
      <c r="B778" s="367">
        <v>907</v>
      </c>
      <c r="C778" s="371" t="s">
        <v>506</v>
      </c>
      <c r="D778" s="368"/>
      <c r="E778" s="368"/>
      <c r="F778" s="368"/>
      <c r="G778" s="369">
        <f>G779+G818</f>
        <v>58483.6</v>
      </c>
      <c r="H778" s="369">
        <f>H779+H818</f>
        <v>58483.6</v>
      </c>
      <c r="I778" s="222"/>
    </row>
    <row r="779" spans="1:9" ht="15.75" x14ac:dyDescent="0.25">
      <c r="A779" s="370" t="s">
        <v>507</v>
      </c>
      <c r="B779" s="367">
        <v>907</v>
      </c>
      <c r="C779" s="371" t="s">
        <v>506</v>
      </c>
      <c r="D779" s="371" t="s">
        <v>133</v>
      </c>
      <c r="E779" s="368"/>
      <c r="F779" s="368"/>
      <c r="G779" s="369">
        <f>G780+G813</f>
        <v>46727.6</v>
      </c>
      <c r="H779" s="369">
        <f>H780+H813</f>
        <v>46727.6</v>
      </c>
      <c r="I779" s="222"/>
    </row>
    <row r="780" spans="1:9" ht="47.25" x14ac:dyDescent="0.25">
      <c r="A780" s="370" t="s">
        <v>1437</v>
      </c>
      <c r="B780" s="367">
        <v>907</v>
      </c>
      <c r="C780" s="371" t="s">
        <v>506</v>
      </c>
      <c r="D780" s="371" t="s">
        <v>133</v>
      </c>
      <c r="E780" s="371" t="s">
        <v>497</v>
      </c>
      <c r="F780" s="371"/>
      <c r="G780" s="369">
        <f>G781</f>
        <v>46187.5</v>
      </c>
      <c r="H780" s="369">
        <f>H781</f>
        <v>46187.5</v>
      </c>
      <c r="I780" s="222"/>
    </row>
    <row r="781" spans="1:9" ht="47.25" x14ac:dyDescent="0.25">
      <c r="A781" s="370" t="s">
        <v>1436</v>
      </c>
      <c r="B781" s="367">
        <v>907</v>
      </c>
      <c r="C781" s="371" t="s">
        <v>506</v>
      </c>
      <c r="D781" s="371" t="s">
        <v>133</v>
      </c>
      <c r="E781" s="371" t="s">
        <v>509</v>
      </c>
      <c r="F781" s="371"/>
      <c r="G781" s="369">
        <f>G782+G792+G802+G809</f>
        <v>46187.5</v>
      </c>
      <c r="H781" s="369">
        <f>H782+H792+H802+H809</f>
        <v>46187.5</v>
      </c>
      <c r="I781" s="222"/>
    </row>
    <row r="782" spans="1:9" ht="31.5" x14ac:dyDescent="0.25">
      <c r="A782" s="370" t="s">
        <v>1026</v>
      </c>
      <c r="B782" s="367">
        <v>907</v>
      </c>
      <c r="C782" s="371" t="s">
        <v>506</v>
      </c>
      <c r="D782" s="371" t="s">
        <v>133</v>
      </c>
      <c r="E782" s="371" t="s">
        <v>1059</v>
      </c>
      <c r="F782" s="371"/>
      <c r="G782" s="369">
        <f>G783+G786+G789</f>
        <v>44582</v>
      </c>
      <c r="H782" s="369">
        <f>H783+H786+H789</f>
        <v>44582</v>
      </c>
      <c r="I782" s="222"/>
    </row>
    <row r="783" spans="1:9" ht="47.25" x14ac:dyDescent="0.25">
      <c r="A783" s="372" t="s">
        <v>835</v>
      </c>
      <c r="B783" s="366">
        <v>907</v>
      </c>
      <c r="C783" s="368" t="s">
        <v>506</v>
      </c>
      <c r="D783" s="368" t="s">
        <v>133</v>
      </c>
      <c r="E783" s="368" t="s">
        <v>1069</v>
      </c>
      <c r="F783" s="368"/>
      <c r="G783" s="373">
        <f>G784</f>
        <v>13108</v>
      </c>
      <c r="H783" s="373">
        <f>H784</f>
        <v>13108</v>
      </c>
      <c r="I783" s="222"/>
    </row>
    <row r="784" spans="1:9" ht="31.5" x14ac:dyDescent="0.25">
      <c r="A784" s="372" t="s">
        <v>287</v>
      </c>
      <c r="B784" s="366">
        <v>907</v>
      </c>
      <c r="C784" s="368" t="s">
        <v>506</v>
      </c>
      <c r="D784" s="368" t="s">
        <v>133</v>
      </c>
      <c r="E784" s="368" t="s">
        <v>1069</v>
      </c>
      <c r="F784" s="368" t="s">
        <v>288</v>
      </c>
      <c r="G784" s="373">
        <f>G785</f>
        <v>13108</v>
      </c>
      <c r="H784" s="373">
        <f>H785</f>
        <v>13108</v>
      </c>
      <c r="I784" s="222"/>
    </row>
    <row r="785" spans="1:9" ht="15.75" x14ac:dyDescent="0.25">
      <c r="A785" s="372" t="s">
        <v>289</v>
      </c>
      <c r="B785" s="366">
        <v>907</v>
      </c>
      <c r="C785" s="368" t="s">
        <v>506</v>
      </c>
      <c r="D785" s="368" t="s">
        <v>133</v>
      </c>
      <c r="E785" s="368" t="s">
        <v>1069</v>
      </c>
      <c r="F785" s="368" t="s">
        <v>290</v>
      </c>
      <c r="G785" s="373">
        <f>13108</f>
        <v>13108</v>
      </c>
      <c r="H785" s="373">
        <f t="shared" si="54"/>
        <v>13108</v>
      </c>
      <c r="I785" s="222"/>
    </row>
    <row r="786" spans="1:9" ht="47.25" x14ac:dyDescent="0.25">
      <c r="A786" s="372" t="s">
        <v>856</v>
      </c>
      <c r="B786" s="366">
        <v>907</v>
      </c>
      <c r="C786" s="368" t="s">
        <v>506</v>
      </c>
      <c r="D786" s="368" t="s">
        <v>133</v>
      </c>
      <c r="E786" s="368" t="s">
        <v>1070</v>
      </c>
      <c r="F786" s="368"/>
      <c r="G786" s="373">
        <f>G787</f>
        <v>12897</v>
      </c>
      <c r="H786" s="373">
        <f>H787</f>
        <v>12897</v>
      </c>
      <c r="I786" s="222"/>
    </row>
    <row r="787" spans="1:9" ht="31.5" x14ac:dyDescent="0.25">
      <c r="A787" s="372" t="s">
        <v>287</v>
      </c>
      <c r="B787" s="366">
        <v>907</v>
      </c>
      <c r="C787" s="368" t="s">
        <v>506</v>
      </c>
      <c r="D787" s="368" t="s">
        <v>133</v>
      </c>
      <c r="E787" s="368" t="s">
        <v>1070</v>
      </c>
      <c r="F787" s="368" t="s">
        <v>288</v>
      </c>
      <c r="G787" s="373">
        <f>G788</f>
        <v>12897</v>
      </c>
      <c r="H787" s="373">
        <f>H788</f>
        <v>12897</v>
      </c>
      <c r="I787" s="222"/>
    </row>
    <row r="788" spans="1:9" ht="15.75" x14ac:dyDescent="0.25">
      <c r="A788" s="372" t="s">
        <v>289</v>
      </c>
      <c r="B788" s="366">
        <v>907</v>
      </c>
      <c r="C788" s="368" t="s">
        <v>506</v>
      </c>
      <c r="D788" s="368" t="s">
        <v>133</v>
      </c>
      <c r="E788" s="368" t="s">
        <v>1070</v>
      </c>
      <c r="F788" s="368" t="s">
        <v>290</v>
      </c>
      <c r="G788" s="373">
        <f>12897</f>
        <v>12897</v>
      </c>
      <c r="H788" s="373">
        <f t="shared" ref="H788:H846" si="62">G788</f>
        <v>12897</v>
      </c>
      <c r="I788" s="222"/>
    </row>
    <row r="789" spans="1:9" ht="47.25" x14ac:dyDescent="0.25">
      <c r="A789" s="372" t="s">
        <v>857</v>
      </c>
      <c r="B789" s="366">
        <v>907</v>
      </c>
      <c r="C789" s="368" t="s">
        <v>506</v>
      </c>
      <c r="D789" s="368" t="s">
        <v>133</v>
      </c>
      <c r="E789" s="368" t="s">
        <v>1071</v>
      </c>
      <c r="F789" s="368"/>
      <c r="G789" s="373">
        <f>G790</f>
        <v>18577</v>
      </c>
      <c r="H789" s="373">
        <f>H790</f>
        <v>18577</v>
      </c>
      <c r="I789" s="222"/>
    </row>
    <row r="790" spans="1:9" ht="31.5" x14ac:dyDescent="0.25">
      <c r="A790" s="372" t="s">
        <v>287</v>
      </c>
      <c r="B790" s="366">
        <v>907</v>
      </c>
      <c r="C790" s="368" t="s">
        <v>506</v>
      </c>
      <c r="D790" s="368" t="s">
        <v>133</v>
      </c>
      <c r="E790" s="368" t="s">
        <v>1071</v>
      </c>
      <c r="F790" s="368" t="s">
        <v>288</v>
      </c>
      <c r="G790" s="373">
        <f>G791</f>
        <v>18577</v>
      </c>
      <c r="H790" s="373">
        <f>H791</f>
        <v>18577</v>
      </c>
      <c r="I790" s="222"/>
    </row>
    <row r="791" spans="1:9" ht="15.75" x14ac:dyDescent="0.25">
      <c r="A791" s="372" t="s">
        <v>289</v>
      </c>
      <c r="B791" s="366">
        <v>907</v>
      </c>
      <c r="C791" s="368" t="s">
        <v>506</v>
      </c>
      <c r="D791" s="368" t="s">
        <v>133</v>
      </c>
      <c r="E791" s="368" t="s">
        <v>1071</v>
      </c>
      <c r="F791" s="368" t="s">
        <v>290</v>
      </c>
      <c r="G791" s="373">
        <f>18577</f>
        <v>18577</v>
      </c>
      <c r="H791" s="373">
        <f t="shared" si="62"/>
        <v>18577</v>
      </c>
      <c r="I791" s="222"/>
    </row>
    <row r="792" spans="1:9" ht="31.5" hidden="1" x14ac:dyDescent="0.25">
      <c r="A792" s="370" t="s">
        <v>1072</v>
      </c>
      <c r="B792" s="367">
        <v>907</v>
      </c>
      <c r="C792" s="371" t="s">
        <v>506</v>
      </c>
      <c r="D792" s="371" t="s">
        <v>133</v>
      </c>
      <c r="E792" s="371" t="s">
        <v>1073</v>
      </c>
      <c r="F792" s="371"/>
      <c r="G792" s="44">
        <f>G793+G796+G799</f>
        <v>36</v>
      </c>
      <c r="H792" s="44">
        <f>H793+H796+H799</f>
        <v>36</v>
      </c>
      <c r="I792" s="222"/>
    </row>
    <row r="793" spans="1:9" ht="31.5" hidden="1" x14ac:dyDescent="0.25">
      <c r="A793" s="372" t="s">
        <v>293</v>
      </c>
      <c r="B793" s="366">
        <v>907</v>
      </c>
      <c r="C793" s="368" t="s">
        <v>506</v>
      </c>
      <c r="D793" s="368" t="s">
        <v>133</v>
      </c>
      <c r="E793" s="368" t="s">
        <v>1077</v>
      </c>
      <c r="F793" s="368"/>
      <c r="G793" s="373">
        <f>'Пр.4 ведом.20'!G809</f>
        <v>0</v>
      </c>
      <c r="H793" s="373">
        <f t="shared" si="62"/>
        <v>0</v>
      </c>
      <c r="I793" s="222"/>
    </row>
    <row r="794" spans="1:9" ht="31.5" hidden="1" x14ac:dyDescent="0.25">
      <c r="A794" s="372" t="s">
        <v>287</v>
      </c>
      <c r="B794" s="366">
        <v>907</v>
      </c>
      <c r="C794" s="368" t="s">
        <v>506</v>
      </c>
      <c r="D794" s="368" t="s">
        <v>133</v>
      </c>
      <c r="E794" s="368" t="s">
        <v>1077</v>
      </c>
      <c r="F794" s="368" t="s">
        <v>288</v>
      </c>
      <c r="G794" s="373">
        <f>'Пр.4 ведом.20'!G810</f>
        <v>0</v>
      </c>
      <c r="H794" s="373">
        <f t="shared" si="62"/>
        <v>0</v>
      </c>
      <c r="I794" s="222"/>
    </row>
    <row r="795" spans="1:9" ht="15.75" hidden="1" x14ac:dyDescent="0.25">
      <c r="A795" s="372" t="s">
        <v>289</v>
      </c>
      <c r="B795" s="366">
        <v>907</v>
      </c>
      <c r="C795" s="368" t="s">
        <v>506</v>
      </c>
      <c r="D795" s="368" t="s">
        <v>133</v>
      </c>
      <c r="E795" s="368" t="s">
        <v>1077</v>
      </c>
      <c r="F795" s="368" t="s">
        <v>290</v>
      </c>
      <c r="G795" s="373">
        <f>'Пр.4 ведом.20'!G811</f>
        <v>0</v>
      </c>
      <c r="H795" s="373">
        <f t="shared" si="62"/>
        <v>0</v>
      </c>
      <c r="I795" s="222"/>
    </row>
    <row r="796" spans="1:9" ht="31.5" hidden="1" x14ac:dyDescent="0.25">
      <c r="A796" s="372" t="s">
        <v>295</v>
      </c>
      <c r="B796" s="366">
        <v>907</v>
      </c>
      <c r="C796" s="368" t="s">
        <v>506</v>
      </c>
      <c r="D796" s="368" t="s">
        <v>133</v>
      </c>
      <c r="E796" s="368" t="s">
        <v>1078</v>
      </c>
      <c r="F796" s="368"/>
      <c r="G796" s="373">
        <f>'Пр.4 ведом.20'!G812</f>
        <v>0</v>
      </c>
      <c r="H796" s="373">
        <f t="shared" si="62"/>
        <v>0</v>
      </c>
      <c r="I796" s="222"/>
    </row>
    <row r="797" spans="1:9" ht="31.5" hidden="1" x14ac:dyDescent="0.25">
      <c r="A797" s="372" t="s">
        <v>287</v>
      </c>
      <c r="B797" s="366">
        <v>907</v>
      </c>
      <c r="C797" s="368" t="s">
        <v>506</v>
      </c>
      <c r="D797" s="368" t="s">
        <v>133</v>
      </c>
      <c r="E797" s="368" t="s">
        <v>1078</v>
      </c>
      <c r="F797" s="368" t="s">
        <v>288</v>
      </c>
      <c r="G797" s="373">
        <f>'Пр.4 ведом.20'!G813</f>
        <v>0</v>
      </c>
      <c r="H797" s="373">
        <f t="shared" si="62"/>
        <v>0</v>
      </c>
      <c r="I797" s="222"/>
    </row>
    <row r="798" spans="1:9" ht="15.75" hidden="1" x14ac:dyDescent="0.25">
      <c r="A798" s="372" t="s">
        <v>289</v>
      </c>
      <c r="B798" s="366">
        <v>907</v>
      </c>
      <c r="C798" s="368" t="s">
        <v>506</v>
      </c>
      <c r="D798" s="368" t="s">
        <v>133</v>
      </c>
      <c r="E798" s="368" t="s">
        <v>1078</v>
      </c>
      <c r="F798" s="368" t="s">
        <v>290</v>
      </c>
      <c r="G798" s="373">
        <f>'Пр.4 ведом.20'!G814</f>
        <v>0</v>
      </c>
      <c r="H798" s="373">
        <f t="shared" si="62"/>
        <v>0</v>
      </c>
      <c r="I798" s="222"/>
    </row>
    <row r="799" spans="1:9" ht="15.75" x14ac:dyDescent="0.25">
      <c r="A799" s="372" t="s">
        <v>874</v>
      </c>
      <c r="B799" s="366">
        <v>907</v>
      </c>
      <c r="C799" s="368" t="s">
        <v>506</v>
      </c>
      <c r="D799" s="368" t="s">
        <v>133</v>
      </c>
      <c r="E799" s="368" t="s">
        <v>1079</v>
      </c>
      <c r="F799" s="368"/>
      <c r="G799" s="373">
        <f>G800</f>
        <v>36</v>
      </c>
      <c r="H799" s="373">
        <f>H800</f>
        <v>36</v>
      </c>
      <c r="I799" s="222"/>
    </row>
    <row r="800" spans="1:9" ht="31.5" x14ac:dyDescent="0.25">
      <c r="A800" s="372" t="s">
        <v>287</v>
      </c>
      <c r="B800" s="366">
        <v>907</v>
      </c>
      <c r="C800" s="368" t="s">
        <v>506</v>
      </c>
      <c r="D800" s="368" t="s">
        <v>133</v>
      </c>
      <c r="E800" s="368" t="s">
        <v>1079</v>
      </c>
      <c r="F800" s="368" t="s">
        <v>288</v>
      </c>
      <c r="G800" s="373">
        <f>G801</f>
        <v>36</v>
      </c>
      <c r="H800" s="373">
        <f>H801</f>
        <v>36</v>
      </c>
      <c r="I800" s="222"/>
    </row>
    <row r="801" spans="1:9" ht="15.75" x14ac:dyDescent="0.25">
      <c r="A801" s="372" t="s">
        <v>289</v>
      </c>
      <c r="B801" s="366">
        <v>907</v>
      </c>
      <c r="C801" s="368" t="s">
        <v>506</v>
      </c>
      <c r="D801" s="368" t="s">
        <v>133</v>
      </c>
      <c r="E801" s="368" t="s">
        <v>1079</v>
      </c>
      <c r="F801" s="368" t="s">
        <v>290</v>
      </c>
      <c r="G801" s="373">
        <f>36</f>
        <v>36</v>
      </c>
      <c r="H801" s="373">
        <f t="shared" si="62"/>
        <v>36</v>
      </c>
      <c r="I801" s="222"/>
    </row>
    <row r="802" spans="1:9" ht="31.5" x14ac:dyDescent="0.25">
      <c r="A802" s="370" t="s">
        <v>1074</v>
      </c>
      <c r="B802" s="367">
        <v>907</v>
      </c>
      <c r="C802" s="371" t="s">
        <v>506</v>
      </c>
      <c r="D802" s="371" t="s">
        <v>133</v>
      </c>
      <c r="E802" s="371" t="s">
        <v>1076</v>
      </c>
      <c r="F802" s="371"/>
      <c r="G802" s="369">
        <f>G803+G806</f>
        <v>756</v>
      </c>
      <c r="H802" s="369">
        <f>H803+H806</f>
        <v>756</v>
      </c>
      <c r="I802" s="222"/>
    </row>
    <row r="803" spans="1:9" ht="31.5" hidden="1" x14ac:dyDescent="0.25">
      <c r="A803" s="372" t="s">
        <v>815</v>
      </c>
      <c r="B803" s="366">
        <v>907</v>
      </c>
      <c r="C803" s="368" t="s">
        <v>506</v>
      </c>
      <c r="D803" s="368" t="s">
        <v>133</v>
      </c>
      <c r="E803" s="368" t="s">
        <v>1080</v>
      </c>
      <c r="F803" s="368"/>
      <c r="G803" s="373">
        <f>'Пр.4 ведом.20'!G819</f>
        <v>0</v>
      </c>
      <c r="H803" s="373">
        <f t="shared" si="62"/>
        <v>0</v>
      </c>
      <c r="I803" s="222"/>
    </row>
    <row r="804" spans="1:9" ht="31.5" hidden="1" x14ac:dyDescent="0.25">
      <c r="A804" s="372" t="s">
        <v>287</v>
      </c>
      <c r="B804" s="366">
        <v>907</v>
      </c>
      <c r="C804" s="368" t="s">
        <v>506</v>
      </c>
      <c r="D804" s="368" t="s">
        <v>133</v>
      </c>
      <c r="E804" s="368" t="s">
        <v>1080</v>
      </c>
      <c r="F804" s="368" t="s">
        <v>288</v>
      </c>
      <c r="G804" s="373">
        <f>'Пр.4 ведом.20'!G820</f>
        <v>0</v>
      </c>
      <c r="H804" s="373">
        <f t="shared" si="62"/>
        <v>0</v>
      </c>
      <c r="I804" s="222"/>
    </row>
    <row r="805" spans="1:9" ht="15.75" hidden="1" x14ac:dyDescent="0.25">
      <c r="A805" s="372" t="s">
        <v>289</v>
      </c>
      <c r="B805" s="366">
        <v>907</v>
      </c>
      <c r="C805" s="368" t="s">
        <v>506</v>
      </c>
      <c r="D805" s="368" t="s">
        <v>133</v>
      </c>
      <c r="E805" s="368" t="s">
        <v>1080</v>
      </c>
      <c r="F805" s="368" t="s">
        <v>290</v>
      </c>
      <c r="G805" s="373">
        <f>'Пр.4 ведом.20'!G821</f>
        <v>0</v>
      </c>
      <c r="H805" s="373">
        <f t="shared" si="62"/>
        <v>0</v>
      </c>
      <c r="I805" s="222"/>
    </row>
    <row r="806" spans="1:9" ht="31.5" x14ac:dyDescent="0.25">
      <c r="A806" s="45" t="s">
        <v>785</v>
      </c>
      <c r="B806" s="366">
        <v>907</v>
      </c>
      <c r="C806" s="368" t="s">
        <v>506</v>
      </c>
      <c r="D806" s="368" t="s">
        <v>133</v>
      </c>
      <c r="E806" s="368" t="s">
        <v>1081</v>
      </c>
      <c r="F806" s="368"/>
      <c r="G806" s="373">
        <f>G807</f>
        <v>756</v>
      </c>
      <c r="H806" s="373">
        <f>H807</f>
        <v>756</v>
      </c>
      <c r="I806" s="222"/>
    </row>
    <row r="807" spans="1:9" ht="31.5" x14ac:dyDescent="0.25">
      <c r="A807" s="31" t="s">
        <v>287</v>
      </c>
      <c r="B807" s="366">
        <v>907</v>
      </c>
      <c r="C807" s="368" t="s">
        <v>506</v>
      </c>
      <c r="D807" s="368" t="s">
        <v>133</v>
      </c>
      <c r="E807" s="368" t="s">
        <v>1081</v>
      </c>
      <c r="F807" s="368" t="s">
        <v>288</v>
      </c>
      <c r="G807" s="373">
        <f>G808</f>
        <v>756</v>
      </c>
      <c r="H807" s="373">
        <f>H808</f>
        <v>756</v>
      </c>
      <c r="I807" s="222"/>
    </row>
    <row r="808" spans="1:9" ht="15.75" x14ac:dyDescent="0.25">
      <c r="A808" s="31" t="s">
        <v>289</v>
      </c>
      <c r="B808" s="366">
        <v>907</v>
      </c>
      <c r="C808" s="368" t="s">
        <v>506</v>
      </c>
      <c r="D808" s="368" t="s">
        <v>133</v>
      </c>
      <c r="E808" s="368" t="s">
        <v>1081</v>
      </c>
      <c r="F808" s="368" t="s">
        <v>290</v>
      </c>
      <c r="G808" s="373">
        <f>756</f>
        <v>756</v>
      </c>
      <c r="H808" s="373">
        <f t="shared" si="62"/>
        <v>756</v>
      </c>
      <c r="I808" s="222"/>
    </row>
    <row r="809" spans="1:9" ht="47.25" x14ac:dyDescent="0.25">
      <c r="A809" s="370" t="s">
        <v>969</v>
      </c>
      <c r="B809" s="367">
        <v>907</v>
      </c>
      <c r="C809" s="371" t="s">
        <v>506</v>
      </c>
      <c r="D809" s="371" t="s">
        <v>133</v>
      </c>
      <c r="E809" s="371" t="s">
        <v>1082</v>
      </c>
      <c r="F809" s="371"/>
      <c r="G809" s="369">
        <f>G810</f>
        <v>813.5</v>
      </c>
      <c r="H809" s="369">
        <f>H810</f>
        <v>813.5</v>
      </c>
      <c r="I809" s="222"/>
    </row>
    <row r="810" spans="1:9" ht="94.5" x14ac:dyDescent="0.25">
      <c r="A810" s="31" t="s">
        <v>308</v>
      </c>
      <c r="B810" s="366">
        <v>907</v>
      </c>
      <c r="C810" s="368" t="s">
        <v>506</v>
      </c>
      <c r="D810" s="368" t="s">
        <v>133</v>
      </c>
      <c r="E810" s="368" t="s">
        <v>1525</v>
      </c>
      <c r="F810" s="368"/>
      <c r="G810" s="373">
        <f t="shared" ref="G810:H811" si="63">G811</f>
        <v>813.5</v>
      </c>
      <c r="H810" s="373">
        <f t="shared" si="63"/>
        <v>813.5</v>
      </c>
      <c r="I810" s="222"/>
    </row>
    <row r="811" spans="1:9" ht="31.5" x14ac:dyDescent="0.25">
      <c r="A811" s="372" t="s">
        <v>287</v>
      </c>
      <c r="B811" s="366">
        <v>907</v>
      </c>
      <c r="C811" s="368" t="s">
        <v>506</v>
      </c>
      <c r="D811" s="368" t="s">
        <v>133</v>
      </c>
      <c r="E811" s="368" t="s">
        <v>1525</v>
      </c>
      <c r="F811" s="368" t="s">
        <v>288</v>
      </c>
      <c r="G811" s="373">
        <f t="shared" si="63"/>
        <v>813.5</v>
      </c>
      <c r="H811" s="373">
        <f t="shared" si="63"/>
        <v>813.5</v>
      </c>
      <c r="I811" s="222"/>
    </row>
    <row r="812" spans="1:9" ht="15.75" x14ac:dyDescent="0.25">
      <c r="A812" s="372" t="s">
        <v>289</v>
      </c>
      <c r="B812" s="366">
        <v>907</v>
      </c>
      <c r="C812" s="368" t="s">
        <v>506</v>
      </c>
      <c r="D812" s="368" t="s">
        <v>133</v>
      </c>
      <c r="E812" s="368" t="s">
        <v>1525</v>
      </c>
      <c r="F812" s="368" t="s">
        <v>290</v>
      </c>
      <c r="G812" s="373">
        <f>813.5</f>
        <v>813.5</v>
      </c>
      <c r="H812" s="373">
        <f t="shared" si="62"/>
        <v>813.5</v>
      </c>
      <c r="I812" s="294">
        <f>12177.1/11326*870.2</f>
        <v>935.59177291188428</v>
      </c>
    </row>
    <row r="813" spans="1:9" ht="63" x14ac:dyDescent="0.25">
      <c r="A813" s="41" t="s">
        <v>1429</v>
      </c>
      <c r="B813" s="367">
        <v>907</v>
      </c>
      <c r="C813" s="371" t="s">
        <v>506</v>
      </c>
      <c r="D813" s="371" t="s">
        <v>133</v>
      </c>
      <c r="E813" s="371" t="s">
        <v>726</v>
      </c>
      <c r="F813" s="250"/>
      <c r="G813" s="369">
        <f t="shared" ref="G813:H816" si="64">G814</f>
        <v>540.1</v>
      </c>
      <c r="H813" s="369">
        <f t="shared" si="64"/>
        <v>540.1</v>
      </c>
      <c r="I813" s="222"/>
    </row>
    <row r="814" spans="1:9" ht="47.25" x14ac:dyDescent="0.25">
      <c r="A814" s="41" t="s">
        <v>947</v>
      </c>
      <c r="B814" s="367">
        <v>907</v>
      </c>
      <c r="C814" s="371" t="s">
        <v>506</v>
      </c>
      <c r="D814" s="371" t="s">
        <v>133</v>
      </c>
      <c r="E814" s="371" t="s">
        <v>945</v>
      </c>
      <c r="F814" s="250"/>
      <c r="G814" s="369">
        <f t="shared" si="64"/>
        <v>540.1</v>
      </c>
      <c r="H814" s="369">
        <f t="shared" si="64"/>
        <v>540.1</v>
      </c>
      <c r="I814" s="222"/>
    </row>
    <row r="815" spans="1:9" ht="47.25" x14ac:dyDescent="0.25">
      <c r="A815" s="99" t="s">
        <v>801</v>
      </c>
      <c r="B815" s="366">
        <v>907</v>
      </c>
      <c r="C815" s="368" t="s">
        <v>506</v>
      </c>
      <c r="D815" s="368" t="s">
        <v>133</v>
      </c>
      <c r="E815" s="368" t="s">
        <v>1025</v>
      </c>
      <c r="F815" s="32"/>
      <c r="G815" s="373">
        <f t="shared" si="64"/>
        <v>540.1</v>
      </c>
      <c r="H815" s="373">
        <f t="shared" si="64"/>
        <v>540.1</v>
      </c>
      <c r="I815" s="222"/>
    </row>
    <row r="816" spans="1:9" ht="31.5" x14ac:dyDescent="0.25">
      <c r="A816" s="375" t="s">
        <v>287</v>
      </c>
      <c r="B816" s="366">
        <v>907</v>
      </c>
      <c r="C816" s="368" t="s">
        <v>506</v>
      </c>
      <c r="D816" s="368" t="s">
        <v>133</v>
      </c>
      <c r="E816" s="368" t="s">
        <v>1025</v>
      </c>
      <c r="F816" s="32" t="s">
        <v>288</v>
      </c>
      <c r="G816" s="373">
        <f t="shared" si="64"/>
        <v>540.1</v>
      </c>
      <c r="H816" s="373">
        <f t="shared" si="64"/>
        <v>540.1</v>
      </c>
      <c r="I816" s="222"/>
    </row>
    <row r="817" spans="1:9" ht="15.75" x14ac:dyDescent="0.25">
      <c r="A817" s="193" t="s">
        <v>289</v>
      </c>
      <c r="B817" s="366">
        <v>907</v>
      </c>
      <c r="C817" s="368" t="s">
        <v>506</v>
      </c>
      <c r="D817" s="368" t="s">
        <v>133</v>
      </c>
      <c r="E817" s="368" t="s">
        <v>1025</v>
      </c>
      <c r="F817" s="32" t="s">
        <v>290</v>
      </c>
      <c r="G817" s="373">
        <f>540.1</f>
        <v>540.1</v>
      </c>
      <c r="H817" s="373">
        <f t="shared" si="62"/>
        <v>540.1</v>
      </c>
      <c r="I817" s="222"/>
    </row>
    <row r="818" spans="1:9" ht="31.5" x14ac:dyDescent="0.25">
      <c r="A818" s="370" t="s">
        <v>515</v>
      </c>
      <c r="B818" s="367">
        <v>907</v>
      </c>
      <c r="C818" s="371" t="s">
        <v>506</v>
      </c>
      <c r="D818" s="371" t="s">
        <v>249</v>
      </c>
      <c r="E818" s="371"/>
      <c r="F818" s="371"/>
      <c r="G818" s="369">
        <f>G819+G827+G839</f>
        <v>11756</v>
      </c>
      <c r="H818" s="369">
        <f>H819+H827+H839</f>
        <v>11756</v>
      </c>
      <c r="I818" s="222"/>
    </row>
    <row r="819" spans="1:9" ht="31.5" x14ac:dyDescent="0.25">
      <c r="A819" s="370" t="s">
        <v>988</v>
      </c>
      <c r="B819" s="367">
        <v>907</v>
      </c>
      <c r="C819" s="371" t="s">
        <v>506</v>
      </c>
      <c r="D819" s="371" t="s">
        <v>249</v>
      </c>
      <c r="E819" s="371" t="s">
        <v>902</v>
      </c>
      <c r="F819" s="371"/>
      <c r="G819" s="369">
        <f>G820</f>
        <v>4531</v>
      </c>
      <c r="H819" s="369">
        <f>H820</f>
        <v>4531</v>
      </c>
      <c r="I819" s="222"/>
    </row>
    <row r="820" spans="1:9" ht="15.75" x14ac:dyDescent="0.25">
      <c r="A820" s="370" t="s">
        <v>989</v>
      </c>
      <c r="B820" s="367">
        <v>907</v>
      </c>
      <c r="C820" s="371" t="s">
        <v>506</v>
      </c>
      <c r="D820" s="371" t="s">
        <v>249</v>
      </c>
      <c r="E820" s="371" t="s">
        <v>903</v>
      </c>
      <c r="F820" s="371"/>
      <c r="G820" s="369">
        <f>G821+G824</f>
        <v>4531</v>
      </c>
      <c r="H820" s="369">
        <f>H821+H824</f>
        <v>4531</v>
      </c>
      <c r="I820" s="222"/>
    </row>
    <row r="821" spans="1:9" ht="31.5" x14ac:dyDescent="0.25">
      <c r="A821" s="372" t="s">
        <v>965</v>
      </c>
      <c r="B821" s="366">
        <v>907</v>
      </c>
      <c r="C821" s="368" t="s">
        <v>506</v>
      </c>
      <c r="D821" s="368" t="s">
        <v>249</v>
      </c>
      <c r="E821" s="368" t="s">
        <v>904</v>
      </c>
      <c r="F821" s="368"/>
      <c r="G821" s="373">
        <f>G822</f>
        <v>4447</v>
      </c>
      <c r="H821" s="373">
        <f>H822</f>
        <v>4447</v>
      </c>
      <c r="I821" s="222"/>
    </row>
    <row r="822" spans="1:9" ht="78.75" x14ac:dyDescent="0.25">
      <c r="A822" s="372" t="s">
        <v>142</v>
      </c>
      <c r="B822" s="366">
        <v>907</v>
      </c>
      <c r="C822" s="368" t="s">
        <v>506</v>
      </c>
      <c r="D822" s="368" t="s">
        <v>249</v>
      </c>
      <c r="E822" s="368" t="s">
        <v>904</v>
      </c>
      <c r="F822" s="368" t="s">
        <v>143</v>
      </c>
      <c r="G822" s="373">
        <f>G823</f>
        <v>4447</v>
      </c>
      <c r="H822" s="373">
        <f>H823</f>
        <v>4447</v>
      </c>
      <c r="I822" s="222"/>
    </row>
    <row r="823" spans="1:9" ht="31.5" x14ac:dyDescent="0.25">
      <c r="A823" s="372" t="s">
        <v>144</v>
      </c>
      <c r="B823" s="366">
        <v>907</v>
      </c>
      <c r="C823" s="368" t="s">
        <v>506</v>
      </c>
      <c r="D823" s="368" t="s">
        <v>249</v>
      </c>
      <c r="E823" s="368" t="s">
        <v>904</v>
      </c>
      <c r="F823" s="368" t="s">
        <v>145</v>
      </c>
      <c r="G823" s="373">
        <f>4447</f>
        <v>4447</v>
      </c>
      <c r="H823" s="373">
        <f t="shared" si="62"/>
        <v>4447</v>
      </c>
      <c r="I823" s="222"/>
    </row>
    <row r="824" spans="1:9" ht="47.25" x14ac:dyDescent="0.25">
      <c r="A824" s="372" t="s">
        <v>883</v>
      </c>
      <c r="B824" s="366">
        <v>907</v>
      </c>
      <c r="C824" s="368" t="s">
        <v>506</v>
      </c>
      <c r="D824" s="368" t="s">
        <v>249</v>
      </c>
      <c r="E824" s="368" t="s">
        <v>906</v>
      </c>
      <c r="F824" s="368"/>
      <c r="G824" s="373">
        <f>G825</f>
        <v>84</v>
      </c>
      <c r="H824" s="373">
        <f>H825</f>
        <v>84</v>
      </c>
      <c r="I824" s="222"/>
    </row>
    <row r="825" spans="1:9" ht="78.75" x14ac:dyDescent="0.25">
      <c r="A825" s="372" t="s">
        <v>142</v>
      </c>
      <c r="B825" s="366">
        <v>907</v>
      </c>
      <c r="C825" s="368" t="s">
        <v>506</v>
      </c>
      <c r="D825" s="368" t="s">
        <v>249</v>
      </c>
      <c r="E825" s="368" t="s">
        <v>906</v>
      </c>
      <c r="F825" s="368" t="s">
        <v>143</v>
      </c>
      <c r="G825" s="373">
        <f>G826</f>
        <v>84</v>
      </c>
      <c r="H825" s="373">
        <f>H826</f>
        <v>84</v>
      </c>
      <c r="I825" s="222"/>
    </row>
    <row r="826" spans="1:9" ht="31.5" x14ac:dyDescent="0.25">
      <c r="A826" s="372" t="s">
        <v>144</v>
      </c>
      <c r="B826" s="366">
        <v>907</v>
      </c>
      <c r="C826" s="368" t="s">
        <v>506</v>
      </c>
      <c r="D826" s="368" t="s">
        <v>249</v>
      </c>
      <c r="E826" s="368" t="s">
        <v>906</v>
      </c>
      <c r="F826" s="368" t="s">
        <v>145</v>
      </c>
      <c r="G826" s="373">
        <f>84</f>
        <v>84</v>
      </c>
      <c r="H826" s="373">
        <f t="shared" si="62"/>
        <v>84</v>
      </c>
      <c r="I826" s="222"/>
    </row>
    <row r="827" spans="1:9" ht="15.75" x14ac:dyDescent="0.25">
      <c r="A827" s="370" t="s">
        <v>156</v>
      </c>
      <c r="B827" s="367">
        <v>907</v>
      </c>
      <c r="C827" s="371" t="s">
        <v>506</v>
      </c>
      <c r="D827" s="371" t="s">
        <v>249</v>
      </c>
      <c r="E827" s="371" t="s">
        <v>910</v>
      </c>
      <c r="F827" s="371"/>
      <c r="G827" s="369">
        <f>G828</f>
        <v>5225</v>
      </c>
      <c r="H827" s="369">
        <f>H828</f>
        <v>5225</v>
      </c>
      <c r="I827" s="222"/>
    </row>
    <row r="828" spans="1:9" ht="31.5" x14ac:dyDescent="0.25">
      <c r="A828" s="370" t="s">
        <v>1000</v>
      </c>
      <c r="B828" s="367">
        <v>907</v>
      </c>
      <c r="C828" s="371" t="s">
        <v>506</v>
      </c>
      <c r="D828" s="371" t="s">
        <v>249</v>
      </c>
      <c r="E828" s="371" t="s">
        <v>985</v>
      </c>
      <c r="F828" s="371"/>
      <c r="G828" s="369">
        <f>G829+G836</f>
        <v>5225</v>
      </c>
      <c r="H828" s="369">
        <f>H829+H836</f>
        <v>5225</v>
      </c>
      <c r="I828" s="222"/>
    </row>
    <row r="829" spans="1:9" ht="31.5" x14ac:dyDescent="0.25">
      <c r="A829" s="372" t="s">
        <v>972</v>
      </c>
      <c r="B829" s="366">
        <v>907</v>
      </c>
      <c r="C829" s="368" t="s">
        <v>506</v>
      </c>
      <c r="D829" s="368" t="s">
        <v>249</v>
      </c>
      <c r="E829" s="368" t="s">
        <v>986</v>
      </c>
      <c r="F829" s="368"/>
      <c r="G829" s="373">
        <f>G830+G832+G834</f>
        <v>5015</v>
      </c>
      <c r="H829" s="373">
        <f>H830+H832+H834</f>
        <v>5015</v>
      </c>
      <c r="I829" s="222"/>
    </row>
    <row r="830" spans="1:9" ht="78.75" x14ac:dyDescent="0.25">
      <c r="A830" s="372" t="s">
        <v>142</v>
      </c>
      <c r="B830" s="366">
        <v>907</v>
      </c>
      <c r="C830" s="368" t="s">
        <v>506</v>
      </c>
      <c r="D830" s="368" t="s">
        <v>249</v>
      </c>
      <c r="E830" s="368" t="s">
        <v>986</v>
      </c>
      <c r="F830" s="368" t="s">
        <v>143</v>
      </c>
      <c r="G830" s="373">
        <f>G831</f>
        <v>4454</v>
      </c>
      <c r="H830" s="373">
        <f>H831</f>
        <v>4454</v>
      </c>
      <c r="I830" s="222"/>
    </row>
    <row r="831" spans="1:9" ht="19.5" customHeight="1" x14ac:dyDescent="0.25">
      <c r="A831" s="372" t="s">
        <v>357</v>
      </c>
      <c r="B831" s="366">
        <v>907</v>
      </c>
      <c r="C831" s="368" t="s">
        <v>506</v>
      </c>
      <c r="D831" s="368" t="s">
        <v>249</v>
      </c>
      <c r="E831" s="368" t="s">
        <v>986</v>
      </c>
      <c r="F831" s="368" t="s">
        <v>224</v>
      </c>
      <c r="G831" s="373">
        <v>4454</v>
      </c>
      <c r="H831" s="373">
        <f t="shared" si="62"/>
        <v>4454</v>
      </c>
      <c r="I831" s="222"/>
    </row>
    <row r="832" spans="1:9" ht="31.5" x14ac:dyDescent="0.25">
      <c r="A832" s="372" t="s">
        <v>146</v>
      </c>
      <c r="B832" s="366">
        <v>907</v>
      </c>
      <c r="C832" s="368" t="s">
        <v>506</v>
      </c>
      <c r="D832" s="368" t="s">
        <v>249</v>
      </c>
      <c r="E832" s="368" t="s">
        <v>986</v>
      </c>
      <c r="F832" s="368" t="s">
        <v>147</v>
      </c>
      <c r="G832" s="373">
        <f>G833</f>
        <v>510</v>
      </c>
      <c r="H832" s="373">
        <f>H833</f>
        <v>510</v>
      </c>
      <c r="I832" s="222"/>
    </row>
    <row r="833" spans="1:9" ht="31.5" x14ac:dyDescent="0.25">
      <c r="A833" s="372" t="s">
        <v>148</v>
      </c>
      <c r="B833" s="366">
        <v>907</v>
      </c>
      <c r="C833" s="368" t="s">
        <v>506</v>
      </c>
      <c r="D833" s="368" t="s">
        <v>249</v>
      </c>
      <c r="E833" s="368" t="s">
        <v>986</v>
      </c>
      <c r="F833" s="368" t="s">
        <v>149</v>
      </c>
      <c r="G833" s="373">
        <f>510</f>
        <v>510</v>
      </c>
      <c r="H833" s="373">
        <f t="shared" si="62"/>
        <v>510</v>
      </c>
      <c r="I833" s="222"/>
    </row>
    <row r="834" spans="1:9" ht="15.75" x14ac:dyDescent="0.25">
      <c r="A834" s="372" t="s">
        <v>150</v>
      </c>
      <c r="B834" s="366">
        <v>907</v>
      </c>
      <c r="C834" s="368" t="s">
        <v>506</v>
      </c>
      <c r="D834" s="368" t="s">
        <v>249</v>
      </c>
      <c r="E834" s="368" t="s">
        <v>986</v>
      </c>
      <c r="F834" s="368" t="s">
        <v>160</v>
      </c>
      <c r="G834" s="373">
        <f>G835</f>
        <v>51</v>
      </c>
      <c r="H834" s="373">
        <f>H835</f>
        <v>51</v>
      </c>
      <c r="I834" s="222"/>
    </row>
    <row r="835" spans="1:9" ht="15.75" x14ac:dyDescent="0.25">
      <c r="A835" s="372" t="s">
        <v>583</v>
      </c>
      <c r="B835" s="366">
        <v>907</v>
      </c>
      <c r="C835" s="368" t="s">
        <v>506</v>
      </c>
      <c r="D835" s="368" t="s">
        <v>249</v>
      </c>
      <c r="E835" s="368" t="s">
        <v>986</v>
      </c>
      <c r="F835" s="368" t="s">
        <v>153</v>
      </c>
      <c r="G835" s="373">
        <f>51</f>
        <v>51</v>
      </c>
      <c r="H835" s="373">
        <f t="shared" si="62"/>
        <v>51</v>
      </c>
      <c r="I835" s="222"/>
    </row>
    <row r="836" spans="1:9" ht="47.25" x14ac:dyDescent="0.25">
      <c r="A836" s="372" t="s">
        <v>883</v>
      </c>
      <c r="B836" s="366">
        <v>907</v>
      </c>
      <c r="C836" s="368" t="s">
        <v>506</v>
      </c>
      <c r="D836" s="368" t="s">
        <v>249</v>
      </c>
      <c r="E836" s="368" t="s">
        <v>987</v>
      </c>
      <c r="F836" s="368"/>
      <c r="G836" s="373">
        <f>G837</f>
        <v>210</v>
      </c>
      <c r="H836" s="373">
        <f>H837</f>
        <v>210</v>
      </c>
      <c r="I836" s="222"/>
    </row>
    <row r="837" spans="1:9" ht="78.75" x14ac:dyDescent="0.25">
      <c r="A837" s="372" t="s">
        <v>142</v>
      </c>
      <c r="B837" s="366">
        <v>907</v>
      </c>
      <c r="C837" s="368" t="s">
        <v>506</v>
      </c>
      <c r="D837" s="368" t="s">
        <v>249</v>
      </c>
      <c r="E837" s="368" t="s">
        <v>987</v>
      </c>
      <c r="F837" s="368" t="s">
        <v>143</v>
      </c>
      <c r="G837" s="373">
        <f>G838</f>
        <v>210</v>
      </c>
      <c r="H837" s="373">
        <f>H838</f>
        <v>210</v>
      </c>
      <c r="I837" s="222"/>
    </row>
    <row r="838" spans="1:9" ht="19.5" customHeight="1" x14ac:dyDescent="0.25">
      <c r="A838" s="372" t="s">
        <v>357</v>
      </c>
      <c r="B838" s="366">
        <v>907</v>
      </c>
      <c r="C838" s="368" t="s">
        <v>506</v>
      </c>
      <c r="D838" s="368" t="s">
        <v>249</v>
      </c>
      <c r="E838" s="368" t="s">
        <v>987</v>
      </c>
      <c r="F838" s="368" t="s">
        <v>224</v>
      </c>
      <c r="G838" s="373">
        <f>210</f>
        <v>210</v>
      </c>
      <c r="H838" s="373">
        <f t="shared" si="62"/>
        <v>210</v>
      </c>
      <c r="I838" s="222"/>
    </row>
    <row r="839" spans="1:9" ht="47.25" x14ac:dyDescent="0.25">
      <c r="A839" s="41" t="s">
        <v>1437</v>
      </c>
      <c r="B839" s="367">
        <v>907</v>
      </c>
      <c r="C839" s="371" t="s">
        <v>506</v>
      </c>
      <c r="D839" s="371" t="s">
        <v>249</v>
      </c>
      <c r="E839" s="364" t="s">
        <v>497</v>
      </c>
      <c r="F839" s="371"/>
      <c r="G839" s="369">
        <f t="shared" ref="G839:H841" si="65">G840</f>
        <v>2000</v>
      </c>
      <c r="H839" s="369">
        <f t="shared" si="65"/>
        <v>2000</v>
      </c>
      <c r="I839" s="222"/>
    </row>
    <row r="840" spans="1:9" ht="47.25" x14ac:dyDescent="0.25">
      <c r="A840" s="58" t="s">
        <v>1438</v>
      </c>
      <c r="B840" s="367">
        <v>907</v>
      </c>
      <c r="C840" s="371" t="s">
        <v>506</v>
      </c>
      <c r="D840" s="371" t="s">
        <v>249</v>
      </c>
      <c r="E840" s="364" t="s">
        <v>517</v>
      </c>
      <c r="F840" s="371"/>
      <c r="G840" s="369">
        <f t="shared" si="65"/>
        <v>2000</v>
      </c>
      <c r="H840" s="369">
        <f t="shared" si="65"/>
        <v>2000</v>
      </c>
      <c r="I840" s="222"/>
    </row>
    <row r="841" spans="1:9" ht="31.5" x14ac:dyDescent="0.25">
      <c r="A841" s="58" t="s">
        <v>1084</v>
      </c>
      <c r="B841" s="367">
        <v>907</v>
      </c>
      <c r="C841" s="371" t="s">
        <v>506</v>
      </c>
      <c r="D841" s="371" t="s">
        <v>249</v>
      </c>
      <c r="E841" s="364" t="s">
        <v>1085</v>
      </c>
      <c r="F841" s="371"/>
      <c r="G841" s="369">
        <f t="shared" si="65"/>
        <v>2000</v>
      </c>
      <c r="H841" s="369">
        <f t="shared" si="65"/>
        <v>2000</v>
      </c>
      <c r="I841" s="222"/>
    </row>
    <row r="842" spans="1:9" ht="15.75" x14ac:dyDescent="0.25">
      <c r="A842" s="375" t="s">
        <v>1086</v>
      </c>
      <c r="B842" s="366">
        <v>907</v>
      </c>
      <c r="C842" s="368" t="s">
        <v>506</v>
      </c>
      <c r="D842" s="368" t="s">
        <v>249</v>
      </c>
      <c r="E842" s="376" t="s">
        <v>1236</v>
      </c>
      <c r="F842" s="368"/>
      <c r="G842" s="373">
        <f>G843+G845</f>
        <v>2000</v>
      </c>
      <c r="H842" s="373">
        <f>H843+H845</f>
        <v>2000</v>
      </c>
      <c r="I842" s="222"/>
    </row>
    <row r="843" spans="1:9" ht="78.75" x14ac:dyDescent="0.25">
      <c r="A843" s="372" t="s">
        <v>142</v>
      </c>
      <c r="B843" s="366">
        <v>907</v>
      </c>
      <c r="C843" s="368" t="s">
        <v>506</v>
      </c>
      <c r="D843" s="368" t="s">
        <v>249</v>
      </c>
      <c r="E843" s="376" t="s">
        <v>1236</v>
      </c>
      <c r="F843" s="368" t="s">
        <v>143</v>
      </c>
      <c r="G843" s="373">
        <f>G844</f>
        <v>1500</v>
      </c>
      <c r="H843" s="373">
        <f>H844</f>
        <v>1500</v>
      </c>
      <c r="I843" s="222"/>
    </row>
    <row r="844" spans="1:9" ht="31.5" x14ac:dyDescent="0.25">
      <c r="A844" s="372" t="s">
        <v>357</v>
      </c>
      <c r="B844" s="366">
        <v>907</v>
      </c>
      <c r="C844" s="368" t="s">
        <v>506</v>
      </c>
      <c r="D844" s="368" t="s">
        <v>249</v>
      </c>
      <c r="E844" s="376" t="s">
        <v>1236</v>
      </c>
      <c r="F844" s="368" t="s">
        <v>224</v>
      </c>
      <c r="G844" s="373">
        <f>1500</f>
        <v>1500</v>
      </c>
      <c r="H844" s="373">
        <f t="shared" si="62"/>
        <v>1500</v>
      </c>
      <c r="I844" s="222"/>
    </row>
    <row r="845" spans="1:9" ht="31.5" x14ac:dyDescent="0.25">
      <c r="A845" s="375" t="s">
        <v>146</v>
      </c>
      <c r="B845" s="366">
        <v>907</v>
      </c>
      <c r="C845" s="368" t="s">
        <v>506</v>
      </c>
      <c r="D845" s="368" t="s">
        <v>249</v>
      </c>
      <c r="E845" s="376" t="s">
        <v>1236</v>
      </c>
      <c r="F845" s="368" t="s">
        <v>147</v>
      </c>
      <c r="G845" s="373">
        <f>G846</f>
        <v>500</v>
      </c>
      <c r="H845" s="373">
        <f>H846</f>
        <v>500</v>
      </c>
      <c r="I845" s="222"/>
    </row>
    <row r="846" spans="1:9" ht="31.5" x14ac:dyDescent="0.25">
      <c r="A846" s="375" t="s">
        <v>148</v>
      </c>
      <c r="B846" s="366">
        <v>907</v>
      </c>
      <c r="C846" s="368" t="s">
        <v>506</v>
      </c>
      <c r="D846" s="368" t="s">
        <v>249</v>
      </c>
      <c r="E846" s="376" t="s">
        <v>1236</v>
      </c>
      <c r="F846" s="368" t="s">
        <v>149</v>
      </c>
      <c r="G846" s="373">
        <f>500</f>
        <v>500</v>
      </c>
      <c r="H846" s="373">
        <f t="shared" si="62"/>
        <v>500</v>
      </c>
      <c r="I846" s="222"/>
    </row>
    <row r="847" spans="1:9" ht="31.5" x14ac:dyDescent="0.25">
      <c r="A847" s="367" t="s">
        <v>519</v>
      </c>
      <c r="B847" s="367">
        <v>908</v>
      </c>
      <c r="C847" s="368"/>
      <c r="D847" s="368"/>
      <c r="E847" s="368"/>
      <c r="F847" s="368"/>
      <c r="G847" s="369">
        <f>G862+G869+G888+G1051+G848</f>
        <v>82450.5</v>
      </c>
      <c r="H847" s="369">
        <f>H862+H869+H888+H1051+H848</f>
        <v>88689.9</v>
      </c>
      <c r="I847" s="222"/>
    </row>
    <row r="848" spans="1:9" ht="15.75" x14ac:dyDescent="0.25">
      <c r="A848" s="34" t="s">
        <v>132</v>
      </c>
      <c r="B848" s="367">
        <v>908</v>
      </c>
      <c r="C848" s="371" t="s">
        <v>133</v>
      </c>
      <c r="D848" s="368"/>
      <c r="E848" s="368"/>
      <c r="F848" s="368"/>
      <c r="G848" s="369">
        <f>G849</f>
        <v>38273</v>
      </c>
      <c r="H848" s="369">
        <f t="shared" ref="G848:H850" si="66">H849</f>
        <v>38273</v>
      </c>
      <c r="I848" s="222"/>
    </row>
    <row r="849" spans="1:9" ht="15.75" x14ac:dyDescent="0.25">
      <c r="A849" s="34" t="s">
        <v>154</v>
      </c>
      <c r="B849" s="367">
        <v>908</v>
      </c>
      <c r="C849" s="371" t="s">
        <v>133</v>
      </c>
      <c r="D849" s="371" t="s">
        <v>155</v>
      </c>
      <c r="E849" s="368"/>
      <c r="F849" s="368"/>
      <c r="G849" s="369">
        <f t="shared" si="66"/>
        <v>38273</v>
      </c>
      <c r="H849" s="369">
        <f t="shared" si="66"/>
        <v>38273</v>
      </c>
      <c r="I849" s="222"/>
    </row>
    <row r="850" spans="1:9" ht="15.75" x14ac:dyDescent="0.25">
      <c r="A850" s="370" t="s">
        <v>156</v>
      </c>
      <c r="B850" s="367">
        <v>908</v>
      </c>
      <c r="C850" s="371" t="s">
        <v>133</v>
      </c>
      <c r="D850" s="371" t="s">
        <v>155</v>
      </c>
      <c r="E850" s="371" t="s">
        <v>910</v>
      </c>
      <c r="F850" s="371"/>
      <c r="G850" s="44">
        <f t="shared" si="66"/>
        <v>38273</v>
      </c>
      <c r="H850" s="44">
        <f t="shared" si="66"/>
        <v>38273</v>
      </c>
      <c r="I850" s="222"/>
    </row>
    <row r="851" spans="1:9" ht="15.75" x14ac:dyDescent="0.25">
      <c r="A851" s="370" t="s">
        <v>1088</v>
      </c>
      <c r="B851" s="367">
        <v>908</v>
      </c>
      <c r="C851" s="371" t="s">
        <v>133</v>
      </c>
      <c r="D851" s="371" t="s">
        <v>155</v>
      </c>
      <c r="E851" s="371" t="s">
        <v>1087</v>
      </c>
      <c r="F851" s="371"/>
      <c r="G851" s="44">
        <f>G855+G852</f>
        <v>38273</v>
      </c>
      <c r="H851" s="44">
        <f>H855+H852</f>
        <v>38273</v>
      </c>
      <c r="I851" s="222"/>
    </row>
    <row r="852" spans="1:9" ht="47.25" x14ac:dyDescent="0.25">
      <c r="A852" s="372" t="s">
        <v>883</v>
      </c>
      <c r="B852" s="366">
        <v>908</v>
      </c>
      <c r="C852" s="368" t="s">
        <v>133</v>
      </c>
      <c r="D852" s="368" t="s">
        <v>155</v>
      </c>
      <c r="E852" s="368" t="s">
        <v>1090</v>
      </c>
      <c r="F852" s="368"/>
      <c r="G852" s="373">
        <f>G853</f>
        <v>672</v>
      </c>
      <c r="H852" s="373">
        <f>H853</f>
        <v>672</v>
      </c>
      <c r="I852" s="222"/>
    </row>
    <row r="853" spans="1:9" ht="78.75" x14ac:dyDescent="0.25">
      <c r="A853" s="372" t="s">
        <v>142</v>
      </c>
      <c r="B853" s="366">
        <v>908</v>
      </c>
      <c r="C853" s="368" t="s">
        <v>133</v>
      </c>
      <c r="D853" s="368" t="s">
        <v>155</v>
      </c>
      <c r="E853" s="368" t="s">
        <v>1090</v>
      </c>
      <c r="F853" s="368" t="s">
        <v>143</v>
      </c>
      <c r="G853" s="373">
        <f>G854</f>
        <v>672</v>
      </c>
      <c r="H853" s="373">
        <f>H854</f>
        <v>672</v>
      </c>
      <c r="I853" s="222"/>
    </row>
    <row r="854" spans="1:9" ht="31.5" x14ac:dyDescent="0.25">
      <c r="A854" s="372" t="s">
        <v>144</v>
      </c>
      <c r="B854" s="366">
        <v>908</v>
      </c>
      <c r="C854" s="368" t="s">
        <v>133</v>
      </c>
      <c r="D854" s="368" t="s">
        <v>155</v>
      </c>
      <c r="E854" s="368" t="s">
        <v>1090</v>
      </c>
      <c r="F854" s="368" t="s">
        <v>224</v>
      </c>
      <c r="G854" s="373">
        <f>672</f>
        <v>672</v>
      </c>
      <c r="H854" s="373">
        <f t="shared" ref="H854:H915" si="67">G854</f>
        <v>672</v>
      </c>
      <c r="I854" s="222"/>
    </row>
    <row r="855" spans="1:9" ht="15.75" x14ac:dyDescent="0.25">
      <c r="A855" s="372" t="s">
        <v>832</v>
      </c>
      <c r="B855" s="366">
        <v>908</v>
      </c>
      <c r="C855" s="368" t="s">
        <v>133</v>
      </c>
      <c r="D855" s="368" t="s">
        <v>155</v>
      </c>
      <c r="E855" s="368" t="s">
        <v>1089</v>
      </c>
      <c r="F855" s="368"/>
      <c r="G855" s="373">
        <f>G856+G860+G858</f>
        <v>37601</v>
      </c>
      <c r="H855" s="373">
        <f>H856+H860+H858</f>
        <v>37601</v>
      </c>
      <c r="I855" s="222"/>
    </row>
    <row r="856" spans="1:9" ht="78.75" x14ac:dyDescent="0.25">
      <c r="A856" s="372" t="s">
        <v>142</v>
      </c>
      <c r="B856" s="366">
        <v>908</v>
      </c>
      <c r="C856" s="368" t="s">
        <v>133</v>
      </c>
      <c r="D856" s="368" t="s">
        <v>155</v>
      </c>
      <c r="E856" s="368" t="s">
        <v>1089</v>
      </c>
      <c r="F856" s="368" t="s">
        <v>143</v>
      </c>
      <c r="G856" s="373">
        <f>G857</f>
        <v>30180</v>
      </c>
      <c r="H856" s="373">
        <f>H857</f>
        <v>30180</v>
      </c>
      <c r="I856" s="222"/>
    </row>
    <row r="857" spans="1:9" ht="31.5" x14ac:dyDescent="0.25">
      <c r="A857" s="46" t="s">
        <v>357</v>
      </c>
      <c r="B857" s="366">
        <v>908</v>
      </c>
      <c r="C857" s="368" t="s">
        <v>133</v>
      </c>
      <c r="D857" s="368" t="s">
        <v>155</v>
      </c>
      <c r="E857" s="368" t="s">
        <v>1089</v>
      </c>
      <c r="F857" s="368" t="s">
        <v>224</v>
      </c>
      <c r="G857" s="373">
        <f>30180</f>
        <v>30180</v>
      </c>
      <c r="H857" s="373">
        <f t="shared" si="67"/>
        <v>30180</v>
      </c>
      <c r="I857" s="222"/>
    </row>
    <row r="858" spans="1:9" ht="31.5" x14ac:dyDescent="0.25">
      <c r="A858" s="372" t="s">
        <v>146</v>
      </c>
      <c r="B858" s="366">
        <v>908</v>
      </c>
      <c r="C858" s="368" t="s">
        <v>133</v>
      </c>
      <c r="D858" s="368" t="s">
        <v>155</v>
      </c>
      <c r="E858" s="368" t="s">
        <v>1089</v>
      </c>
      <c r="F858" s="368" t="s">
        <v>147</v>
      </c>
      <c r="G858" s="373">
        <f>G859</f>
        <v>7000</v>
      </c>
      <c r="H858" s="373">
        <f>H859</f>
        <v>7000</v>
      </c>
      <c r="I858" s="222"/>
    </row>
    <row r="859" spans="1:9" ht="31.5" x14ac:dyDescent="0.25">
      <c r="A859" s="372" t="s">
        <v>148</v>
      </c>
      <c r="B859" s="366">
        <v>908</v>
      </c>
      <c r="C859" s="368" t="s">
        <v>133</v>
      </c>
      <c r="D859" s="368" t="s">
        <v>155</v>
      </c>
      <c r="E859" s="368" t="s">
        <v>1089</v>
      </c>
      <c r="F859" s="368" t="s">
        <v>149</v>
      </c>
      <c r="G859" s="373">
        <f>7000</f>
        <v>7000</v>
      </c>
      <c r="H859" s="373">
        <f t="shared" si="67"/>
        <v>7000</v>
      </c>
      <c r="I859" s="222"/>
    </row>
    <row r="860" spans="1:9" ht="15.75" x14ac:dyDescent="0.25">
      <c r="A860" s="372" t="s">
        <v>150</v>
      </c>
      <c r="B860" s="366">
        <v>908</v>
      </c>
      <c r="C860" s="368" t="s">
        <v>133</v>
      </c>
      <c r="D860" s="368" t="s">
        <v>155</v>
      </c>
      <c r="E860" s="368" t="s">
        <v>1089</v>
      </c>
      <c r="F860" s="368" t="s">
        <v>160</v>
      </c>
      <c r="G860" s="373">
        <f>G861</f>
        <v>421</v>
      </c>
      <c r="H860" s="373">
        <f>H861</f>
        <v>421</v>
      </c>
      <c r="I860" s="222"/>
    </row>
    <row r="861" spans="1:9" ht="15.75" x14ac:dyDescent="0.25">
      <c r="A861" s="372" t="s">
        <v>725</v>
      </c>
      <c r="B861" s="366">
        <v>908</v>
      </c>
      <c r="C861" s="368" t="s">
        <v>133</v>
      </c>
      <c r="D861" s="368" t="s">
        <v>155</v>
      </c>
      <c r="E861" s="368" t="s">
        <v>1089</v>
      </c>
      <c r="F861" s="368" t="s">
        <v>153</v>
      </c>
      <c r="G861" s="373">
        <f>421</f>
        <v>421</v>
      </c>
      <c r="H861" s="373">
        <f t="shared" si="67"/>
        <v>421</v>
      </c>
      <c r="I861" s="222"/>
    </row>
    <row r="862" spans="1:9" ht="31.5" x14ac:dyDescent="0.25">
      <c r="A862" s="370" t="s">
        <v>237</v>
      </c>
      <c r="B862" s="367">
        <v>908</v>
      </c>
      <c r="C862" s="371" t="s">
        <v>230</v>
      </c>
      <c r="D862" s="371"/>
      <c r="E862" s="371"/>
      <c r="F862" s="371"/>
      <c r="G862" s="369">
        <f t="shared" ref="G862:H865" si="68">G863</f>
        <v>107</v>
      </c>
      <c r="H862" s="369">
        <f t="shared" si="68"/>
        <v>107</v>
      </c>
      <c r="I862" s="222"/>
    </row>
    <row r="863" spans="1:9" ht="47.25" x14ac:dyDescent="0.25">
      <c r="A863" s="370" t="s">
        <v>238</v>
      </c>
      <c r="B863" s="367">
        <v>908</v>
      </c>
      <c r="C863" s="371" t="s">
        <v>230</v>
      </c>
      <c r="D863" s="371" t="s">
        <v>234</v>
      </c>
      <c r="E863" s="371"/>
      <c r="F863" s="371"/>
      <c r="G863" s="369">
        <f t="shared" si="68"/>
        <v>107</v>
      </c>
      <c r="H863" s="369">
        <f t="shared" si="68"/>
        <v>107</v>
      </c>
      <c r="I863" s="222"/>
    </row>
    <row r="864" spans="1:9" ht="15.75" x14ac:dyDescent="0.25">
      <c r="A864" s="370" t="s">
        <v>156</v>
      </c>
      <c r="B864" s="367">
        <v>908</v>
      </c>
      <c r="C864" s="371" t="s">
        <v>230</v>
      </c>
      <c r="D864" s="371" t="s">
        <v>234</v>
      </c>
      <c r="E864" s="371" t="s">
        <v>910</v>
      </c>
      <c r="F864" s="371"/>
      <c r="G864" s="369">
        <f t="shared" si="68"/>
        <v>107</v>
      </c>
      <c r="H864" s="369">
        <f t="shared" si="68"/>
        <v>107</v>
      </c>
      <c r="I864" s="222"/>
    </row>
    <row r="865" spans="1:9" ht="31.5" x14ac:dyDescent="0.25">
      <c r="A865" s="370" t="s">
        <v>914</v>
      </c>
      <c r="B865" s="367">
        <v>908</v>
      </c>
      <c r="C865" s="371" t="s">
        <v>230</v>
      </c>
      <c r="D865" s="371" t="s">
        <v>234</v>
      </c>
      <c r="E865" s="371" t="s">
        <v>909</v>
      </c>
      <c r="F865" s="371"/>
      <c r="G865" s="369">
        <f t="shared" si="68"/>
        <v>107</v>
      </c>
      <c r="H865" s="369">
        <f t="shared" si="68"/>
        <v>107</v>
      </c>
      <c r="I865" s="222"/>
    </row>
    <row r="866" spans="1:9" ht="15.75" x14ac:dyDescent="0.25">
      <c r="A866" s="372" t="s">
        <v>245</v>
      </c>
      <c r="B866" s="366">
        <v>908</v>
      </c>
      <c r="C866" s="368" t="s">
        <v>230</v>
      </c>
      <c r="D866" s="368" t="s">
        <v>234</v>
      </c>
      <c r="E866" s="368" t="s">
        <v>920</v>
      </c>
      <c r="F866" s="368"/>
      <c r="G866" s="373">
        <f>G867</f>
        <v>107</v>
      </c>
      <c r="H866" s="373">
        <f>H867</f>
        <v>107</v>
      </c>
      <c r="I866" s="222"/>
    </row>
    <row r="867" spans="1:9" ht="31.5" x14ac:dyDescent="0.25">
      <c r="A867" s="372" t="s">
        <v>146</v>
      </c>
      <c r="B867" s="366">
        <v>908</v>
      </c>
      <c r="C867" s="368" t="s">
        <v>230</v>
      </c>
      <c r="D867" s="368" t="s">
        <v>234</v>
      </c>
      <c r="E867" s="368" t="s">
        <v>920</v>
      </c>
      <c r="F867" s="368" t="s">
        <v>147</v>
      </c>
      <c r="G867" s="373">
        <f>G868</f>
        <v>107</v>
      </c>
      <c r="H867" s="373">
        <f>H868</f>
        <v>107</v>
      </c>
      <c r="I867" s="222"/>
    </row>
    <row r="868" spans="1:9" ht="31.5" x14ac:dyDescent="0.25">
      <c r="A868" s="372" t="s">
        <v>148</v>
      </c>
      <c r="B868" s="366">
        <v>908</v>
      </c>
      <c r="C868" s="368" t="s">
        <v>230</v>
      </c>
      <c r="D868" s="368" t="s">
        <v>234</v>
      </c>
      <c r="E868" s="368" t="s">
        <v>920</v>
      </c>
      <c r="F868" s="368" t="s">
        <v>149</v>
      </c>
      <c r="G868" s="373">
        <f>107</f>
        <v>107</v>
      </c>
      <c r="H868" s="373">
        <f t="shared" si="67"/>
        <v>107</v>
      </c>
      <c r="I868" s="222"/>
    </row>
    <row r="869" spans="1:9" ht="15.75" x14ac:dyDescent="0.25">
      <c r="A869" s="370" t="s">
        <v>247</v>
      </c>
      <c r="B869" s="367">
        <v>908</v>
      </c>
      <c r="C869" s="371" t="s">
        <v>165</v>
      </c>
      <c r="D869" s="371"/>
      <c r="E869" s="371"/>
      <c r="F869" s="371"/>
      <c r="G869" s="369">
        <f>G870+G876</f>
        <v>6447</v>
      </c>
      <c r="H869" s="369">
        <f>H870+H876</f>
        <v>6536</v>
      </c>
      <c r="I869" s="222"/>
    </row>
    <row r="870" spans="1:9" ht="15.75" x14ac:dyDescent="0.25">
      <c r="A870" s="370" t="s">
        <v>520</v>
      </c>
      <c r="B870" s="367">
        <v>908</v>
      </c>
      <c r="C870" s="371" t="s">
        <v>165</v>
      </c>
      <c r="D870" s="371" t="s">
        <v>314</v>
      </c>
      <c r="E870" s="371"/>
      <c r="F870" s="371"/>
      <c r="G870" s="369">
        <f t="shared" ref="G870:H872" si="69">G871</f>
        <v>3258</v>
      </c>
      <c r="H870" s="369">
        <f t="shared" si="69"/>
        <v>3258</v>
      </c>
      <c r="I870" s="222"/>
    </row>
    <row r="871" spans="1:9" ht="15.75" x14ac:dyDescent="0.25">
      <c r="A871" s="370" t="s">
        <v>156</v>
      </c>
      <c r="B871" s="367">
        <v>908</v>
      </c>
      <c r="C871" s="371" t="s">
        <v>165</v>
      </c>
      <c r="D871" s="371" t="s">
        <v>314</v>
      </c>
      <c r="E871" s="371" t="s">
        <v>910</v>
      </c>
      <c r="F871" s="371"/>
      <c r="G871" s="369">
        <f t="shared" si="69"/>
        <v>3258</v>
      </c>
      <c r="H871" s="369">
        <f t="shared" si="69"/>
        <v>3258</v>
      </c>
      <c r="I871" s="222"/>
    </row>
    <row r="872" spans="1:9" ht="31.5" x14ac:dyDescent="0.25">
      <c r="A872" s="370" t="s">
        <v>914</v>
      </c>
      <c r="B872" s="367">
        <v>908</v>
      </c>
      <c r="C872" s="371" t="s">
        <v>165</v>
      </c>
      <c r="D872" s="371" t="s">
        <v>314</v>
      </c>
      <c r="E872" s="371" t="s">
        <v>909</v>
      </c>
      <c r="F872" s="371"/>
      <c r="G872" s="369">
        <f t="shared" si="69"/>
        <v>3258</v>
      </c>
      <c r="H872" s="369">
        <f t="shared" si="69"/>
        <v>3258</v>
      </c>
      <c r="I872" s="222"/>
    </row>
    <row r="873" spans="1:9" ht="15.75" x14ac:dyDescent="0.25">
      <c r="A873" s="372" t="s">
        <v>521</v>
      </c>
      <c r="B873" s="366">
        <v>908</v>
      </c>
      <c r="C873" s="368" t="s">
        <v>165</v>
      </c>
      <c r="D873" s="368" t="s">
        <v>314</v>
      </c>
      <c r="E873" s="368" t="s">
        <v>1091</v>
      </c>
      <c r="F873" s="368"/>
      <c r="G873" s="373">
        <f>G874</f>
        <v>3258</v>
      </c>
      <c r="H873" s="373">
        <f>H874</f>
        <v>3258</v>
      </c>
      <c r="I873" s="222"/>
    </row>
    <row r="874" spans="1:9" ht="31.5" x14ac:dyDescent="0.25">
      <c r="A874" s="372" t="s">
        <v>146</v>
      </c>
      <c r="B874" s="366">
        <v>908</v>
      </c>
      <c r="C874" s="368" t="s">
        <v>165</v>
      </c>
      <c r="D874" s="368" t="s">
        <v>314</v>
      </c>
      <c r="E874" s="368" t="s">
        <v>1091</v>
      </c>
      <c r="F874" s="368" t="s">
        <v>147</v>
      </c>
      <c r="G874" s="373">
        <f>G875</f>
        <v>3258</v>
      </c>
      <c r="H874" s="373">
        <f>H875</f>
        <v>3258</v>
      </c>
      <c r="I874" s="222"/>
    </row>
    <row r="875" spans="1:9" ht="31.5" x14ac:dyDescent="0.25">
      <c r="A875" s="372" t="s">
        <v>148</v>
      </c>
      <c r="B875" s="366">
        <v>908</v>
      </c>
      <c r="C875" s="368" t="s">
        <v>165</v>
      </c>
      <c r="D875" s="368" t="s">
        <v>314</v>
      </c>
      <c r="E875" s="368" t="s">
        <v>1091</v>
      </c>
      <c r="F875" s="368" t="s">
        <v>149</v>
      </c>
      <c r="G875" s="373">
        <f>3258</f>
        <v>3258</v>
      </c>
      <c r="H875" s="373">
        <f t="shared" si="67"/>
        <v>3258</v>
      </c>
      <c r="I875" s="222"/>
    </row>
    <row r="876" spans="1:9" ht="15.75" x14ac:dyDescent="0.25">
      <c r="A876" s="370" t="s">
        <v>523</v>
      </c>
      <c r="B876" s="367">
        <v>908</v>
      </c>
      <c r="C876" s="371" t="s">
        <v>165</v>
      </c>
      <c r="D876" s="371" t="s">
        <v>234</v>
      </c>
      <c r="E876" s="368"/>
      <c r="F876" s="371"/>
      <c r="G876" s="369">
        <f>G877</f>
        <v>3189</v>
      </c>
      <c r="H876" s="369">
        <f>H877</f>
        <v>3278</v>
      </c>
      <c r="I876" s="222"/>
    </row>
    <row r="877" spans="1:9" ht="47.25" x14ac:dyDescent="0.25">
      <c r="A877" s="34" t="s">
        <v>1439</v>
      </c>
      <c r="B877" s="367">
        <v>908</v>
      </c>
      <c r="C877" s="371" t="s">
        <v>165</v>
      </c>
      <c r="D877" s="371" t="s">
        <v>234</v>
      </c>
      <c r="E877" s="371" t="s">
        <v>525</v>
      </c>
      <c r="F877" s="371"/>
      <c r="G877" s="369">
        <f>G883+G878</f>
        <v>3189</v>
      </c>
      <c r="H877" s="369">
        <f>H883+H878</f>
        <v>3278</v>
      </c>
      <c r="I877" s="222"/>
    </row>
    <row r="878" spans="1:9" ht="31.5" hidden="1" x14ac:dyDescent="0.25">
      <c r="A878" s="34" t="s">
        <v>1148</v>
      </c>
      <c r="B878" s="367">
        <v>908</v>
      </c>
      <c r="C878" s="371" t="s">
        <v>165</v>
      </c>
      <c r="D878" s="371" t="s">
        <v>234</v>
      </c>
      <c r="E878" s="364" t="s">
        <v>1092</v>
      </c>
      <c r="F878" s="371"/>
      <c r="G878" s="369">
        <f>G879</f>
        <v>0</v>
      </c>
      <c r="H878" s="369">
        <f>H879</f>
        <v>0</v>
      </c>
      <c r="I878" s="222"/>
    </row>
    <row r="879" spans="1:9" ht="15.75" hidden="1" x14ac:dyDescent="0.25">
      <c r="A879" s="375" t="s">
        <v>1150</v>
      </c>
      <c r="B879" s="366">
        <v>908</v>
      </c>
      <c r="C879" s="368" t="s">
        <v>165</v>
      </c>
      <c r="D879" s="368" t="s">
        <v>234</v>
      </c>
      <c r="E879" s="376" t="s">
        <v>1149</v>
      </c>
      <c r="F879" s="368"/>
      <c r="G879" s="373">
        <f>'Пр.4 ведом.20'!G909</f>
        <v>0</v>
      </c>
      <c r="H879" s="373">
        <f t="shared" si="67"/>
        <v>0</v>
      </c>
      <c r="I879" s="222"/>
    </row>
    <row r="880" spans="1:9" ht="31.5" hidden="1" x14ac:dyDescent="0.25">
      <c r="A880" s="372" t="s">
        <v>146</v>
      </c>
      <c r="B880" s="366">
        <v>908</v>
      </c>
      <c r="C880" s="368" t="s">
        <v>165</v>
      </c>
      <c r="D880" s="368" t="s">
        <v>234</v>
      </c>
      <c r="E880" s="376" t="s">
        <v>1149</v>
      </c>
      <c r="F880" s="368" t="s">
        <v>147</v>
      </c>
      <c r="G880" s="373">
        <f>'Пр.4 ведом.20'!G910</f>
        <v>0</v>
      </c>
      <c r="H880" s="373">
        <f t="shared" si="67"/>
        <v>0</v>
      </c>
      <c r="I880" s="222"/>
    </row>
    <row r="881" spans="1:9" ht="31.5" hidden="1" x14ac:dyDescent="0.25">
      <c r="A881" s="372" t="s">
        <v>148</v>
      </c>
      <c r="B881" s="366">
        <v>908</v>
      </c>
      <c r="C881" s="368" t="s">
        <v>165</v>
      </c>
      <c r="D881" s="368" t="s">
        <v>234</v>
      </c>
      <c r="E881" s="376" t="s">
        <v>1149</v>
      </c>
      <c r="F881" s="368" t="s">
        <v>149</v>
      </c>
      <c r="G881" s="373">
        <f>'Пр.4 ведом.20'!G911</f>
        <v>0</v>
      </c>
      <c r="H881" s="373">
        <f t="shared" si="67"/>
        <v>0</v>
      </c>
      <c r="I881" s="222"/>
    </row>
    <row r="882" spans="1:9" ht="31.5" x14ac:dyDescent="0.25">
      <c r="A882" s="34" t="s">
        <v>1237</v>
      </c>
      <c r="B882" s="367">
        <v>908</v>
      </c>
      <c r="C882" s="371" t="s">
        <v>165</v>
      </c>
      <c r="D882" s="371" t="s">
        <v>234</v>
      </c>
      <c r="E882" s="371" t="s">
        <v>1093</v>
      </c>
      <c r="F882" s="371"/>
      <c r="G882" s="369">
        <f t="shared" ref="G882:H884" si="70">G883</f>
        <v>3189</v>
      </c>
      <c r="H882" s="369">
        <f t="shared" si="70"/>
        <v>3278</v>
      </c>
      <c r="I882" s="222"/>
    </row>
    <row r="883" spans="1:9" ht="15.75" x14ac:dyDescent="0.25">
      <c r="A883" s="375" t="s">
        <v>526</v>
      </c>
      <c r="B883" s="366">
        <v>908</v>
      </c>
      <c r="C883" s="368" t="s">
        <v>165</v>
      </c>
      <c r="D883" s="368" t="s">
        <v>234</v>
      </c>
      <c r="E883" s="376" t="s">
        <v>1151</v>
      </c>
      <c r="F883" s="368"/>
      <c r="G883" s="373">
        <f t="shared" si="70"/>
        <v>3189</v>
      </c>
      <c r="H883" s="373">
        <f t="shared" si="70"/>
        <v>3278</v>
      </c>
      <c r="I883" s="222"/>
    </row>
    <row r="884" spans="1:9" ht="31.5" x14ac:dyDescent="0.25">
      <c r="A884" s="372" t="s">
        <v>146</v>
      </c>
      <c r="B884" s="366">
        <v>908</v>
      </c>
      <c r="C884" s="368" t="s">
        <v>165</v>
      </c>
      <c r="D884" s="368" t="s">
        <v>234</v>
      </c>
      <c r="E884" s="376" t="s">
        <v>1151</v>
      </c>
      <c r="F884" s="368" t="s">
        <v>147</v>
      </c>
      <c r="G884" s="373">
        <f t="shared" si="70"/>
        <v>3189</v>
      </c>
      <c r="H884" s="373">
        <f t="shared" si="70"/>
        <v>3278</v>
      </c>
      <c r="I884" s="222"/>
    </row>
    <row r="885" spans="1:9" ht="31.5" x14ac:dyDescent="0.25">
      <c r="A885" s="372" t="s">
        <v>148</v>
      </c>
      <c r="B885" s="366">
        <v>908</v>
      </c>
      <c r="C885" s="368" t="s">
        <v>165</v>
      </c>
      <c r="D885" s="368" t="s">
        <v>234</v>
      </c>
      <c r="E885" s="376" t="s">
        <v>1151</v>
      </c>
      <c r="F885" s="368" t="s">
        <v>149</v>
      </c>
      <c r="G885" s="373">
        <v>3189</v>
      </c>
      <c r="H885" s="373">
        <v>3278</v>
      </c>
      <c r="I885" s="222"/>
    </row>
    <row r="886" spans="1:9" ht="15.75" hidden="1" x14ac:dyDescent="0.25">
      <c r="A886" s="372" t="s">
        <v>150</v>
      </c>
      <c r="B886" s="366">
        <v>908</v>
      </c>
      <c r="C886" s="368" t="s">
        <v>165</v>
      </c>
      <c r="D886" s="368" t="s">
        <v>234</v>
      </c>
      <c r="E886" s="376" t="s">
        <v>1151</v>
      </c>
      <c r="F886" s="368" t="s">
        <v>160</v>
      </c>
      <c r="G886" s="373">
        <f>'Пр.4 ведом.20'!G918</f>
        <v>0</v>
      </c>
      <c r="H886" s="373">
        <f t="shared" si="67"/>
        <v>0</v>
      </c>
      <c r="I886" s="222"/>
    </row>
    <row r="887" spans="1:9" ht="15.75" hidden="1" x14ac:dyDescent="0.25">
      <c r="A887" s="372" t="s">
        <v>583</v>
      </c>
      <c r="B887" s="366">
        <v>908</v>
      </c>
      <c r="C887" s="368" t="s">
        <v>165</v>
      </c>
      <c r="D887" s="368" t="s">
        <v>234</v>
      </c>
      <c r="E887" s="376" t="s">
        <v>1151</v>
      </c>
      <c r="F887" s="368" t="s">
        <v>153</v>
      </c>
      <c r="G887" s="373">
        <f>'Пр.4 ведом.20'!G919</f>
        <v>0</v>
      </c>
      <c r="H887" s="373">
        <f t="shared" si="67"/>
        <v>0</v>
      </c>
      <c r="I887" s="222"/>
    </row>
    <row r="888" spans="1:9" ht="15.75" x14ac:dyDescent="0.25">
      <c r="A888" s="370" t="s">
        <v>405</v>
      </c>
      <c r="B888" s="367">
        <v>908</v>
      </c>
      <c r="C888" s="371" t="s">
        <v>249</v>
      </c>
      <c r="D888" s="371"/>
      <c r="E888" s="371"/>
      <c r="F888" s="371"/>
      <c r="G888" s="369">
        <f>G889+G903+G967+G1016</f>
        <v>37536.5</v>
      </c>
      <c r="H888" s="369">
        <f>H889+H903+H967+H1016</f>
        <v>43686.9</v>
      </c>
      <c r="I888" s="222"/>
    </row>
    <row r="889" spans="1:9" ht="15.75" x14ac:dyDescent="0.25">
      <c r="A889" s="370" t="s">
        <v>406</v>
      </c>
      <c r="B889" s="367">
        <v>908</v>
      </c>
      <c r="C889" s="371" t="s">
        <v>249</v>
      </c>
      <c r="D889" s="371" t="s">
        <v>133</v>
      </c>
      <c r="E889" s="371"/>
      <c r="F889" s="371"/>
      <c r="G889" s="369">
        <f>G890</f>
        <v>5160</v>
      </c>
      <c r="H889" s="369">
        <f>H890</f>
        <v>5160</v>
      </c>
      <c r="I889" s="222"/>
    </row>
    <row r="890" spans="1:9" ht="15.75" x14ac:dyDescent="0.25">
      <c r="A890" s="370" t="s">
        <v>156</v>
      </c>
      <c r="B890" s="367">
        <v>908</v>
      </c>
      <c r="C890" s="371" t="s">
        <v>249</v>
      </c>
      <c r="D890" s="371" t="s">
        <v>133</v>
      </c>
      <c r="E890" s="371" t="s">
        <v>910</v>
      </c>
      <c r="F890" s="371"/>
      <c r="G890" s="369">
        <f>G891</f>
        <v>5160</v>
      </c>
      <c r="H890" s="369">
        <f>H891</f>
        <v>5160</v>
      </c>
      <c r="I890" s="222"/>
    </row>
    <row r="891" spans="1:9" ht="31.5" x14ac:dyDescent="0.25">
      <c r="A891" s="370" t="s">
        <v>914</v>
      </c>
      <c r="B891" s="367">
        <v>908</v>
      </c>
      <c r="C891" s="371" t="s">
        <v>249</v>
      </c>
      <c r="D891" s="371" t="s">
        <v>133</v>
      </c>
      <c r="E891" s="371" t="s">
        <v>909</v>
      </c>
      <c r="F891" s="371"/>
      <c r="G891" s="369">
        <f>G900+G897+G892</f>
        <v>5160</v>
      </c>
      <c r="H891" s="369">
        <f>H900+H897+H892</f>
        <v>5160</v>
      </c>
      <c r="I891" s="222"/>
    </row>
    <row r="892" spans="1:9" ht="15.75" x14ac:dyDescent="0.25">
      <c r="A892" s="372" t="s">
        <v>530</v>
      </c>
      <c r="B892" s="366">
        <v>908</v>
      </c>
      <c r="C892" s="368" t="s">
        <v>795</v>
      </c>
      <c r="D892" s="368" t="s">
        <v>133</v>
      </c>
      <c r="E892" s="368" t="s">
        <v>1094</v>
      </c>
      <c r="F892" s="371"/>
      <c r="G892" s="373">
        <f>G893</f>
        <v>0</v>
      </c>
      <c r="H892" s="373">
        <f t="shared" si="67"/>
        <v>0</v>
      </c>
      <c r="I892" s="222"/>
    </row>
    <row r="893" spans="1:9" ht="31.5" x14ac:dyDescent="0.25">
      <c r="A893" s="372" t="s">
        <v>146</v>
      </c>
      <c r="B893" s="366">
        <v>908</v>
      </c>
      <c r="C893" s="368" t="s">
        <v>249</v>
      </c>
      <c r="D893" s="368" t="s">
        <v>133</v>
      </c>
      <c r="E893" s="368" t="s">
        <v>1094</v>
      </c>
      <c r="F893" s="368" t="s">
        <v>147</v>
      </c>
      <c r="G893" s="373">
        <f>G894</f>
        <v>0</v>
      </c>
      <c r="H893" s="373">
        <f t="shared" si="67"/>
        <v>0</v>
      </c>
      <c r="I893" s="222"/>
    </row>
    <row r="894" spans="1:9" ht="31.5" x14ac:dyDescent="0.25">
      <c r="A894" s="372" t="s">
        <v>148</v>
      </c>
      <c r="B894" s="366">
        <v>908</v>
      </c>
      <c r="C894" s="368" t="s">
        <v>249</v>
      </c>
      <c r="D894" s="368" t="s">
        <v>133</v>
      </c>
      <c r="E894" s="368" t="s">
        <v>1094</v>
      </c>
      <c r="F894" s="368" t="s">
        <v>149</v>
      </c>
      <c r="G894" s="373">
        <v>0</v>
      </c>
      <c r="H894" s="373">
        <f t="shared" si="67"/>
        <v>0</v>
      </c>
      <c r="I894" s="222"/>
    </row>
    <row r="895" spans="1:9" ht="15.75" x14ac:dyDescent="0.25">
      <c r="A895" s="372" t="s">
        <v>150</v>
      </c>
      <c r="B895" s="366">
        <v>908</v>
      </c>
      <c r="C895" s="368" t="s">
        <v>249</v>
      </c>
      <c r="D895" s="368" t="s">
        <v>133</v>
      </c>
      <c r="E895" s="368" t="s">
        <v>1094</v>
      </c>
      <c r="F895" s="368" t="s">
        <v>160</v>
      </c>
      <c r="G895" s="373">
        <f>'Пр.4 ведом.20'!G933</f>
        <v>0</v>
      </c>
      <c r="H895" s="373">
        <f t="shared" si="67"/>
        <v>0</v>
      </c>
      <c r="I895" s="222"/>
    </row>
    <row r="896" spans="1:9" ht="47.25" x14ac:dyDescent="0.25">
      <c r="A896" s="372" t="s">
        <v>199</v>
      </c>
      <c r="B896" s="366">
        <v>908</v>
      </c>
      <c r="C896" s="368" t="s">
        <v>249</v>
      </c>
      <c r="D896" s="368" t="s">
        <v>133</v>
      </c>
      <c r="E896" s="368" t="s">
        <v>1094</v>
      </c>
      <c r="F896" s="368" t="s">
        <v>175</v>
      </c>
      <c r="G896" s="373">
        <f>'Пр.4 ведом.20'!G934</f>
        <v>0</v>
      </c>
      <c r="H896" s="373">
        <f t="shared" si="67"/>
        <v>0</v>
      </c>
      <c r="I896" s="222"/>
    </row>
    <row r="897" spans="1:9" ht="31.5" x14ac:dyDescent="0.25">
      <c r="A897" s="375" t="s">
        <v>413</v>
      </c>
      <c r="B897" s="366">
        <v>908</v>
      </c>
      <c r="C897" s="368" t="s">
        <v>249</v>
      </c>
      <c r="D897" s="368" t="s">
        <v>133</v>
      </c>
      <c r="E897" s="368" t="s">
        <v>1095</v>
      </c>
      <c r="F897" s="371"/>
      <c r="G897" s="373">
        <f>G898</f>
        <v>4020</v>
      </c>
      <c r="H897" s="373">
        <f>H898</f>
        <v>4020</v>
      </c>
      <c r="I897" s="222"/>
    </row>
    <row r="898" spans="1:9" ht="31.5" x14ac:dyDescent="0.25">
      <c r="A898" s="372" t="s">
        <v>146</v>
      </c>
      <c r="B898" s="366">
        <v>908</v>
      </c>
      <c r="C898" s="368" t="s">
        <v>249</v>
      </c>
      <c r="D898" s="368" t="s">
        <v>133</v>
      </c>
      <c r="E898" s="368" t="s">
        <v>1095</v>
      </c>
      <c r="F898" s="368" t="s">
        <v>147</v>
      </c>
      <c r="G898" s="373">
        <f>G899</f>
        <v>4020</v>
      </c>
      <c r="H898" s="373">
        <f>H899</f>
        <v>4020</v>
      </c>
      <c r="I898" s="222"/>
    </row>
    <row r="899" spans="1:9" ht="31.5" x14ac:dyDescent="0.25">
      <c r="A899" s="372" t="s">
        <v>148</v>
      </c>
      <c r="B899" s="366">
        <v>908</v>
      </c>
      <c r="C899" s="368" t="s">
        <v>249</v>
      </c>
      <c r="D899" s="368" t="s">
        <v>133</v>
      </c>
      <c r="E899" s="368" t="s">
        <v>1095</v>
      </c>
      <c r="F899" s="368" t="s">
        <v>149</v>
      </c>
      <c r="G899" s="373">
        <f>4020</f>
        <v>4020</v>
      </c>
      <c r="H899" s="373">
        <f t="shared" si="67"/>
        <v>4020</v>
      </c>
      <c r="I899" s="222"/>
    </row>
    <row r="900" spans="1:9" ht="31.5" x14ac:dyDescent="0.25">
      <c r="A900" s="375" t="s">
        <v>1003</v>
      </c>
      <c r="B900" s="366">
        <v>908</v>
      </c>
      <c r="C900" s="368" t="s">
        <v>249</v>
      </c>
      <c r="D900" s="368" t="s">
        <v>133</v>
      </c>
      <c r="E900" s="368" t="s">
        <v>1096</v>
      </c>
      <c r="F900" s="371"/>
      <c r="G900" s="373">
        <f>G901</f>
        <v>1140</v>
      </c>
      <c r="H900" s="373">
        <f>H901</f>
        <v>1140</v>
      </c>
      <c r="I900" s="222"/>
    </row>
    <row r="901" spans="1:9" ht="31.5" x14ac:dyDescent="0.25">
      <c r="A901" s="372" t="s">
        <v>146</v>
      </c>
      <c r="B901" s="366">
        <v>908</v>
      </c>
      <c r="C901" s="368" t="s">
        <v>249</v>
      </c>
      <c r="D901" s="368" t="s">
        <v>133</v>
      </c>
      <c r="E901" s="368" t="s">
        <v>1096</v>
      </c>
      <c r="F901" s="368" t="s">
        <v>147</v>
      </c>
      <c r="G901" s="373">
        <f>G902</f>
        <v>1140</v>
      </c>
      <c r="H901" s="373">
        <f>H902</f>
        <v>1140</v>
      </c>
      <c r="I901" s="222"/>
    </row>
    <row r="902" spans="1:9" ht="31.5" x14ac:dyDescent="0.25">
      <c r="A902" s="372" t="s">
        <v>148</v>
      </c>
      <c r="B902" s="366">
        <v>908</v>
      </c>
      <c r="C902" s="368" t="s">
        <v>249</v>
      </c>
      <c r="D902" s="368" t="s">
        <v>133</v>
      </c>
      <c r="E902" s="368" t="s">
        <v>1096</v>
      </c>
      <c r="F902" s="368" t="s">
        <v>149</v>
      </c>
      <c r="G902" s="373">
        <f>1140</f>
        <v>1140</v>
      </c>
      <c r="H902" s="373">
        <f t="shared" si="67"/>
        <v>1140</v>
      </c>
      <c r="I902" s="222"/>
    </row>
    <row r="903" spans="1:9" ht="15.75" x14ac:dyDescent="0.25">
      <c r="A903" s="370" t="s">
        <v>532</v>
      </c>
      <c r="B903" s="367">
        <v>908</v>
      </c>
      <c r="C903" s="371" t="s">
        <v>249</v>
      </c>
      <c r="D903" s="371" t="s">
        <v>228</v>
      </c>
      <c r="E903" s="371"/>
      <c r="F903" s="371"/>
      <c r="G903" s="369">
        <f>G904+G933+G962</f>
        <v>5935</v>
      </c>
      <c r="H903" s="369">
        <f>H904+H933+H962</f>
        <v>4693.3999999999996</v>
      </c>
      <c r="I903" s="222"/>
    </row>
    <row r="904" spans="1:9" ht="15.75" x14ac:dyDescent="0.25">
      <c r="A904" s="370" t="s">
        <v>156</v>
      </c>
      <c r="B904" s="367">
        <v>908</v>
      </c>
      <c r="C904" s="371" t="s">
        <v>249</v>
      </c>
      <c r="D904" s="371" t="s">
        <v>228</v>
      </c>
      <c r="E904" s="371" t="s">
        <v>910</v>
      </c>
      <c r="F904" s="371"/>
      <c r="G904" s="369">
        <f>G905+G916</f>
        <v>5000</v>
      </c>
      <c r="H904" s="369">
        <f>H905+H916</f>
        <v>3789.4</v>
      </c>
      <c r="I904" s="222"/>
    </row>
    <row r="905" spans="1:9" ht="31.5" x14ac:dyDescent="0.25">
      <c r="A905" s="370" t="s">
        <v>914</v>
      </c>
      <c r="B905" s="367">
        <v>908</v>
      </c>
      <c r="C905" s="371" t="s">
        <v>249</v>
      </c>
      <c r="D905" s="371" t="s">
        <v>228</v>
      </c>
      <c r="E905" s="371" t="s">
        <v>909</v>
      </c>
      <c r="F905" s="371"/>
      <c r="G905" s="369">
        <f>G906+G911</f>
        <v>5000</v>
      </c>
      <c r="H905" s="369">
        <f>H906+H911</f>
        <v>3789.4</v>
      </c>
      <c r="I905" s="222"/>
    </row>
    <row r="906" spans="1:9" ht="15.75" hidden="1" x14ac:dyDescent="0.25">
      <c r="A906" s="35" t="s">
        <v>552</v>
      </c>
      <c r="B906" s="366">
        <v>908</v>
      </c>
      <c r="C906" s="368" t="s">
        <v>249</v>
      </c>
      <c r="D906" s="368" t="s">
        <v>228</v>
      </c>
      <c r="E906" s="368" t="s">
        <v>1113</v>
      </c>
      <c r="F906" s="368"/>
      <c r="G906" s="373">
        <f>G907+G909</f>
        <v>0</v>
      </c>
      <c r="H906" s="373">
        <f t="shared" si="67"/>
        <v>0</v>
      </c>
      <c r="I906" s="222"/>
    </row>
    <row r="907" spans="1:9" ht="31.5" hidden="1" x14ac:dyDescent="0.25">
      <c r="A907" s="372" t="s">
        <v>146</v>
      </c>
      <c r="B907" s="366">
        <v>908</v>
      </c>
      <c r="C907" s="368" t="s">
        <v>249</v>
      </c>
      <c r="D907" s="368" t="s">
        <v>228</v>
      </c>
      <c r="E907" s="368" t="s">
        <v>1113</v>
      </c>
      <c r="F907" s="368" t="s">
        <v>147</v>
      </c>
      <c r="G907" s="373">
        <f>G908</f>
        <v>0</v>
      </c>
      <c r="H907" s="373">
        <f t="shared" si="67"/>
        <v>0</v>
      </c>
      <c r="I907" s="222"/>
    </row>
    <row r="908" spans="1:9" ht="31.5" hidden="1" x14ac:dyDescent="0.25">
      <c r="A908" s="372" t="s">
        <v>148</v>
      </c>
      <c r="B908" s="366">
        <v>908</v>
      </c>
      <c r="C908" s="368" t="s">
        <v>249</v>
      </c>
      <c r="D908" s="368" t="s">
        <v>228</v>
      </c>
      <c r="E908" s="368" t="s">
        <v>1113</v>
      </c>
      <c r="F908" s="368" t="s">
        <v>149</v>
      </c>
      <c r="G908" s="373">
        <v>0</v>
      </c>
      <c r="H908" s="373">
        <f t="shared" si="67"/>
        <v>0</v>
      </c>
      <c r="I908" s="222"/>
    </row>
    <row r="909" spans="1:9" ht="15.75" hidden="1" x14ac:dyDescent="0.25">
      <c r="A909" s="372" t="s">
        <v>150</v>
      </c>
      <c r="B909" s="366">
        <v>908</v>
      </c>
      <c r="C909" s="368" t="s">
        <v>249</v>
      </c>
      <c r="D909" s="368" t="s">
        <v>228</v>
      </c>
      <c r="E909" s="368" t="s">
        <v>1113</v>
      </c>
      <c r="F909" s="368" t="s">
        <v>160</v>
      </c>
      <c r="G909" s="373">
        <f>G910</f>
        <v>0</v>
      </c>
      <c r="H909" s="373">
        <f t="shared" si="67"/>
        <v>0</v>
      </c>
      <c r="I909" s="222"/>
    </row>
    <row r="910" spans="1:9" ht="47.25" hidden="1" x14ac:dyDescent="0.25">
      <c r="A910" s="372" t="s">
        <v>199</v>
      </c>
      <c r="B910" s="366">
        <v>908</v>
      </c>
      <c r="C910" s="368" t="s">
        <v>249</v>
      </c>
      <c r="D910" s="368" t="s">
        <v>228</v>
      </c>
      <c r="E910" s="368" t="s">
        <v>1113</v>
      </c>
      <c r="F910" s="368" t="s">
        <v>175</v>
      </c>
      <c r="G910" s="373">
        <f>'Пр.4 ведом.20'!G950</f>
        <v>0</v>
      </c>
      <c r="H910" s="373">
        <f t="shared" si="67"/>
        <v>0</v>
      </c>
      <c r="I910" s="222"/>
    </row>
    <row r="911" spans="1:9" ht="31.5" x14ac:dyDescent="0.25">
      <c r="A911" s="375" t="s">
        <v>1003</v>
      </c>
      <c r="B911" s="366">
        <v>908</v>
      </c>
      <c r="C911" s="368" t="s">
        <v>249</v>
      </c>
      <c r="D911" s="368" t="s">
        <v>228</v>
      </c>
      <c r="E911" s="368" t="s">
        <v>1096</v>
      </c>
      <c r="F911" s="368"/>
      <c r="G911" s="373">
        <f>G912</f>
        <v>5000</v>
      </c>
      <c r="H911" s="373">
        <f>H912</f>
        <v>3789.4</v>
      </c>
      <c r="I911" s="222"/>
    </row>
    <row r="912" spans="1:9" ht="31.5" x14ac:dyDescent="0.25">
      <c r="A912" s="372" t="s">
        <v>146</v>
      </c>
      <c r="B912" s="366">
        <v>908</v>
      </c>
      <c r="C912" s="368" t="s">
        <v>249</v>
      </c>
      <c r="D912" s="368" t="s">
        <v>228</v>
      </c>
      <c r="E912" s="368" t="s">
        <v>1096</v>
      </c>
      <c r="F912" s="368" t="s">
        <v>147</v>
      </c>
      <c r="G912" s="373">
        <f>G913</f>
        <v>5000</v>
      </c>
      <c r="H912" s="373">
        <f>H913</f>
        <v>3789.4</v>
      </c>
      <c r="I912" s="222"/>
    </row>
    <row r="913" spans="1:9" ht="31.5" x14ac:dyDescent="0.25">
      <c r="A913" s="372" t="s">
        <v>148</v>
      </c>
      <c r="B913" s="366">
        <v>908</v>
      </c>
      <c r="C913" s="368" t="s">
        <v>249</v>
      </c>
      <c r="D913" s="368" t="s">
        <v>228</v>
      </c>
      <c r="E913" s="368" t="s">
        <v>1096</v>
      </c>
      <c r="F913" s="368" t="s">
        <v>149</v>
      </c>
      <c r="G913" s="373">
        <f>5000</f>
        <v>5000</v>
      </c>
      <c r="H913" s="373">
        <f>G913-1210.6</f>
        <v>3789.4</v>
      </c>
      <c r="I913" s="222"/>
    </row>
    <row r="914" spans="1:9" ht="15.75" hidden="1" x14ac:dyDescent="0.25">
      <c r="A914" s="372" t="s">
        <v>150</v>
      </c>
      <c r="B914" s="366">
        <v>908</v>
      </c>
      <c r="C914" s="368" t="s">
        <v>249</v>
      </c>
      <c r="D914" s="368" t="s">
        <v>228</v>
      </c>
      <c r="E914" s="368" t="s">
        <v>1096</v>
      </c>
      <c r="F914" s="368" t="s">
        <v>160</v>
      </c>
      <c r="G914" s="373">
        <f>'Пр.4 ведом.20'!G955</f>
        <v>0</v>
      </c>
      <c r="H914" s="373">
        <f t="shared" si="67"/>
        <v>0</v>
      </c>
      <c r="I914" s="222"/>
    </row>
    <row r="915" spans="1:9" ht="15.75" hidden="1" x14ac:dyDescent="0.25">
      <c r="A915" s="372" t="s">
        <v>161</v>
      </c>
      <c r="B915" s="366">
        <v>908</v>
      </c>
      <c r="C915" s="368" t="s">
        <v>249</v>
      </c>
      <c r="D915" s="368" t="s">
        <v>228</v>
      </c>
      <c r="E915" s="368" t="s">
        <v>1096</v>
      </c>
      <c r="F915" s="368" t="s">
        <v>162</v>
      </c>
      <c r="G915" s="373">
        <f>'Пр.4 ведом.20'!G956</f>
        <v>0</v>
      </c>
      <c r="H915" s="373">
        <f t="shared" si="67"/>
        <v>0</v>
      </c>
      <c r="I915" s="222"/>
    </row>
    <row r="916" spans="1:9" ht="47.25" hidden="1" x14ac:dyDescent="0.25">
      <c r="A916" s="370" t="s">
        <v>1169</v>
      </c>
      <c r="B916" s="367">
        <v>908</v>
      </c>
      <c r="C916" s="371" t="s">
        <v>249</v>
      </c>
      <c r="D916" s="371" t="s">
        <v>228</v>
      </c>
      <c r="E916" s="371" t="s">
        <v>1114</v>
      </c>
      <c r="F916" s="371"/>
      <c r="G916" s="369">
        <f>G917+G925+G922+G930</f>
        <v>0</v>
      </c>
      <c r="H916" s="369">
        <f>H917+H925+H922+H930</f>
        <v>0</v>
      </c>
      <c r="I916" s="222"/>
    </row>
    <row r="917" spans="1:9" ht="47.25" hidden="1" x14ac:dyDescent="0.25">
      <c r="A917" s="372" t="s">
        <v>871</v>
      </c>
      <c r="B917" s="366">
        <v>908</v>
      </c>
      <c r="C917" s="368" t="s">
        <v>249</v>
      </c>
      <c r="D917" s="368" t="s">
        <v>228</v>
      </c>
      <c r="E917" s="368" t="s">
        <v>1115</v>
      </c>
      <c r="F917" s="368"/>
      <c r="G917" s="373">
        <f>G918+G920</f>
        <v>0</v>
      </c>
      <c r="H917" s="373">
        <f t="shared" ref="H917:H984" si="71">G917</f>
        <v>0</v>
      </c>
      <c r="I917" s="222"/>
    </row>
    <row r="918" spans="1:9" ht="31.5" hidden="1" x14ac:dyDescent="0.25">
      <c r="A918" s="372" t="s">
        <v>146</v>
      </c>
      <c r="B918" s="366">
        <v>908</v>
      </c>
      <c r="C918" s="368" t="s">
        <v>249</v>
      </c>
      <c r="D918" s="368" t="s">
        <v>228</v>
      </c>
      <c r="E918" s="368" t="s">
        <v>1115</v>
      </c>
      <c r="F918" s="368" t="s">
        <v>147</v>
      </c>
      <c r="G918" s="373">
        <f>G919</f>
        <v>0</v>
      </c>
      <c r="H918" s="373">
        <f t="shared" si="71"/>
        <v>0</v>
      </c>
      <c r="I918" s="222"/>
    </row>
    <row r="919" spans="1:9" ht="31.5" hidden="1" x14ac:dyDescent="0.25">
      <c r="A919" s="372" t="s">
        <v>148</v>
      </c>
      <c r="B919" s="366">
        <v>908</v>
      </c>
      <c r="C919" s="368" t="s">
        <v>249</v>
      </c>
      <c r="D919" s="368" t="s">
        <v>228</v>
      </c>
      <c r="E919" s="368" t="s">
        <v>1115</v>
      </c>
      <c r="F919" s="368" t="s">
        <v>149</v>
      </c>
      <c r="G919" s="373">
        <v>0</v>
      </c>
      <c r="H919" s="373">
        <f t="shared" si="71"/>
        <v>0</v>
      </c>
      <c r="I919" s="222"/>
    </row>
    <row r="920" spans="1:9" ht="15.75" hidden="1" x14ac:dyDescent="0.25">
      <c r="A920" s="372" t="s">
        <v>150</v>
      </c>
      <c r="B920" s="366">
        <v>908</v>
      </c>
      <c r="C920" s="368" t="s">
        <v>249</v>
      </c>
      <c r="D920" s="368" t="s">
        <v>228</v>
      </c>
      <c r="E920" s="368" t="s">
        <v>1115</v>
      </c>
      <c r="F920" s="368" t="s">
        <v>881</v>
      </c>
      <c r="G920" s="373">
        <f>'Пр.4 ведом.20'!G961</f>
        <v>0</v>
      </c>
      <c r="H920" s="373">
        <f t="shared" si="71"/>
        <v>0</v>
      </c>
      <c r="I920" s="222"/>
    </row>
    <row r="921" spans="1:9" ht="15.75" hidden="1" x14ac:dyDescent="0.25">
      <c r="A921" s="372" t="s">
        <v>583</v>
      </c>
      <c r="B921" s="366">
        <v>908</v>
      </c>
      <c r="C921" s="368" t="s">
        <v>249</v>
      </c>
      <c r="D921" s="368" t="s">
        <v>228</v>
      </c>
      <c r="E921" s="368" t="s">
        <v>1115</v>
      </c>
      <c r="F921" s="368" t="s">
        <v>1246</v>
      </c>
      <c r="G921" s="373">
        <v>0</v>
      </c>
      <c r="H921" s="373">
        <f t="shared" si="71"/>
        <v>0</v>
      </c>
      <c r="I921" s="222"/>
    </row>
    <row r="922" spans="1:9" ht="63" hidden="1" x14ac:dyDescent="0.25">
      <c r="A922" s="372" t="s">
        <v>822</v>
      </c>
      <c r="B922" s="366">
        <v>908</v>
      </c>
      <c r="C922" s="368" t="s">
        <v>249</v>
      </c>
      <c r="D922" s="368" t="s">
        <v>228</v>
      </c>
      <c r="E922" s="368" t="s">
        <v>1116</v>
      </c>
      <c r="F922" s="368"/>
      <c r="G922" s="373">
        <f>'Пр.4 ведом.20'!G963</f>
        <v>0</v>
      </c>
      <c r="H922" s="373">
        <f t="shared" si="71"/>
        <v>0</v>
      </c>
      <c r="I922" s="222"/>
    </row>
    <row r="923" spans="1:9" ht="31.5" hidden="1" x14ac:dyDescent="0.25">
      <c r="A923" s="372" t="s">
        <v>146</v>
      </c>
      <c r="B923" s="366">
        <v>908</v>
      </c>
      <c r="C923" s="368" t="s">
        <v>249</v>
      </c>
      <c r="D923" s="368" t="s">
        <v>228</v>
      </c>
      <c r="E923" s="368" t="s">
        <v>1116</v>
      </c>
      <c r="F923" s="368" t="s">
        <v>147</v>
      </c>
      <c r="G923" s="373">
        <f>'Пр.4 ведом.20'!G964</f>
        <v>0</v>
      </c>
      <c r="H923" s="373">
        <f t="shared" si="71"/>
        <v>0</v>
      </c>
      <c r="I923" s="222"/>
    </row>
    <row r="924" spans="1:9" ht="31.5" hidden="1" x14ac:dyDescent="0.25">
      <c r="A924" s="372" t="s">
        <v>148</v>
      </c>
      <c r="B924" s="366">
        <v>908</v>
      </c>
      <c r="C924" s="368" t="s">
        <v>249</v>
      </c>
      <c r="D924" s="368" t="s">
        <v>228</v>
      </c>
      <c r="E924" s="368" t="s">
        <v>1116</v>
      </c>
      <c r="F924" s="368" t="s">
        <v>149</v>
      </c>
      <c r="G924" s="373">
        <f>'Пр.4 ведом.20'!G965</f>
        <v>0</v>
      </c>
      <c r="H924" s="373">
        <f t="shared" si="71"/>
        <v>0</v>
      </c>
      <c r="I924" s="222"/>
    </row>
    <row r="925" spans="1:9" ht="47.25" hidden="1" x14ac:dyDescent="0.25">
      <c r="A925" s="98" t="s">
        <v>877</v>
      </c>
      <c r="B925" s="366">
        <v>908</v>
      </c>
      <c r="C925" s="368" t="s">
        <v>249</v>
      </c>
      <c r="D925" s="368" t="s">
        <v>228</v>
      </c>
      <c r="E925" s="368" t="s">
        <v>1117</v>
      </c>
      <c r="F925" s="368"/>
      <c r="G925" s="373">
        <f>'Пр.4 ведом.20'!G966</f>
        <v>0</v>
      </c>
      <c r="H925" s="373">
        <f t="shared" si="71"/>
        <v>0</v>
      </c>
      <c r="I925" s="222"/>
    </row>
    <row r="926" spans="1:9" ht="31.5" hidden="1" x14ac:dyDescent="0.25">
      <c r="A926" s="372" t="s">
        <v>882</v>
      </c>
      <c r="B926" s="366">
        <v>908</v>
      </c>
      <c r="C926" s="368" t="s">
        <v>249</v>
      </c>
      <c r="D926" s="368" t="s">
        <v>228</v>
      </c>
      <c r="E926" s="368" t="s">
        <v>1117</v>
      </c>
      <c r="F926" s="368" t="s">
        <v>881</v>
      </c>
      <c r="G926" s="373">
        <f>'Пр.4 ведом.20'!G967</f>
        <v>0</v>
      </c>
      <c r="H926" s="373">
        <f t="shared" si="71"/>
        <v>0</v>
      </c>
      <c r="I926" s="222"/>
    </row>
    <row r="927" spans="1:9" ht="63" hidden="1" x14ac:dyDescent="0.25">
      <c r="A927" s="372" t="s">
        <v>1224</v>
      </c>
      <c r="B927" s="366">
        <v>908</v>
      </c>
      <c r="C927" s="368" t="s">
        <v>249</v>
      </c>
      <c r="D927" s="368" t="s">
        <v>228</v>
      </c>
      <c r="E927" s="368" t="s">
        <v>1117</v>
      </c>
      <c r="F927" s="368" t="s">
        <v>1246</v>
      </c>
      <c r="G927" s="373">
        <f>'Пр.4 ведом.20'!G968</f>
        <v>0</v>
      </c>
      <c r="H927" s="373">
        <f t="shared" si="71"/>
        <v>0</v>
      </c>
      <c r="I927" s="222"/>
    </row>
    <row r="928" spans="1:9" ht="15.75" hidden="1" x14ac:dyDescent="0.25">
      <c r="A928" s="372" t="s">
        <v>150</v>
      </c>
      <c r="B928" s="366">
        <v>908</v>
      </c>
      <c r="C928" s="368" t="s">
        <v>249</v>
      </c>
      <c r="D928" s="368" t="s">
        <v>228</v>
      </c>
      <c r="E928" s="368" t="s">
        <v>1117</v>
      </c>
      <c r="F928" s="368" t="s">
        <v>160</v>
      </c>
      <c r="G928" s="373">
        <f>'Пр.4 ведом.20'!G969</f>
        <v>0</v>
      </c>
      <c r="H928" s="373">
        <f t="shared" si="71"/>
        <v>0</v>
      </c>
      <c r="I928" s="222"/>
    </row>
    <row r="929" spans="1:9" ht="15.75" hidden="1" x14ac:dyDescent="0.25">
      <c r="A929" s="372" t="s">
        <v>725</v>
      </c>
      <c r="B929" s="366">
        <v>908</v>
      </c>
      <c r="C929" s="368" t="s">
        <v>249</v>
      </c>
      <c r="D929" s="368" t="s">
        <v>228</v>
      </c>
      <c r="E929" s="368" t="s">
        <v>1117</v>
      </c>
      <c r="F929" s="368" t="s">
        <v>153</v>
      </c>
      <c r="G929" s="373">
        <f>'Пр.4 ведом.20'!G970</f>
        <v>0</v>
      </c>
      <c r="H929" s="373">
        <f t="shared" si="71"/>
        <v>0</v>
      </c>
      <c r="I929" s="222"/>
    </row>
    <row r="930" spans="1:9" ht="31.5" hidden="1" x14ac:dyDescent="0.25">
      <c r="A930" s="372" t="s">
        <v>1247</v>
      </c>
      <c r="B930" s="366">
        <v>908</v>
      </c>
      <c r="C930" s="368" t="s">
        <v>249</v>
      </c>
      <c r="D930" s="368" t="s">
        <v>228</v>
      </c>
      <c r="E930" s="368" t="s">
        <v>1248</v>
      </c>
      <c r="F930" s="368"/>
      <c r="G930" s="373">
        <f>'Пр.4 ведом.20'!G971</f>
        <v>0</v>
      </c>
      <c r="H930" s="373">
        <f t="shared" si="71"/>
        <v>0</v>
      </c>
      <c r="I930" s="222"/>
    </row>
    <row r="931" spans="1:9" ht="31.5" hidden="1" x14ac:dyDescent="0.25">
      <c r="A931" s="372" t="s">
        <v>146</v>
      </c>
      <c r="B931" s="366">
        <v>908</v>
      </c>
      <c r="C931" s="368" t="s">
        <v>249</v>
      </c>
      <c r="D931" s="368" t="s">
        <v>228</v>
      </c>
      <c r="E931" s="368" t="s">
        <v>1248</v>
      </c>
      <c r="F931" s="368" t="s">
        <v>147</v>
      </c>
      <c r="G931" s="373">
        <f>'Пр.4 ведом.20'!G972</f>
        <v>0</v>
      </c>
      <c r="H931" s="373">
        <f t="shared" si="71"/>
        <v>0</v>
      </c>
      <c r="I931" s="222"/>
    </row>
    <row r="932" spans="1:9" ht="31.5" hidden="1" x14ac:dyDescent="0.25">
      <c r="A932" s="372" t="s">
        <v>148</v>
      </c>
      <c r="B932" s="366">
        <v>908</v>
      </c>
      <c r="C932" s="368" t="s">
        <v>249</v>
      </c>
      <c r="D932" s="368" t="s">
        <v>228</v>
      </c>
      <c r="E932" s="368" t="s">
        <v>1248</v>
      </c>
      <c r="F932" s="368" t="s">
        <v>149</v>
      </c>
      <c r="G932" s="373">
        <f>'Пр.4 ведом.20'!G973</f>
        <v>0</v>
      </c>
      <c r="H932" s="373">
        <f t="shared" si="71"/>
        <v>0</v>
      </c>
      <c r="I932" s="222"/>
    </row>
    <row r="933" spans="1:9" ht="63" x14ac:dyDescent="0.25">
      <c r="A933" s="370" t="s">
        <v>1360</v>
      </c>
      <c r="B933" s="367">
        <v>908</v>
      </c>
      <c r="C933" s="371" t="s">
        <v>249</v>
      </c>
      <c r="D933" s="371" t="s">
        <v>228</v>
      </c>
      <c r="E933" s="371" t="s">
        <v>533</v>
      </c>
      <c r="F933" s="371"/>
      <c r="G933" s="369">
        <f>G934+G938+G942+G946+G958+G954</f>
        <v>700</v>
      </c>
      <c r="H933" s="369">
        <f>H934+H938+H942+H946+H958+H954</f>
        <v>700</v>
      </c>
      <c r="I933" s="222"/>
    </row>
    <row r="934" spans="1:9" ht="31.5" x14ac:dyDescent="0.25">
      <c r="A934" s="370" t="s">
        <v>1097</v>
      </c>
      <c r="B934" s="367">
        <v>908</v>
      </c>
      <c r="C934" s="371" t="s">
        <v>249</v>
      </c>
      <c r="D934" s="371" t="s">
        <v>228</v>
      </c>
      <c r="E934" s="371" t="s">
        <v>1099</v>
      </c>
      <c r="F934" s="371"/>
      <c r="G934" s="369">
        <f t="shared" ref="G934:H936" si="72">G935</f>
        <v>700</v>
      </c>
      <c r="H934" s="369">
        <f t="shared" si="72"/>
        <v>700</v>
      </c>
      <c r="I934" s="222"/>
    </row>
    <row r="935" spans="1:9" ht="15.75" x14ac:dyDescent="0.25">
      <c r="A935" s="45" t="s">
        <v>1098</v>
      </c>
      <c r="B935" s="366">
        <v>908</v>
      </c>
      <c r="C935" s="376" t="s">
        <v>249</v>
      </c>
      <c r="D935" s="376" t="s">
        <v>228</v>
      </c>
      <c r="E935" s="368" t="s">
        <v>1100</v>
      </c>
      <c r="F935" s="376"/>
      <c r="G935" s="373">
        <f t="shared" si="72"/>
        <v>700</v>
      </c>
      <c r="H935" s="373">
        <f t="shared" si="72"/>
        <v>700</v>
      </c>
      <c r="I935" s="222"/>
    </row>
    <row r="936" spans="1:9" ht="31.5" x14ac:dyDescent="0.25">
      <c r="A936" s="31" t="s">
        <v>146</v>
      </c>
      <c r="B936" s="366">
        <v>908</v>
      </c>
      <c r="C936" s="376" t="s">
        <v>249</v>
      </c>
      <c r="D936" s="376" t="s">
        <v>228</v>
      </c>
      <c r="E936" s="368" t="s">
        <v>1100</v>
      </c>
      <c r="F936" s="376" t="s">
        <v>147</v>
      </c>
      <c r="G936" s="373">
        <f t="shared" si="72"/>
        <v>700</v>
      </c>
      <c r="H936" s="373">
        <f t="shared" si="72"/>
        <v>700</v>
      </c>
      <c r="I936" s="222"/>
    </row>
    <row r="937" spans="1:9" ht="31.5" x14ac:dyDescent="0.25">
      <c r="A937" s="31" t="s">
        <v>148</v>
      </c>
      <c r="B937" s="366">
        <v>908</v>
      </c>
      <c r="C937" s="376" t="s">
        <v>249</v>
      </c>
      <c r="D937" s="376" t="s">
        <v>228</v>
      </c>
      <c r="E937" s="368" t="s">
        <v>1100</v>
      </c>
      <c r="F937" s="376" t="s">
        <v>149</v>
      </c>
      <c r="G937" s="373">
        <v>700</v>
      </c>
      <c r="H937" s="373">
        <v>700</v>
      </c>
      <c r="I937" s="222"/>
    </row>
    <row r="938" spans="1:9" ht="31.5" hidden="1" x14ac:dyDescent="0.25">
      <c r="A938" s="34" t="s">
        <v>1101</v>
      </c>
      <c r="B938" s="367">
        <v>908</v>
      </c>
      <c r="C938" s="364" t="s">
        <v>249</v>
      </c>
      <c r="D938" s="364" t="s">
        <v>228</v>
      </c>
      <c r="E938" s="371" t="s">
        <v>1102</v>
      </c>
      <c r="F938" s="364"/>
      <c r="G938" s="369">
        <f>G939</f>
        <v>0</v>
      </c>
      <c r="H938" s="369">
        <f>H939</f>
        <v>0</v>
      </c>
      <c r="I938" s="222"/>
    </row>
    <row r="939" spans="1:9" ht="15.75" hidden="1" x14ac:dyDescent="0.25">
      <c r="A939" s="45" t="s">
        <v>538</v>
      </c>
      <c r="B939" s="366">
        <v>908</v>
      </c>
      <c r="C939" s="376" t="s">
        <v>249</v>
      </c>
      <c r="D939" s="376" t="s">
        <v>228</v>
      </c>
      <c r="E939" s="368" t="s">
        <v>1105</v>
      </c>
      <c r="F939" s="376"/>
      <c r="G939" s="373">
        <f>G940</f>
        <v>0</v>
      </c>
      <c r="H939" s="373">
        <f t="shared" si="71"/>
        <v>0</v>
      </c>
      <c r="I939" s="222"/>
    </row>
    <row r="940" spans="1:9" ht="31.5" hidden="1" x14ac:dyDescent="0.25">
      <c r="A940" s="31" t="s">
        <v>146</v>
      </c>
      <c r="B940" s="366">
        <v>908</v>
      </c>
      <c r="C940" s="376" t="s">
        <v>249</v>
      </c>
      <c r="D940" s="376" t="s">
        <v>228</v>
      </c>
      <c r="E940" s="368" t="s">
        <v>1105</v>
      </c>
      <c r="F940" s="376" t="s">
        <v>147</v>
      </c>
      <c r="G940" s="373">
        <f>G941</f>
        <v>0</v>
      </c>
      <c r="H940" s="373">
        <f t="shared" si="71"/>
        <v>0</v>
      </c>
      <c r="I940" s="222"/>
    </row>
    <row r="941" spans="1:9" ht="31.5" hidden="1" x14ac:dyDescent="0.25">
      <c r="A941" s="31" t="s">
        <v>148</v>
      </c>
      <c r="B941" s="366">
        <v>908</v>
      </c>
      <c r="C941" s="376" t="s">
        <v>249</v>
      </c>
      <c r="D941" s="376" t="s">
        <v>228</v>
      </c>
      <c r="E941" s="368" t="s">
        <v>1105</v>
      </c>
      <c r="F941" s="376" t="s">
        <v>149</v>
      </c>
      <c r="G941" s="373">
        <v>0</v>
      </c>
      <c r="H941" s="373">
        <f t="shared" si="71"/>
        <v>0</v>
      </c>
      <c r="I941" s="222"/>
    </row>
    <row r="942" spans="1:9" ht="31.5" hidden="1" x14ac:dyDescent="0.25">
      <c r="A942" s="58" t="s">
        <v>1103</v>
      </c>
      <c r="B942" s="367">
        <v>908</v>
      </c>
      <c r="C942" s="364" t="s">
        <v>249</v>
      </c>
      <c r="D942" s="364" t="s">
        <v>228</v>
      </c>
      <c r="E942" s="371" t="s">
        <v>1104</v>
      </c>
      <c r="F942" s="364"/>
      <c r="G942" s="4">
        <f>G943</f>
        <v>0</v>
      </c>
      <c r="H942" s="4">
        <f>H943</f>
        <v>0</v>
      </c>
      <c r="I942" s="222"/>
    </row>
    <row r="943" spans="1:9" ht="15.75" hidden="1" x14ac:dyDescent="0.25">
      <c r="A943" s="45" t="s">
        <v>540</v>
      </c>
      <c r="B943" s="366">
        <v>908</v>
      </c>
      <c r="C943" s="376" t="s">
        <v>249</v>
      </c>
      <c r="D943" s="376" t="s">
        <v>228</v>
      </c>
      <c r="E943" s="368" t="s">
        <v>1106</v>
      </c>
      <c r="F943" s="376"/>
      <c r="G943" s="373">
        <f>'Пр.4 ведом.20'!G984</f>
        <v>0</v>
      </c>
      <c r="H943" s="373">
        <f t="shared" si="71"/>
        <v>0</v>
      </c>
      <c r="I943" s="222"/>
    </row>
    <row r="944" spans="1:9" ht="31.5" hidden="1" x14ac:dyDescent="0.25">
      <c r="A944" s="31" t="s">
        <v>146</v>
      </c>
      <c r="B944" s="366">
        <v>908</v>
      </c>
      <c r="C944" s="376" t="s">
        <v>249</v>
      </c>
      <c r="D944" s="376" t="s">
        <v>228</v>
      </c>
      <c r="E944" s="368" t="s">
        <v>1106</v>
      </c>
      <c r="F944" s="376" t="s">
        <v>147</v>
      </c>
      <c r="G944" s="373">
        <f>'Пр.4 ведом.20'!G985</f>
        <v>0</v>
      </c>
      <c r="H944" s="373">
        <f t="shared" si="71"/>
        <v>0</v>
      </c>
      <c r="I944" s="222"/>
    </row>
    <row r="945" spans="1:9" ht="31.5" hidden="1" x14ac:dyDescent="0.25">
      <c r="A945" s="31" t="s">
        <v>148</v>
      </c>
      <c r="B945" s="366">
        <v>908</v>
      </c>
      <c r="C945" s="376" t="s">
        <v>249</v>
      </c>
      <c r="D945" s="376" t="s">
        <v>228</v>
      </c>
      <c r="E945" s="368" t="s">
        <v>1106</v>
      </c>
      <c r="F945" s="376" t="s">
        <v>149</v>
      </c>
      <c r="G945" s="373">
        <f>'Пр.4 ведом.20'!G986</f>
        <v>0</v>
      </c>
      <c r="H945" s="373">
        <f t="shared" si="71"/>
        <v>0</v>
      </c>
      <c r="I945" s="222"/>
    </row>
    <row r="946" spans="1:9" ht="31.5" hidden="1" x14ac:dyDescent="0.25">
      <c r="A946" s="58" t="s">
        <v>1107</v>
      </c>
      <c r="B946" s="367">
        <v>908</v>
      </c>
      <c r="C946" s="364" t="s">
        <v>249</v>
      </c>
      <c r="D946" s="364" t="s">
        <v>228</v>
      </c>
      <c r="E946" s="371" t="s">
        <v>1108</v>
      </c>
      <c r="F946" s="364"/>
      <c r="G946" s="4">
        <f t="shared" ref="G946:H948" si="73">G947</f>
        <v>0</v>
      </c>
      <c r="H946" s="4">
        <f t="shared" si="73"/>
        <v>0</v>
      </c>
      <c r="I946" s="222"/>
    </row>
    <row r="947" spans="1:9" ht="15.75" hidden="1" x14ac:dyDescent="0.25">
      <c r="A947" s="45" t="s">
        <v>542</v>
      </c>
      <c r="B947" s="366">
        <v>908</v>
      </c>
      <c r="C947" s="376" t="s">
        <v>249</v>
      </c>
      <c r="D947" s="376" t="s">
        <v>228</v>
      </c>
      <c r="E947" s="368" t="s">
        <v>1109</v>
      </c>
      <c r="F947" s="376"/>
      <c r="G947" s="373">
        <f t="shared" si="73"/>
        <v>0</v>
      </c>
      <c r="H947" s="373">
        <f t="shared" si="73"/>
        <v>0</v>
      </c>
      <c r="I947" s="222"/>
    </row>
    <row r="948" spans="1:9" ht="31.5" hidden="1" x14ac:dyDescent="0.25">
      <c r="A948" s="31" t="s">
        <v>146</v>
      </c>
      <c r="B948" s="366">
        <v>908</v>
      </c>
      <c r="C948" s="376" t="s">
        <v>249</v>
      </c>
      <c r="D948" s="376" t="s">
        <v>228</v>
      </c>
      <c r="E948" s="368" t="s">
        <v>1109</v>
      </c>
      <c r="F948" s="376" t="s">
        <v>147</v>
      </c>
      <c r="G948" s="373">
        <f t="shared" si="73"/>
        <v>0</v>
      </c>
      <c r="H948" s="373">
        <f t="shared" si="73"/>
        <v>0</v>
      </c>
      <c r="I948" s="222"/>
    </row>
    <row r="949" spans="1:9" ht="31.5" hidden="1" x14ac:dyDescent="0.25">
      <c r="A949" s="31" t="s">
        <v>148</v>
      </c>
      <c r="B949" s="366">
        <v>908</v>
      </c>
      <c r="C949" s="376" t="s">
        <v>249</v>
      </c>
      <c r="D949" s="376" t="s">
        <v>228</v>
      </c>
      <c r="E949" s="368" t="s">
        <v>1109</v>
      </c>
      <c r="F949" s="376" t="s">
        <v>149</v>
      </c>
      <c r="G949" s="373">
        <v>0</v>
      </c>
      <c r="H949" s="373">
        <v>0</v>
      </c>
      <c r="I949" s="222"/>
    </row>
    <row r="950" spans="1:9" ht="31.5" hidden="1" x14ac:dyDescent="0.25">
      <c r="A950" s="34" t="s">
        <v>1170</v>
      </c>
      <c r="B950" s="367">
        <v>908</v>
      </c>
      <c r="C950" s="364" t="s">
        <v>249</v>
      </c>
      <c r="D950" s="364" t="s">
        <v>228</v>
      </c>
      <c r="E950" s="371" t="s">
        <v>1171</v>
      </c>
      <c r="F950" s="364"/>
      <c r="G950" s="4">
        <f>G951</f>
        <v>0</v>
      </c>
      <c r="H950" s="4">
        <f>H951</f>
        <v>0</v>
      </c>
      <c r="I950" s="222"/>
    </row>
    <row r="951" spans="1:9" ht="15.75" hidden="1" x14ac:dyDescent="0.25">
      <c r="A951" s="45" t="s">
        <v>544</v>
      </c>
      <c r="B951" s="366">
        <v>908</v>
      </c>
      <c r="C951" s="376" t="s">
        <v>249</v>
      </c>
      <c r="D951" s="376" t="s">
        <v>228</v>
      </c>
      <c r="E951" s="368" t="s">
        <v>1174</v>
      </c>
      <c r="F951" s="376"/>
      <c r="G951" s="373">
        <f>'Пр.4 ведом.20'!G992</f>
        <v>0</v>
      </c>
      <c r="H951" s="373">
        <f t="shared" si="71"/>
        <v>0</v>
      </c>
      <c r="I951" s="222"/>
    </row>
    <row r="952" spans="1:9" ht="31.5" hidden="1" x14ac:dyDescent="0.25">
      <c r="A952" s="31" t="s">
        <v>146</v>
      </c>
      <c r="B952" s="366">
        <v>908</v>
      </c>
      <c r="C952" s="376" t="s">
        <v>249</v>
      </c>
      <c r="D952" s="376" t="s">
        <v>228</v>
      </c>
      <c r="E952" s="368" t="s">
        <v>1174</v>
      </c>
      <c r="F952" s="376" t="s">
        <v>147</v>
      </c>
      <c r="G952" s="373">
        <f>'Пр.4 ведом.20'!G993</f>
        <v>0</v>
      </c>
      <c r="H952" s="373">
        <f t="shared" si="71"/>
        <v>0</v>
      </c>
      <c r="I952" s="222"/>
    </row>
    <row r="953" spans="1:9" ht="31.5" hidden="1" x14ac:dyDescent="0.25">
      <c r="A953" s="31" t="s">
        <v>148</v>
      </c>
      <c r="B953" s="366">
        <v>908</v>
      </c>
      <c r="C953" s="376" t="s">
        <v>249</v>
      </c>
      <c r="D953" s="376" t="s">
        <v>228</v>
      </c>
      <c r="E953" s="368" t="s">
        <v>1174</v>
      </c>
      <c r="F953" s="376" t="s">
        <v>149</v>
      </c>
      <c r="G953" s="373">
        <f>'Пр.4 ведом.20'!G994</f>
        <v>0</v>
      </c>
      <c r="H953" s="373">
        <f t="shared" si="71"/>
        <v>0</v>
      </c>
      <c r="I953" s="222"/>
    </row>
    <row r="954" spans="1:9" ht="31.5" hidden="1" x14ac:dyDescent="0.25">
      <c r="A954" s="247" t="s">
        <v>1172</v>
      </c>
      <c r="B954" s="367">
        <v>908</v>
      </c>
      <c r="C954" s="364" t="s">
        <v>249</v>
      </c>
      <c r="D954" s="364" t="s">
        <v>228</v>
      </c>
      <c r="E954" s="371" t="s">
        <v>1173</v>
      </c>
      <c r="F954" s="364"/>
      <c r="G954" s="369">
        <f>G955</f>
        <v>0</v>
      </c>
      <c r="H954" s="369">
        <f>H955</f>
        <v>0</v>
      </c>
      <c r="I954" s="222"/>
    </row>
    <row r="955" spans="1:9" ht="31.5" hidden="1" x14ac:dyDescent="0.25">
      <c r="A955" s="178" t="s">
        <v>546</v>
      </c>
      <c r="B955" s="366">
        <v>908</v>
      </c>
      <c r="C955" s="376" t="s">
        <v>249</v>
      </c>
      <c r="D955" s="376" t="s">
        <v>228</v>
      </c>
      <c r="E955" s="368" t="s">
        <v>1175</v>
      </c>
      <c r="F955" s="376"/>
      <c r="G955" s="373">
        <f>'Пр.4 ведом.20'!G996</f>
        <v>0</v>
      </c>
      <c r="H955" s="373">
        <f t="shared" si="71"/>
        <v>0</v>
      </c>
      <c r="I955" s="222"/>
    </row>
    <row r="956" spans="1:9" ht="31.5" hidden="1" x14ac:dyDescent="0.25">
      <c r="A956" s="31" t="s">
        <v>146</v>
      </c>
      <c r="B956" s="366">
        <v>908</v>
      </c>
      <c r="C956" s="376" t="s">
        <v>249</v>
      </c>
      <c r="D956" s="376" t="s">
        <v>228</v>
      </c>
      <c r="E956" s="368" t="s">
        <v>1175</v>
      </c>
      <c r="F956" s="376" t="s">
        <v>147</v>
      </c>
      <c r="G956" s="373">
        <f>'Пр.4 ведом.20'!G997</f>
        <v>0</v>
      </c>
      <c r="H956" s="373">
        <f t="shared" si="71"/>
        <v>0</v>
      </c>
      <c r="I956" s="222"/>
    </row>
    <row r="957" spans="1:9" ht="31.5" hidden="1" x14ac:dyDescent="0.25">
      <c r="A957" s="31" t="s">
        <v>148</v>
      </c>
      <c r="B957" s="366">
        <v>908</v>
      </c>
      <c r="C957" s="376" t="s">
        <v>249</v>
      </c>
      <c r="D957" s="376" t="s">
        <v>228</v>
      </c>
      <c r="E957" s="368" t="s">
        <v>1175</v>
      </c>
      <c r="F957" s="376" t="s">
        <v>149</v>
      </c>
      <c r="G957" s="373">
        <f>'Пр.4 ведом.20'!G998</f>
        <v>0</v>
      </c>
      <c r="H957" s="373">
        <f t="shared" si="71"/>
        <v>0</v>
      </c>
      <c r="I957" s="222"/>
    </row>
    <row r="958" spans="1:9" ht="31.5" hidden="1" x14ac:dyDescent="0.25">
      <c r="A958" s="247" t="s">
        <v>1111</v>
      </c>
      <c r="B958" s="367">
        <v>908</v>
      </c>
      <c r="C958" s="364" t="s">
        <v>249</v>
      </c>
      <c r="D958" s="364" t="s">
        <v>228</v>
      </c>
      <c r="E958" s="371" t="s">
        <v>1112</v>
      </c>
      <c r="F958" s="364"/>
      <c r="G958" s="369">
        <f>G959</f>
        <v>0</v>
      </c>
      <c r="H958" s="369">
        <f>H959</f>
        <v>0</v>
      </c>
      <c r="I958" s="222"/>
    </row>
    <row r="959" spans="1:9" ht="15.75" hidden="1" x14ac:dyDescent="0.25">
      <c r="A959" s="178" t="s">
        <v>548</v>
      </c>
      <c r="B959" s="366">
        <v>908</v>
      </c>
      <c r="C959" s="376" t="s">
        <v>249</v>
      </c>
      <c r="D959" s="376" t="s">
        <v>228</v>
      </c>
      <c r="E959" s="368" t="s">
        <v>1110</v>
      </c>
      <c r="F959" s="376"/>
      <c r="G959" s="373">
        <f>'Пр.4 ведом.20'!G1000</f>
        <v>0</v>
      </c>
      <c r="H959" s="373">
        <f t="shared" si="71"/>
        <v>0</v>
      </c>
      <c r="I959" s="222"/>
    </row>
    <row r="960" spans="1:9" ht="31.5" hidden="1" x14ac:dyDescent="0.25">
      <c r="A960" s="372" t="s">
        <v>146</v>
      </c>
      <c r="B960" s="366">
        <v>908</v>
      </c>
      <c r="C960" s="376" t="s">
        <v>249</v>
      </c>
      <c r="D960" s="376" t="s">
        <v>228</v>
      </c>
      <c r="E960" s="368" t="s">
        <v>1110</v>
      </c>
      <c r="F960" s="376" t="s">
        <v>147</v>
      </c>
      <c r="G960" s="373">
        <f>'Пр.4 ведом.20'!G1001</f>
        <v>0</v>
      </c>
      <c r="H960" s="373">
        <f t="shared" si="71"/>
        <v>0</v>
      </c>
      <c r="I960" s="222"/>
    </row>
    <row r="961" spans="1:9" ht="31.5" hidden="1" x14ac:dyDescent="0.25">
      <c r="A961" s="372" t="s">
        <v>148</v>
      </c>
      <c r="B961" s="366">
        <v>908</v>
      </c>
      <c r="C961" s="376" t="s">
        <v>249</v>
      </c>
      <c r="D961" s="376" t="s">
        <v>228</v>
      </c>
      <c r="E961" s="368" t="s">
        <v>1110</v>
      </c>
      <c r="F961" s="376" t="s">
        <v>149</v>
      </c>
      <c r="G961" s="373">
        <f>'Пр.4 ведом.20'!G1002</f>
        <v>0</v>
      </c>
      <c r="H961" s="373">
        <f t="shared" si="71"/>
        <v>0</v>
      </c>
      <c r="I961" s="222"/>
    </row>
    <row r="962" spans="1:9" s="221" customFormat="1" ht="47.25" x14ac:dyDescent="0.25">
      <c r="A962" s="370" t="s">
        <v>1367</v>
      </c>
      <c r="B962" s="367">
        <v>908</v>
      </c>
      <c r="C962" s="364" t="s">
        <v>249</v>
      </c>
      <c r="D962" s="364" t="s">
        <v>228</v>
      </c>
      <c r="E962" s="371" t="s">
        <v>1366</v>
      </c>
      <c r="F962" s="364"/>
      <c r="G962" s="369">
        <f t="shared" ref="G962:H965" si="74">G963</f>
        <v>235</v>
      </c>
      <c r="H962" s="369">
        <f t="shared" si="74"/>
        <v>204</v>
      </c>
      <c r="I962" s="222"/>
    </row>
    <row r="963" spans="1:9" s="221" customFormat="1" ht="31.5" x14ac:dyDescent="0.25">
      <c r="A963" s="370" t="s">
        <v>1368</v>
      </c>
      <c r="B963" s="367">
        <v>908</v>
      </c>
      <c r="C963" s="364" t="s">
        <v>249</v>
      </c>
      <c r="D963" s="364" t="s">
        <v>228</v>
      </c>
      <c r="E963" s="371" t="s">
        <v>1369</v>
      </c>
      <c r="F963" s="364"/>
      <c r="G963" s="369">
        <f t="shared" si="74"/>
        <v>235</v>
      </c>
      <c r="H963" s="369">
        <f t="shared" si="74"/>
        <v>204</v>
      </c>
      <c r="I963" s="222"/>
    </row>
    <row r="964" spans="1:9" s="221" customFormat="1" ht="15.75" x14ac:dyDescent="0.25">
      <c r="A964" s="372" t="s">
        <v>552</v>
      </c>
      <c r="B964" s="366">
        <v>908</v>
      </c>
      <c r="C964" s="376" t="s">
        <v>249</v>
      </c>
      <c r="D964" s="376" t="s">
        <v>228</v>
      </c>
      <c r="E964" s="368" t="s">
        <v>1370</v>
      </c>
      <c r="F964" s="376"/>
      <c r="G964" s="373">
        <f t="shared" si="74"/>
        <v>235</v>
      </c>
      <c r="H964" s="373">
        <f t="shared" si="74"/>
        <v>204</v>
      </c>
      <c r="I964" s="222"/>
    </row>
    <row r="965" spans="1:9" s="221" customFormat="1" ht="31.5" x14ac:dyDescent="0.25">
      <c r="A965" s="372" t="s">
        <v>146</v>
      </c>
      <c r="B965" s="366">
        <v>908</v>
      </c>
      <c r="C965" s="376" t="s">
        <v>249</v>
      </c>
      <c r="D965" s="376" t="s">
        <v>228</v>
      </c>
      <c r="E965" s="368" t="s">
        <v>1370</v>
      </c>
      <c r="F965" s="376" t="s">
        <v>147</v>
      </c>
      <c r="G965" s="373">
        <f t="shared" si="74"/>
        <v>235</v>
      </c>
      <c r="H965" s="373">
        <f t="shared" si="74"/>
        <v>204</v>
      </c>
      <c r="I965" s="222"/>
    </row>
    <row r="966" spans="1:9" s="221" customFormat="1" ht="31.5" x14ac:dyDescent="0.25">
      <c r="A966" s="372" t="s">
        <v>148</v>
      </c>
      <c r="B966" s="366">
        <v>908</v>
      </c>
      <c r="C966" s="376" t="s">
        <v>249</v>
      </c>
      <c r="D966" s="376" t="s">
        <v>228</v>
      </c>
      <c r="E966" s="368" t="s">
        <v>1370</v>
      </c>
      <c r="F966" s="376" t="s">
        <v>149</v>
      </c>
      <c r="G966" s="373">
        <v>235</v>
      </c>
      <c r="H966" s="373">
        <v>204</v>
      </c>
      <c r="I966" s="222"/>
    </row>
    <row r="967" spans="1:9" ht="15.75" x14ac:dyDescent="0.25">
      <c r="A967" s="370" t="s">
        <v>556</v>
      </c>
      <c r="B967" s="367">
        <v>908</v>
      </c>
      <c r="C967" s="371" t="s">
        <v>249</v>
      </c>
      <c r="D967" s="371" t="s">
        <v>230</v>
      </c>
      <c r="E967" s="371"/>
      <c r="F967" s="371"/>
      <c r="G967" s="369">
        <f>G968+G973+G1011</f>
        <v>4134.5</v>
      </c>
      <c r="H967" s="369">
        <f>H968+H973+H1011</f>
        <v>11526.5</v>
      </c>
      <c r="I967" s="222"/>
    </row>
    <row r="968" spans="1:9" ht="15.75" x14ac:dyDescent="0.25">
      <c r="A968" s="370" t="s">
        <v>156</v>
      </c>
      <c r="B968" s="367">
        <v>908</v>
      </c>
      <c r="C968" s="371" t="s">
        <v>249</v>
      </c>
      <c r="D968" s="371" t="s">
        <v>230</v>
      </c>
      <c r="E968" s="371" t="s">
        <v>910</v>
      </c>
      <c r="F968" s="371"/>
      <c r="G968" s="369">
        <f t="shared" ref="G968:H971" si="75">G969</f>
        <v>390</v>
      </c>
      <c r="H968" s="369">
        <f t="shared" si="75"/>
        <v>390</v>
      </c>
      <c r="I968" s="222"/>
    </row>
    <row r="969" spans="1:9" ht="31.5" x14ac:dyDescent="0.25">
      <c r="A969" s="370" t="s">
        <v>914</v>
      </c>
      <c r="B969" s="367">
        <v>908</v>
      </c>
      <c r="C969" s="371" t="s">
        <v>249</v>
      </c>
      <c r="D969" s="371" t="s">
        <v>230</v>
      </c>
      <c r="E969" s="371" t="s">
        <v>909</v>
      </c>
      <c r="F969" s="371"/>
      <c r="G969" s="369">
        <f t="shared" si="75"/>
        <v>390</v>
      </c>
      <c r="H969" s="369">
        <f t="shared" si="75"/>
        <v>390</v>
      </c>
      <c r="I969" s="222"/>
    </row>
    <row r="970" spans="1:9" ht="15.75" x14ac:dyDescent="0.25">
      <c r="A970" s="372" t="s">
        <v>579</v>
      </c>
      <c r="B970" s="366">
        <v>908</v>
      </c>
      <c r="C970" s="368" t="s">
        <v>249</v>
      </c>
      <c r="D970" s="368" t="s">
        <v>230</v>
      </c>
      <c r="E970" s="368" t="s">
        <v>1261</v>
      </c>
      <c r="F970" s="368"/>
      <c r="G970" s="373">
        <f t="shared" si="75"/>
        <v>390</v>
      </c>
      <c r="H970" s="373">
        <f t="shared" si="75"/>
        <v>390</v>
      </c>
      <c r="I970" s="222"/>
    </row>
    <row r="971" spans="1:9" ht="31.5" x14ac:dyDescent="0.25">
      <c r="A971" s="372" t="s">
        <v>146</v>
      </c>
      <c r="B971" s="366">
        <v>908</v>
      </c>
      <c r="C971" s="368" t="s">
        <v>249</v>
      </c>
      <c r="D971" s="368" t="s">
        <v>230</v>
      </c>
      <c r="E971" s="368" t="s">
        <v>1261</v>
      </c>
      <c r="F971" s="368" t="s">
        <v>147</v>
      </c>
      <c r="G971" s="373">
        <f t="shared" si="75"/>
        <v>390</v>
      </c>
      <c r="H971" s="373">
        <f t="shared" si="75"/>
        <v>390</v>
      </c>
      <c r="I971" s="222"/>
    </row>
    <row r="972" spans="1:9" ht="31.5" x14ac:dyDescent="0.25">
      <c r="A972" s="372" t="s">
        <v>148</v>
      </c>
      <c r="B972" s="366">
        <v>908</v>
      </c>
      <c r="C972" s="368" t="s">
        <v>249</v>
      </c>
      <c r="D972" s="368" t="s">
        <v>230</v>
      </c>
      <c r="E972" s="368" t="s">
        <v>1261</v>
      </c>
      <c r="F972" s="368" t="s">
        <v>149</v>
      </c>
      <c r="G972" s="373">
        <f>390</f>
        <v>390</v>
      </c>
      <c r="H972" s="373">
        <f t="shared" si="71"/>
        <v>390</v>
      </c>
      <c r="I972" s="222"/>
    </row>
    <row r="973" spans="1:9" ht="47.25" x14ac:dyDescent="0.25">
      <c r="A973" s="370" t="s">
        <v>1440</v>
      </c>
      <c r="B973" s="367">
        <v>908</v>
      </c>
      <c r="C973" s="371" t="s">
        <v>249</v>
      </c>
      <c r="D973" s="371" t="s">
        <v>230</v>
      </c>
      <c r="E973" s="371" t="s">
        <v>558</v>
      </c>
      <c r="F973" s="371"/>
      <c r="G973" s="369">
        <f>G974+G988</f>
        <v>3244.5</v>
      </c>
      <c r="H973" s="369">
        <f>H974+H988</f>
        <v>10636.5</v>
      </c>
      <c r="I973" s="222"/>
    </row>
    <row r="974" spans="1:9" ht="47.25" x14ac:dyDescent="0.25">
      <c r="A974" s="370" t="s">
        <v>559</v>
      </c>
      <c r="B974" s="367">
        <v>908</v>
      </c>
      <c r="C974" s="371" t="s">
        <v>249</v>
      </c>
      <c r="D974" s="371" t="s">
        <v>230</v>
      </c>
      <c r="E974" s="371" t="s">
        <v>560</v>
      </c>
      <c r="F974" s="371"/>
      <c r="G974" s="369">
        <f>G975</f>
        <v>940</v>
      </c>
      <c r="H974" s="369">
        <f>H975</f>
        <v>940</v>
      </c>
      <c r="I974" s="222"/>
    </row>
    <row r="975" spans="1:9" ht="31.5" x14ac:dyDescent="0.25">
      <c r="A975" s="370" t="s">
        <v>1120</v>
      </c>
      <c r="B975" s="367">
        <v>908</v>
      </c>
      <c r="C975" s="371" t="s">
        <v>249</v>
      </c>
      <c r="D975" s="371" t="s">
        <v>230</v>
      </c>
      <c r="E975" s="371" t="s">
        <v>1118</v>
      </c>
      <c r="F975" s="371"/>
      <c r="G975" s="369">
        <f>G976+G979+G985</f>
        <v>940</v>
      </c>
      <c r="H975" s="369">
        <f>H976+H979+H985</f>
        <v>940</v>
      </c>
      <c r="I975" s="222"/>
    </row>
    <row r="976" spans="1:9" ht="15.75" x14ac:dyDescent="0.25">
      <c r="A976" s="372" t="s">
        <v>561</v>
      </c>
      <c r="B976" s="366">
        <v>908</v>
      </c>
      <c r="C976" s="368" t="s">
        <v>249</v>
      </c>
      <c r="D976" s="368" t="s">
        <v>230</v>
      </c>
      <c r="E976" s="368" t="s">
        <v>1119</v>
      </c>
      <c r="F976" s="368"/>
      <c r="G976" s="373">
        <f>G977</f>
        <v>90</v>
      </c>
      <c r="H976" s="373">
        <f>H977</f>
        <v>90</v>
      </c>
      <c r="I976" s="222"/>
    </row>
    <row r="977" spans="1:9" ht="31.5" x14ac:dyDescent="0.25">
      <c r="A977" s="372" t="s">
        <v>146</v>
      </c>
      <c r="B977" s="366">
        <v>908</v>
      </c>
      <c r="C977" s="368" t="s">
        <v>249</v>
      </c>
      <c r="D977" s="368" t="s">
        <v>230</v>
      </c>
      <c r="E977" s="368" t="s">
        <v>1119</v>
      </c>
      <c r="F977" s="368" t="s">
        <v>147</v>
      </c>
      <c r="G977" s="373">
        <f>G978</f>
        <v>90</v>
      </c>
      <c r="H977" s="373">
        <f>H978</f>
        <v>90</v>
      </c>
      <c r="I977" s="222"/>
    </row>
    <row r="978" spans="1:9" ht="31.5" x14ac:dyDescent="0.25">
      <c r="A978" s="372" t="s">
        <v>148</v>
      </c>
      <c r="B978" s="366">
        <v>908</v>
      </c>
      <c r="C978" s="368" t="s">
        <v>249</v>
      </c>
      <c r="D978" s="368" t="s">
        <v>230</v>
      </c>
      <c r="E978" s="368" t="s">
        <v>1119</v>
      </c>
      <c r="F978" s="368" t="s">
        <v>149</v>
      </c>
      <c r="G978" s="373">
        <f>90</f>
        <v>90</v>
      </c>
      <c r="H978" s="373">
        <f t="shared" si="71"/>
        <v>90</v>
      </c>
      <c r="I978" s="222"/>
    </row>
    <row r="979" spans="1:9" ht="15.75" x14ac:dyDescent="0.25">
      <c r="A979" s="372" t="s">
        <v>1288</v>
      </c>
      <c r="B979" s="366">
        <v>908</v>
      </c>
      <c r="C979" s="368" t="s">
        <v>249</v>
      </c>
      <c r="D979" s="368" t="s">
        <v>230</v>
      </c>
      <c r="E979" s="368" t="s">
        <v>1121</v>
      </c>
      <c r="F979" s="368"/>
      <c r="G979" s="373">
        <f>G980</f>
        <v>650</v>
      </c>
      <c r="H979" s="373">
        <f>H980</f>
        <v>650</v>
      </c>
      <c r="I979" s="222"/>
    </row>
    <row r="980" spans="1:9" ht="31.5" x14ac:dyDescent="0.25">
      <c r="A980" s="372" t="s">
        <v>146</v>
      </c>
      <c r="B980" s="366">
        <v>908</v>
      </c>
      <c r="C980" s="368" t="s">
        <v>249</v>
      </c>
      <c r="D980" s="368" t="s">
        <v>230</v>
      </c>
      <c r="E980" s="368" t="s">
        <v>1121</v>
      </c>
      <c r="F980" s="368" t="s">
        <v>147</v>
      </c>
      <c r="G980" s="373">
        <f>G981</f>
        <v>650</v>
      </c>
      <c r="H980" s="373">
        <f>H981</f>
        <v>650</v>
      </c>
      <c r="I980" s="222"/>
    </row>
    <row r="981" spans="1:9" ht="31.5" x14ac:dyDescent="0.25">
      <c r="A981" s="372" t="s">
        <v>148</v>
      </c>
      <c r="B981" s="366">
        <v>908</v>
      </c>
      <c r="C981" s="368" t="s">
        <v>249</v>
      </c>
      <c r="D981" s="368" t="s">
        <v>230</v>
      </c>
      <c r="E981" s="368" t="s">
        <v>1121</v>
      </c>
      <c r="F981" s="368" t="s">
        <v>149</v>
      </c>
      <c r="G981" s="373">
        <f>650</f>
        <v>650</v>
      </c>
      <c r="H981" s="373">
        <f t="shared" si="71"/>
        <v>650</v>
      </c>
      <c r="I981" s="222"/>
    </row>
    <row r="982" spans="1:9" ht="15.75" hidden="1" x14ac:dyDescent="0.25">
      <c r="A982" s="372" t="s">
        <v>150</v>
      </c>
      <c r="B982" s="366">
        <v>908</v>
      </c>
      <c r="C982" s="368" t="s">
        <v>249</v>
      </c>
      <c r="D982" s="368" t="s">
        <v>230</v>
      </c>
      <c r="E982" s="368" t="s">
        <v>1121</v>
      </c>
      <c r="F982" s="368" t="s">
        <v>160</v>
      </c>
      <c r="G982" s="373">
        <f>'Пр.4 ведом.20'!G1023</f>
        <v>0</v>
      </c>
      <c r="H982" s="373">
        <f t="shared" si="71"/>
        <v>0</v>
      </c>
      <c r="I982" s="222"/>
    </row>
    <row r="983" spans="1:9" ht="47.25" hidden="1" x14ac:dyDescent="0.25">
      <c r="A983" s="372" t="s">
        <v>880</v>
      </c>
      <c r="B983" s="366">
        <v>908</v>
      </c>
      <c r="C983" s="368" t="s">
        <v>249</v>
      </c>
      <c r="D983" s="368" t="s">
        <v>230</v>
      </c>
      <c r="E983" s="368" t="s">
        <v>1121</v>
      </c>
      <c r="F983" s="368" t="s">
        <v>162</v>
      </c>
      <c r="G983" s="373">
        <f>'Пр.4 ведом.20'!G1024</f>
        <v>0</v>
      </c>
      <c r="H983" s="373">
        <f t="shared" si="71"/>
        <v>0</v>
      </c>
      <c r="I983" s="222"/>
    </row>
    <row r="984" spans="1:9" ht="15.75" hidden="1" x14ac:dyDescent="0.25">
      <c r="A984" s="372" t="s">
        <v>725</v>
      </c>
      <c r="B984" s="366">
        <v>908</v>
      </c>
      <c r="C984" s="368" t="s">
        <v>249</v>
      </c>
      <c r="D984" s="368" t="s">
        <v>230</v>
      </c>
      <c r="E984" s="368" t="s">
        <v>1121</v>
      </c>
      <c r="F984" s="368" t="s">
        <v>153</v>
      </c>
      <c r="G984" s="373">
        <f>'Пр.4 ведом.20'!G1025</f>
        <v>0</v>
      </c>
      <c r="H984" s="373">
        <f t="shared" si="71"/>
        <v>0</v>
      </c>
      <c r="I984" s="222"/>
    </row>
    <row r="985" spans="1:9" ht="15.75" x14ac:dyDescent="0.25">
      <c r="A985" s="372" t="s">
        <v>565</v>
      </c>
      <c r="B985" s="366">
        <v>908</v>
      </c>
      <c r="C985" s="368" t="s">
        <v>249</v>
      </c>
      <c r="D985" s="368" t="s">
        <v>230</v>
      </c>
      <c r="E985" s="368" t="s">
        <v>1122</v>
      </c>
      <c r="F985" s="368"/>
      <c r="G985" s="373">
        <f>G986</f>
        <v>200</v>
      </c>
      <c r="H985" s="373">
        <f>H986</f>
        <v>200</v>
      </c>
      <c r="I985" s="222"/>
    </row>
    <row r="986" spans="1:9" ht="31.5" x14ac:dyDescent="0.25">
      <c r="A986" s="372" t="s">
        <v>146</v>
      </c>
      <c r="B986" s="366">
        <v>908</v>
      </c>
      <c r="C986" s="368" t="s">
        <v>249</v>
      </c>
      <c r="D986" s="368" t="s">
        <v>230</v>
      </c>
      <c r="E986" s="368" t="s">
        <v>1122</v>
      </c>
      <c r="F986" s="368" t="s">
        <v>147</v>
      </c>
      <c r="G986" s="373">
        <f>G987</f>
        <v>200</v>
      </c>
      <c r="H986" s="373">
        <f>H987</f>
        <v>200</v>
      </c>
      <c r="I986" s="222"/>
    </row>
    <row r="987" spans="1:9" ht="31.5" x14ac:dyDescent="0.25">
      <c r="A987" s="372" t="s">
        <v>148</v>
      </c>
      <c r="B987" s="366">
        <v>908</v>
      </c>
      <c r="C987" s="368" t="s">
        <v>249</v>
      </c>
      <c r="D987" s="368" t="s">
        <v>230</v>
      </c>
      <c r="E987" s="368" t="s">
        <v>1122</v>
      </c>
      <c r="F987" s="368" t="s">
        <v>149</v>
      </c>
      <c r="G987" s="373">
        <f>200</f>
        <v>200</v>
      </c>
      <c r="H987" s="373">
        <f t="shared" ref="H987:H1045" si="76">G987</f>
        <v>200</v>
      </c>
      <c r="I987" s="222"/>
    </row>
    <row r="988" spans="1:9" ht="47.25" x14ac:dyDescent="0.25">
      <c r="A988" s="370" t="s">
        <v>1441</v>
      </c>
      <c r="B988" s="367">
        <v>908</v>
      </c>
      <c r="C988" s="371" t="s">
        <v>249</v>
      </c>
      <c r="D988" s="371" t="s">
        <v>230</v>
      </c>
      <c r="E988" s="371" t="s">
        <v>568</v>
      </c>
      <c r="F988" s="371"/>
      <c r="G988" s="369">
        <f>G989+G1004</f>
        <v>2304.5</v>
      </c>
      <c r="H988" s="369">
        <f>H989+H1004</f>
        <v>9696.5</v>
      </c>
      <c r="I988" s="222"/>
    </row>
    <row r="989" spans="1:9" ht="31.5" x14ac:dyDescent="0.25">
      <c r="A989" s="370" t="s">
        <v>1138</v>
      </c>
      <c r="B989" s="367">
        <v>908</v>
      </c>
      <c r="C989" s="371" t="s">
        <v>249</v>
      </c>
      <c r="D989" s="371" t="s">
        <v>230</v>
      </c>
      <c r="E989" s="371" t="s">
        <v>1123</v>
      </c>
      <c r="F989" s="371"/>
      <c r="G989" s="369">
        <f>G1001+G990+G993+G998</f>
        <v>390</v>
      </c>
      <c r="H989" s="369">
        <f>H1001+H990+H993+H998</f>
        <v>390</v>
      </c>
      <c r="I989" s="222"/>
    </row>
    <row r="990" spans="1:9" ht="15.75" x14ac:dyDescent="0.25">
      <c r="A990" s="372" t="s">
        <v>570</v>
      </c>
      <c r="B990" s="366">
        <v>908</v>
      </c>
      <c r="C990" s="368" t="s">
        <v>249</v>
      </c>
      <c r="D990" s="368" t="s">
        <v>230</v>
      </c>
      <c r="E990" s="368" t="s">
        <v>1125</v>
      </c>
      <c r="F990" s="368"/>
      <c r="G990" s="373">
        <f>G991</f>
        <v>4</v>
      </c>
      <c r="H990" s="373">
        <f>H991</f>
        <v>4</v>
      </c>
      <c r="I990" s="222"/>
    </row>
    <row r="991" spans="1:9" ht="31.5" x14ac:dyDescent="0.25">
      <c r="A991" s="372" t="s">
        <v>146</v>
      </c>
      <c r="B991" s="366">
        <v>908</v>
      </c>
      <c r="C991" s="368" t="s">
        <v>249</v>
      </c>
      <c r="D991" s="368" t="s">
        <v>230</v>
      </c>
      <c r="E991" s="368" t="s">
        <v>1125</v>
      </c>
      <c r="F991" s="368" t="s">
        <v>147</v>
      </c>
      <c r="G991" s="373">
        <f>G992</f>
        <v>4</v>
      </c>
      <c r="H991" s="373">
        <f>H992</f>
        <v>4</v>
      </c>
      <c r="I991" s="222"/>
    </row>
    <row r="992" spans="1:9" ht="31.5" x14ac:dyDescent="0.25">
      <c r="A992" s="372" t="s">
        <v>148</v>
      </c>
      <c r="B992" s="366">
        <v>908</v>
      </c>
      <c r="C992" s="368" t="s">
        <v>249</v>
      </c>
      <c r="D992" s="368" t="s">
        <v>230</v>
      </c>
      <c r="E992" s="368" t="s">
        <v>1125</v>
      </c>
      <c r="F992" s="368" t="s">
        <v>149</v>
      </c>
      <c r="G992" s="373">
        <f>4</f>
        <v>4</v>
      </c>
      <c r="H992" s="373">
        <f t="shared" si="76"/>
        <v>4</v>
      </c>
      <c r="I992" s="222"/>
    </row>
    <row r="993" spans="1:9" ht="47.25" x14ac:dyDescent="0.25">
      <c r="A993" s="45" t="s">
        <v>572</v>
      </c>
      <c r="B993" s="366">
        <v>908</v>
      </c>
      <c r="C993" s="368" t="s">
        <v>249</v>
      </c>
      <c r="D993" s="368" t="s">
        <v>230</v>
      </c>
      <c r="E993" s="368" t="s">
        <v>1126</v>
      </c>
      <c r="F993" s="368"/>
      <c r="G993" s="373">
        <f>G994+G996</f>
        <v>375</v>
      </c>
      <c r="H993" s="373">
        <f>H994+H996</f>
        <v>375</v>
      </c>
      <c r="I993" s="222"/>
    </row>
    <row r="994" spans="1:9" ht="31.5" x14ac:dyDescent="0.25">
      <c r="A994" s="372" t="s">
        <v>146</v>
      </c>
      <c r="B994" s="366">
        <v>908</v>
      </c>
      <c r="C994" s="368" t="s">
        <v>249</v>
      </c>
      <c r="D994" s="368" t="s">
        <v>230</v>
      </c>
      <c r="E994" s="368" t="s">
        <v>1126</v>
      </c>
      <c r="F994" s="368" t="s">
        <v>147</v>
      </c>
      <c r="G994" s="373">
        <f>G995</f>
        <v>300</v>
      </c>
      <c r="H994" s="373">
        <f>H995</f>
        <v>300</v>
      </c>
      <c r="I994" s="222"/>
    </row>
    <row r="995" spans="1:9" ht="31.5" x14ac:dyDescent="0.25">
      <c r="A995" s="372" t="s">
        <v>148</v>
      </c>
      <c r="B995" s="366">
        <v>908</v>
      </c>
      <c r="C995" s="368" t="s">
        <v>249</v>
      </c>
      <c r="D995" s="368" t="s">
        <v>230</v>
      </c>
      <c r="E995" s="368" t="s">
        <v>1126</v>
      </c>
      <c r="F995" s="368" t="s">
        <v>149</v>
      </c>
      <c r="G995" s="373">
        <f>300</f>
        <v>300</v>
      </c>
      <c r="H995" s="373">
        <f t="shared" si="76"/>
        <v>300</v>
      </c>
      <c r="I995" s="222"/>
    </row>
    <row r="996" spans="1:9" ht="15.75" x14ac:dyDescent="0.25">
      <c r="A996" s="372" t="s">
        <v>150</v>
      </c>
      <c r="B996" s="366">
        <v>908</v>
      </c>
      <c r="C996" s="368" t="s">
        <v>249</v>
      </c>
      <c r="D996" s="368" t="s">
        <v>230</v>
      </c>
      <c r="E996" s="368" t="s">
        <v>1126</v>
      </c>
      <c r="F996" s="368" t="s">
        <v>160</v>
      </c>
      <c r="G996" s="373">
        <f>G997</f>
        <v>75</v>
      </c>
      <c r="H996" s="373">
        <f>H997</f>
        <v>75</v>
      </c>
      <c r="I996" s="222"/>
    </row>
    <row r="997" spans="1:9" ht="15.75" x14ac:dyDescent="0.25">
      <c r="A997" s="372" t="s">
        <v>725</v>
      </c>
      <c r="B997" s="366">
        <v>908</v>
      </c>
      <c r="C997" s="368" t="s">
        <v>249</v>
      </c>
      <c r="D997" s="368" t="s">
        <v>230</v>
      </c>
      <c r="E997" s="368" t="s">
        <v>1126</v>
      </c>
      <c r="F997" s="368" t="s">
        <v>153</v>
      </c>
      <c r="G997" s="373">
        <f>75</f>
        <v>75</v>
      </c>
      <c r="H997" s="373">
        <f t="shared" si="76"/>
        <v>75</v>
      </c>
      <c r="I997" s="222"/>
    </row>
    <row r="998" spans="1:9" ht="25.5" hidden="1" customHeight="1" x14ac:dyDescent="0.25">
      <c r="A998" s="45" t="s">
        <v>574</v>
      </c>
      <c r="B998" s="366">
        <v>908</v>
      </c>
      <c r="C998" s="368" t="s">
        <v>249</v>
      </c>
      <c r="D998" s="368" t="s">
        <v>230</v>
      </c>
      <c r="E998" s="368" t="s">
        <v>1127</v>
      </c>
      <c r="F998" s="368"/>
      <c r="G998" s="373">
        <f>'Пр.4 ведом.20'!G1039</f>
        <v>0</v>
      </c>
      <c r="H998" s="373">
        <f t="shared" si="76"/>
        <v>0</v>
      </c>
      <c r="I998" s="222"/>
    </row>
    <row r="999" spans="1:9" ht="31.5" hidden="1" x14ac:dyDescent="0.25">
      <c r="A999" s="372" t="s">
        <v>146</v>
      </c>
      <c r="B999" s="366">
        <v>908</v>
      </c>
      <c r="C999" s="368" t="s">
        <v>249</v>
      </c>
      <c r="D999" s="368" t="s">
        <v>230</v>
      </c>
      <c r="E999" s="368" t="s">
        <v>1127</v>
      </c>
      <c r="F999" s="368" t="s">
        <v>147</v>
      </c>
      <c r="G999" s="373">
        <f>'Пр.4 ведом.20'!G1040</f>
        <v>0</v>
      </c>
      <c r="H999" s="373">
        <f t="shared" si="76"/>
        <v>0</v>
      </c>
      <c r="I999" s="222"/>
    </row>
    <row r="1000" spans="1:9" ht="31.5" hidden="1" x14ac:dyDescent="0.25">
      <c r="A1000" s="372" t="s">
        <v>148</v>
      </c>
      <c r="B1000" s="366">
        <v>908</v>
      </c>
      <c r="C1000" s="368" t="s">
        <v>249</v>
      </c>
      <c r="D1000" s="368" t="s">
        <v>230</v>
      </c>
      <c r="E1000" s="368" t="s">
        <v>1127</v>
      </c>
      <c r="F1000" s="368" t="s">
        <v>149</v>
      </c>
      <c r="G1000" s="373">
        <f>0</f>
        <v>0</v>
      </c>
      <c r="H1000" s="373">
        <f t="shared" si="76"/>
        <v>0</v>
      </c>
      <c r="I1000" s="222"/>
    </row>
    <row r="1001" spans="1:9" s="221" customFormat="1" ht="31.5" x14ac:dyDescent="0.25">
      <c r="A1001" s="259" t="s">
        <v>1290</v>
      </c>
      <c r="B1001" s="366">
        <v>908</v>
      </c>
      <c r="C1001" s="368" t="s">
        <v>249</v>
      </c>
      <c r="D1001" s="368" t="s">
        <v>230</v>
      </c>
      <c r="E1001" s="368" t="s">
        <v>1291</v>
      </c>
      <c r="F1001" s="368"/>
      <c r="G1001" s="373">
        <f>G1002</f>
        <v>11</v>
      </c>
      <c r="H1001" s="373">
        <f>H1002</f>
        <v>11</v>
      </c>
      <c r="I1001" s="222"/>
    </row>
    <row r="1002" spans="1:9" s="221" customFormat="1" ht="31.5" x14ac:dyDescent="0.25">
      <c r="A1002" s="372" t="s">
        <v>146</v>
      </c>
      <c r="B1002" s="366">
        <v>908</v>
      </c>
      <c r="C1002" s="368" t="s">
        <v>249</v>
      </c>
      <c r="D1002" s="368" t="s">
        <v>230</v>
      </c>
      <c r="E1002" s="368" t="s">
        <v>1291</v>
      </c>
      <c r="F1002" s="368" t="s">
        <v>147</v>
      </c>
      <c r="G1002" s="373">
        <f>G1003</f>
        <v>11</v>
      </c>
      <c r="H1002" s="373">
        <f>H1003</f>
        <v>11</v>
      </c>
      <c r="I1002" s="222"/>
    </row>
    <row r="1003" spans="1:9" s="221" customFormat="1" ht="31.5" x14ac:dyDescent="0.25">
      <c r="A1003" s="372" t="s">
        <v>148</v>
      </c>
      <c r="B1003" s="366">
        <v>908</v>
      </c>
      <c r="C1003" s="368" t="s">
        <v>249</v>
      </c>
      <c r="D1003" s="368" t="s">
        <v>230</v>
      </c>
      <c r="E1003" s="368" t="s">
        <v>1291</v>
      </c>
      <c r="F1003" s="368" t="s">
        <v>149</v>
      </c>
      <c r="G1003" s="373">
        <f>11</f>
        <v>11</v>
      </c>
      <c r="H1003" s="373">
        <f>G1003</f>
        <v>11</v>
      </c>
      <c r="I1003" s="222"/>
    </row>
    <row r="1004" spans="1:9" ht="31.5" x14ac:dyDescent="0.25">
      <c r="A1004" s="370" t="s">
        <v>948</v>
      </c>
      <c r="B1004" s="367">
        <v>908</v>
      </c>
      <c r="C1004" s="371" t="s">
        <v>249</v>
      </c>
      <c r="D1004" s="371" t="s">
        <v>230</v>
      </c>
      <c r="E1004" s="371" t="s">
        <v>1128</v>
      </c>
      <c r="F1004" s="371"/>
      <c r="G1004" s="369">
        <f>G1005+G1008</f>
        <v>1914.5</v>
      </c>
      <c r="H1004" s="369">
        <f>H1005+H1008</f>
        <v>9306.5</v>
      </c>
      <c r="I1004" s="222"/>
    </row>
    <row r="1005" spans="1:9" ht="31.5" hidden="1" x14ac:dyDescent="0.25">
      <c r="A1005" s="372" t="s">
        <v>705</v>
      </c>
      <c r="B1005" s="366">
        <v>908</v>
      </c>
      <c r="C1005" s="368" t="s">
        <v>249</v>
      </c>
      <c r="D1005" s="368" t="s">
        <v>230</v>
      </c>
      <c r="E1005" s="368" t="s">
        <v>1129</v>
      </c>
      <c r="F1005" s="368"/>
      <c r="G1005" s="373">
        <f>'Пр.4 ведом.20'!G1046</f>
        <v>0</v>
      </c>
      <c r="H1005" s="373">
        <f t="shared" si="76"/>
        <v>0</v>
      </c>
      <c r="I1005" s="222"/>
    </row>
    <row r="1006" spans="1:9" ht="31.5" hidden="1" x14ac:dyDescent="0.25">
      <c r="A1006" s="372" t="s">
        <v>146</v>
      </c>
      <c r="B1006" s="366">
        <v>908</v>
      </c>
      <c r="C1006" s="368" t="s">
        <v>249</v>
      </c>
      <c r="D1006" s="368" t="s">
        <v>230</v>
      </c>
      <c r="E1006" s="368" t="s">
        <v>1129</v>
      </c>
      <c r="F1006" s="368" t="s">
        <v>147</v>
      </c>
      <c r="G1006" s="373">
        <f>'Пр.4 ведом.20'!G1047</f>
        <v>0</v>
      </c>
      <c r="H1006" s="373">
        <f t="shared" si="76"/>
        <v>0</v>
      </c>
      <c r="I1006" s="222"/>
    </row>
    <row r="1007" spans="1:9" ht="31.5" hidden="1" x14ac:dyDescent="0.25">
      <c r="A1007" s="372" t="s">
        <v>148</v>
      </c>
      <c r="B1007" s="366">
        <v>908</v>
      </c>
      <c r="C1007" s="368" t="s">
        <v>249</v>
      </c>
      <c r="D1007" s="368" t="s">
        <v>230</v>
      </c>
      <c r="E1007" s="368" t="s">
        <v>1129</v>
      </c>
      <c r="F1007" s="368" t="s">
        <v>149</v>
      </c>
      <c r="G1007" s="373">
        <f>'Пр.4 ведом.20'!G1048</f>
        <v>0</v>
      </c>
      <c r="H1007" s="373">
        <f t="shared" si="76"/>
        <v>0</v>
      </c>
      <c r="I1007" s="222"/>
    </row>
    <row r="1008" spans="1:9" ht="63" x14ac:dyDescent="0.25">
      <c r="A1008" s="372" t="s">
        <v>1249</v>
      </c>
      <c r="B1008" s="366">
        <v>908</v>
      </c>
      <c r="C1008" s="368" t="s">
        <v>249</v>
      </c>
      <c r="D1008" s="368" t="s">
        <v>230</v>
      </c>
      <c r="E1008" s="368" t="s">
        <v>1250</v>
      </c>
      <c r="F1008" s="368"/>
      <c r="G1008" s="373">
        <f>G1009</f>
        <v>1914.5</v>
      </c>
      <c r="H1008" s="373">
        <f>H1009</f>
        <v>9306.5</v>
      </c>
      <c r="I1008" s="222"/>
    </row>
    <row r="1009" spans="1:9" ht="31.5" x14ac:dyDescent="0.25">
      <c r="A1009" s="372" t="s">
        <v>146</v>
      </c>
      <c r="B1009" s="366">
        <v>908</v>
      </c>
      <c r="C1009" s="368" t="s">
        <v>249</v>
      </c>
      <c r="D1009" s="368" t="s">
        <v>230</v>
      </c>
      <c r="E1009" s="368" t="s">
        <v>1250</v>
      </c>
      <c r="F1009" s="368" t="s">
        <v>147</v>
      </c>
      <c r="G1009" s="373">
        <f>G1010</f>
        <v>1914.5</v>
      </c>
      <c r="H1009" s="373">
        <f>H1010</f>
        <v>9306.5</v>
      </c>
      <c r="I1009" s="222"/>
    </row>
    <row r="1010" spans="1:9" ht="31.5" x14ac:dyDescent="0.25">
      <c r="A1010" s="372" t="s">
        <v>148</v>
      </c>
      <c r="B1010" s="366">
        <v>908</v>
      </c>
      <c r="C1010" s="368" t="s">
        <v>249</v>
      </c>
      <c r="D1010" s="368" t="s">
        <v>230</v>
      </c>
      <c r="E1010" s="368" t="s">
        <v>1250</v>
      </c>
      <c r="F1010" s="368" t="s">
        <v>149</v>
      </c>
      <c r="G1010" s="373">
        <f>1914.5</f>
        <v>1914.5</v>
      </c>
      <c r="H1010" s="373">
        <f>1914.5+7392</f>
        <v>9306.5</v>
      </c>
      <c r="I1010" s="222"/>
    </row>
    <row r="1011" spans="1:9" ht="63" x14ac:dyDescent="0.25">
      <c r="A1011" s="370" t="s">
        <v>821</v>
      </c>
      <c r="B1011" s="367">
        <v>908</v>
      </c>
      <c r="C1011" s="371" t="s">
        <v>249</v>
      </c>
      <c r="D1011" s="371" t="s">
        <v>230</v>
      </c>
      <c r="E1011" s="371" t="s">
        <v>732</v>
      </c>
      <c r="F1011" s="371"/>
      <c r="G1011" s="369">
        <f t="shared" ref="G1011:H1014" si="77">G1012</f>
        <v>500</v>
      </c>
      <c r="H1011" s="369">
        <f t="shared" si="77"/>
        <v>500</v>
      </c>
      <c r="I1011" s="222"/>
    </row>
    <row r="1012" spans="1:9" ht="31.5" x14ac:dyDescent="0.25">
      <c r="A1012" s="370" t="s">
        <v>1245</v>
      </c>
      <c r="B1012" s="367">
        <v>908</v>
      </c>
      <c r="C1012" s="371" t="s">
        <v>249</v>
      </c>
      <c r="D1012" s="371" t="s">
        <v>230</v>
      </c>
      <c r="E1012" s="371" t="s">
        <v>1289</v>
      </c>
      <c r="F1012" s="371"/>
      <c r="G1012" s="369">
        <f t="shared" si="77"/>
        <v>500</v>
      </c>
      <c r="H1012" s="369">
        <f t="shared" si="77"/>
        <v>500</v>
      </c>
      <c r="I1012" s="222"/>
    </row>
    <row r="1013" spans="1:9" ht="47.25" x14ac:dyDescent="0.25">
      <c r="A1013" s="80" t="s">
        <v>708</v>
      </c>
      <c r="B1013" s="366">
        <v>908</v>
      </c>
      <c r="C1013" s="368" t="s">
        <v>249</v>
      </c>
      <c r="D1013" s="368" t="s">
        <v>230</v>
      </c>
      <c r="E1013" s="368" t="s">
        <v>879</v>
      </c>
      <c r="F1013" s="368"/>
      <c r="G1013" s="373">
        <f t="shared" si="77"/>
        <v>500</v>
      </c>
      <c r="H1013" s="373">
        <f t="shared" si="77"/>
        <v>500</v>
      </c>
      <c r="I1013" s="222"/>
    </row>
    <row r="1014" spans="1:9" ht="31.5" x14ac:dyDescent="0.25">
      <c r="A1014" s="372" t="s">
        <v>146</v>
      </c>
      <c r="B1014" s="366">
        <v>908</v>
      </c>
      <c r="C1014" s="368" t="s">
        <v>249</v>
      </c>
      <c r="D1014" s="368" t="s">
        <v>230</v>
      </c>
      <c r="E1014" s="368" t="s">
        <v>879</v>
      </c>
      <c r="F1014" s="368" t="s">
        <v>147</v>
      </c>
      <c r="G1014" s="373">
        <f t="shared" si="77"/>
        <v>500</v>
      </c>
      <c r="H1014" s="373">
        <f t="shared" si="77"/>
        <v>500</v>
      </c>
      <c r="I1014" s="222"/>
    </row>
    <row r="1015" spans="1:9" ht="31.5" x14ac:dyDescent="0.25">
      <c r="A1015" s="372" t="s">
        <v>148</v>
      </c>
      <c r="B1015" s="366">
        <v>908</v>
      </c>
      <c r="C1015" s="368" t="s">
        <v>249</v>
      </c>
      <c r="D1015" s="368" t="s">
        <v>230</v>
      </c>
      <c r="E1015" s="368" t="s">
        <v>879</v>
      </c>
      <c r="F1015" s="368" t="s">
        <v>149</v>
      </c>
      <c r="G1015" s="373">
        <f>500</f>
        <v>500</v>
      </c>
      <c r="H1015" s="373">
        <f t="shared" si="76"/>
        <v>500</v>
      </c>
      <c r="I1015" s="222"/>
    </row>
    <row r="1016" spans="1:9" ht="31.5" x14ac:dyDescent="0.25">
      <c r="A1016" s="370" t="s">
        <v>584</v>
      </c>
      <c r="B1016" s="367">
        <v>908</v>
      </c>
      <c r="C1016" s="371" t="s">
        <v>249</v>
      </c>
      <c r="D1016" s="371" t="s">
        <v>249</v>
      </c>
      <c r="E1016" s="371"/>
      <c r="F1016" s="371"/>
      <c r="G1016" s="369">
        <f>G1017+G1029+G1046</f>
        <v>22307</v>
      </c>
      <c r="H1016" s="369">
        <f>H1017+H1029+H1046</f>
        <v>22307</v>
      </c>
      <c r="I1016" s="222"/>
    </row>
    <row r="1017" spans="1:9" ht="31.5" x14ac:dyDescent="0.25">
      <c r="A1017" s="370" t="s">
        <v>988</v>
      </c>
      <c r="B1017" s="367">
        <v>908</v>
      </c>
      <c r="C1017" s="371" t="s">
        <v>249</v>
      </c>
      <c r="D1017" s="371" t="s">
        <v>249</v>
      </c>
      <c r="E1017" s="371" t="s">
        <v>902</v>
      </c>
      <c r="F1017" s="371"/>
      <c r="G1017" s="369">
        <f>G1018</f>
        <v>11546</v>
      </c>
      <c r="H1017" s="369">
        <f>H1018</f>
        <v>11546</v>
      </c>
      <c r="I1017" s="222"/>
    </row>
    <row r="1018" spans="1:9" ht="15.75" x14ac:dyDescent="0.25">
      <c r="A1018" s="370" t="s">
        <v>989</v>
      </c>
      <c r="B1018" s="367">
        <v>908</v>
      </c>
      <c r="C1018" s="371" t="s">
        <v>249</v>
      </c>
      <c r="D1018" s="371" t="s">
        <v>249</v>
      </c>
      <c r="E1018" s="371" t="s">
        <v>903</v>
      </c>
      <c r="F1018" s="371"/>
      <c r="G1018" s="369">
        <f>G1019+G1026</f>
        <v>11546</v>
      </c>
      <c r="H1018" s="369">
        <f>H1019+H1026</f>
        <v>11546</v>
      </c>
      <c r="I1018" s="222"/>
    </row>
    <row r="1019" spans="1:9" ht="31.5" x14ac:dyDescent="0.25">
      <c r="A1019" s="372" t="s">
        <v>965</v>
      </c>
      <c r="B1019" s="366">
        <v>908</v>
      </c>
      <c r="C1019" s="368" t="s">
        <v>249</v>
      </c>
      <c r="D1019" s="368" t="s">
        <v>249</v>
      </c>
      <c r="E1019" s="368" t="s">
        <v>904</v>
      </c>
      <c r="F1019" s="368"/>
      <c r="G1019" s="373">
        <f>G1020+G1022+G1024</f>
        <v>11210</v>
      </c>
      <c r="H1019" s="373">
        <f>H1020+H1022+H1024</f>
        <v>11210</v>
      </c>
      <c r="I1019" s="222"/>
    </row>
    <row r="1020" spans="1:9" ht="78.75" x14ac:dyDescent="0.25">
      <c r="A1020" s="372" t="s">
        <v>142</v>
      </c>
      <c r="B1020" s="366">
        <v>908</v>
      </c>
      <c r="C1020" s="368" t="s">
        <v>249</v>
      </c>
      <c r="D1020" s="368" t="s">
        <v>249</v>
      </c>
      <c r="E1020" s="368" t="s">
        <v>904</v>
      </c>
      <c r="F1020" s="368" t="s">
        <v>143</v>
      </c>
      <c r="G1020" s="373">
        <f>G1021</f>
        <v>11138</v>
      </c>
      <c r="H1020" s="373">
        <f>H1021</f>
        <v>11138</v>
      </c>
      <c r="I1020" s="222"/>
    </row>
    <row r="1021" spans="1:9" ht="31.5" x14ac:dyDescent="0.25">
      <c r="A1021" s="372" t="s">
        <v>144</v>
      </c>
      <c r="B1021" s="366">
        <v>908</v>
      </c>
      <c r="C1021" s="368" t="s">
        <v>249</v>
      </c>
      <c r="D1021" s="368" t="s">
        <v>249</v>
      </c>
      <c r="E1021" s="368" t="s">
        <v>904</v>
      </c>
      <c r="F1021" s="368" t="s">
        <v>145</v>
      </c>
      <c r="G1021" s="373">
        <f>11138</f>
        <v>11138</v>
      </c>
      <c r="H1021" s="373">
        <f t="shared" si="76"/>
        <v>11138</v>
      </c>
      <c r="I1021" s="222"/>
    </row>
    <row r="1022" spans="1:9" ht="31.5" x14ac:dyDescent="0.25">
      <c r="A1022" s="372" t="s">
        <v>146</v>
      </c>
      <c r="B1022" s="366">
        <v>908</v>
      </c>
      <c r="C1022" s="368" t="s">
        <v>249</v>
      </c>
      <c r="D1022" s="368" t="s">
        <v>249</v>
      </c>
      <c r="E1022" s="368" t="s">
        <v>904</v>
      </c>
      <c r="F1022" s="368" t="s">
        <v>147</v>
      </c>
      <c r="G1022" s="373">
        <f>G1023</f>
        <v>25</v>
      </c>
      <c r="H1022" s="373">
        <f>H1023</f>
        <v>25</v>
      </c>
      <c r="I1022" s="222"/>
    </row>
    <row r="1023" spans="1:9" ht="31.5" x14ac:dyDescent="0.25">
      <c r="A1023" s="372" t="s">
        <v>148</v>
      </c>
      <c r="B1023" s="366">
        <v>908</v>
      </c>
      <c r="C1023" s="368" t="s">
        <v>249</v>
      </c>
      <c r="D1023" s="368" t="s">
        <v>249</v>
      </c>
      <c r="E1023" s="368" t="s">
        <v>904</v>
      </c>
      <c r="F1023" s="368" t="s">
        <v>149</v>
      </c>
      <c r="G1023" s="373">
        <f>25</f>
        <v>25</v>
      </c>
      <c r="H1023" s="373">
        <f t="shared" si="76"/>
        <v>25</v>
      </c>
      <c r="I1023" s="222"/>
    </row>
    <row r="1024" spans="1:9" ht="15.75" x14ac:dyDescent="0.25">
      <c r="A1024" s="372" t="s">
        <v>150</v>
      </c>
      <c r="B1024" s="366">
        <v>908</v>
      </c>
      <c r="C1024" s="368" t="s">
        <v>249</v>
      </c>
      <c r="D1024" s="368" t="s">
        <v>249</v>
      </c>
      <c r="E1024" s="368" t="s">
        <v>904</v>
      </c>
      <c r="F1024" s="368" t="s">
        <v>160</v>
      </c>
      <c r="G1024" s="373">
        <f>G1025</f>
        <v>47</v>
      </c>
      <c r="H1024" s="373">
        <f>H1025</f>
        <v>47</v>
      </c>
      <c r="I1024" s="222"/>
    </row>
    <row r="1025" spans="1:9" ht="15.75" x14ac:dyDescent="0.25">
      <c r="A1025" s="372" t="s">
        <v>583</v>
      </c>
      <c r="B1025" s="366">
        <v>908</v>
      </c>
      <c r="C1025" s="368" t="s">
        <v>249</v>
      </c>
      <c r="D1025" s="368" t="s">
        <v>249</v>
      </c>
      <c r="E1025" s="368" t="s">
        <v>904</v>
      </c>
      <c r="F1025" s="368" t="s">
        <v>153</v>
      </c>
      <c r="G1025" s="373">
        <f>47</f>
        <v>47</v>
      </c>
      <c r="H1025" s="373">
        <f t="shared" si="76"/>
        <v>47</v>
      </c>
      <c r="I1025" s="222"/>
    </row>
    <row r="1026" spans="1:9" ht="47.25" x14ac:dyDescent="0.25">
      <c r="A1026" s="372" t="s">
        <v>883</v>
      </c>
      <c r="B1026" s="366">
        <v>908</v>
      </c>
      <c r="C1026" s="368" t="s">
        <v>249</v>
      </c>
      <c r="D1026" s="368" t="s">
        <v>249</v>
      </c>
      <c r="E1026" s="368" t="s">
        <v>906</v>
      </c>
      <c r="F1026" s="368"/>
      <c r="G1026" s="373">
        <f>G1027</f>
        <v>336</v>
      </c>
      <c r="H1026" s="373">
        <f>H1027</f>
        <v>336</v>
      </c>
      <c r="I1026" s="222"/>
    </row>
    <row r="1027" spans="1:9" ht="78.75" x14ac:dyDescent="0.25">
      <c r="A1027" s="372" t="s">
        <v>142</v>
      </c>
      <c r="B1027" s="366">
        <v>908</v>
      </c>
      <c r="C1027" s="368" t="s">
        <v>249</v>
      </c>
      <c r="D1027" s="368" t="s">
        <v>249</v>
      </c>
      <c r="E1027" s="368" t="s">
        <v>906</v>
      </c>
      <c r="F1027" s="368" t="s">
        <v>143</v>
      </c>
      <c r="G1027" s="373">
        <f>G1028</f>
        <v>336</v>
      </c>
      <c r="H1027" s="373">
        <f>H1028</f>
        <v>336</v>
      </c>
      <c r="I1027" s="222"/>
    </row>
    <row r="1028" spans="1:9" ht="31.5" x14ac:dyDescent="0.25">
      <c r="A1028" s="372" t="s">
        <v>144</v>
      </c>
      <c r="B1028" s="366">
        <v>908</v>
      </c>
      <c r="C1028" s="368" t="s">
        <v>249</v>
      </c>
      <c r="D1028" s="368" t="s">
        <v>249</v>
      </c>
      <c r="E1028" s="368" t="s">
        <v>906</v>
      </c>
      <c r="F1028" s="368" t="s">
        <v>145</v>
      </c>
      <c r="G1028" s="373">
        <f>336</f>
        <v>336</v>
      </c>
      <c r="H1028" s="373">
        <f t="shared" si="76"/>
        <v>336</v>
      </c>
      <c r="I1028" s="222"/>
    </row>
    <row r="1029" spans="1:9" ht="15.75" x14ac:dyDescent="0.25">
      <c r="A1029" s="370" t="s">
        <v>156</v>
      </c>
      <c r="B1029" s="367">
        <v>908</v>
      </c>
      <c r="C1029" s="371" t="s">
        <v>249</v>
      </c>
      <c r="D1029" s="371" t="s">
        <v>249</v>
      </c>
      <c r="E1029" s="371" t="s">
        <v>910</v>
      </c>
      <c r="F1029" s="371"/>
      <c r="G1029" s="369">
        <f>G1030+G1037</f>
        <v>10761</v>
      </c>
      <c r="H1029" s="369">
        <f>H1030+H1037</f>
        <v>10761</v>
      </c>
      <c r="I1029" s="222"/>
    </row>
    <row r="1030" spans="1:9" ht="31.5" x14ac:dyDescent="0.25">
      <c r="A1030" s="370" t="s">
        <v>914</v>
      </c>
      <c r="B1030" s="367">
        <v>908</v>
      </c>
      <c r="C1030" s="371" t="s">
        <v>249</v>
      </c>
      <c r="D1030" s="371" t="s">
        <v>249</v>
      </c>
      <c r="E1030" s="371" t="s">
        <v>909</v>
      </c>
      <c r="F1030" s="371"/>
      <c r="G1030" s="369">
        <f>G1031+G1034</f>
        <v>982</v>
      </c>
      <c r="H1030" s="369">
        <f>H1031+H1034</f>
        <v>982</v>
      </c>
      <c r="I1030" s="222"/>
    </row>
    <row r="1031" spans="1:9" ht="31.5" x14ac:dyDescent="0.25">
      <c r="A1031" s="372" t="s">
        <v>585</v>
      </c>
      <c r="B1031" s="366">
        <v>908</v>
      </c>
      <c r="C1031" s="368" t="s">
        <v>249</v>
      </c>
      <c r="D1031" s="368" t="s">
        <v>249</v>
      </c>
      <c r="E1031" s="368" t="s">
        <v>1130</v>
      </c>
      <c r="F1031" s="368"/>
      <c r="G1031" s="373">
        <f>G1032</f>
        <v>982</v>
      </c>
      <c r="H1031" s="373">
        <f>H1032</f>
        <v>982</v>
      </c>
      <c r="I1031" s="222"/>
    </row>
    <row r="1032" spans="1:9" ht="15.75" x14ac:dyDescent="0.25">
      <c r="A1032" s="372" t="s">
        <v>150</v>
      </c>
      <c r="B1032" s="366">
        <v>908</v>
      </c>
      <c r="C1032" s="368" t="s">
        <v>249</v>
      </c>
      <c r="D1032" s="368" t="s">
        <v>249</v>
      </c>
      <c r="E1032" s="368" t="s">
        <v>1130</v>
      </c>
      <c r="F1032" s="368" t="s">
        <v>160</v>
      </c>
      <c r="G1032" s="373">
        <f>G1033</f>
        <v>982</v>
      </c>
      <c r="H1032" s="373">
        <f>H1033</f>
        <v>982</v>
      </c>
      <c r="I1032" s="222"/>
    </row>
    <row r="1033" spans="1:9" ht="47.25" x14ac:dyDescent="0.25">
      <c r="A1033" s="372" t="s">
        <v>199</v>
      </c>
      <c r="B1033" s="366">
        <v>908</v>
      </c>
      <c r="C1033" s="368" t="s">
        <v>249</v>
      </c>
      <c r="D1033" s="368" t="s">
        <v>249</v>
      </c>
      <c r="E1033" s="368" t="s">
        <v>1130</v>
      </c>
      <c r="F1033" s="368" t="s">
        <v>175</v>
      </c>
      <c r="G1033" s="373">
        <f>982</f>
        <v>982</v>
      </c>
      <c r="H1033" s="373">
        <f t="shared" si="76"/>
        <v>982</v>
      </c>
      <c r="I1033" s="222"/>
    </row>
    <row r="1034" spans="1:9" ht="31.5" hidden="1" x14ac:dyDescent="0.25">
      <c r="A1034" s="372" t="s">
        <v>866</v>
      </c>
      <c r="B1034" s="366">
        <v>908</v>
      </c>
      <c r="C1034" s="368" t="s">
        <v>249</v>
      </c>
      <c r="D1034" s="368" t="s">
        <v>249</v>
      </c>
      <c r="E1034" s="368" t="s">
        <v>1251</v>
      </c>
      <c r="F1034" s="368"/>
      <c r="G1034" s="373">
        <f>'Пр.4 ведом.20'!G1077</f>
        <v>0</v>
      </c>
      <c r="H1034" s="373">
        <f t="shared" si="76"/>
        <v>0</v>
      </c>
      <c r="I1034" s="222"/>
    </row>
    <row r="1035" spans="1:9" ht="15.75" hidden="1" x14ac:dyDescent="0.25">
      <c r="A1035" s="372" t="s">
        <v>150</v>
      </c>
      <c r="B1035" s="366">
        <v>908</v>
      </c>
      <c r="C1035" s="368" t="s">
        <v>249</v>
      </c>
      <c r="D1035" s="368" t="s">
        <v>249</v>
      </c>
      <c r="E1035" s="368" t="s">
        <v>1251</v>
      </c>
      <c r="F1035" s="368" t="s">
        <v>160</v>
      </c>
      <c r="G1035" s="373">
        <f>'Пр.4 ведом.20'!G1078</f>
        <v>0</v>
      </c>
      <c r="H1035" s="373">
        <f t="shared" si="76"/>
        <v>0</v>
      </c>
      <c r="I1035" s="222"/>
    </row>
    <row r="1036" spans="1:9" ht="47.25" hidden="1" x14ac:dyDescent="0.25">
      <c r="A1036" s="372" t="s">
        <v>199</v>
      </c>
      <c r="B1036" s="366">
        <v>908</v>
      </c>
      <c r="C1036" s="368" t="s">
        <v>249</v>
      </c>
      <c r="D1036" s="368" t="s">
        <v>249</v>
      </c>
      <c r="E1036" s="368" t="s">
        <v>1251</v>
      </c>
      <c r="F1036" s="368" t="s">
        <v>175</v>
      </c>
      <c r="G1036" s="373">
        <f>'Пр.4 ведом.20'!G1079</f>
        <v>0</v>
      </c>
      <c r="H1036" s="373">
        <f t="shared" si="76"/>
        <v>0</v>
      </c>
      <c r="I1036" s="222"/>
    </row>
    <row r="1037" spans="1:9" ht="31.5" x14ac:dyDescent="0.25">
      <c r="A1037" s="370" t="s">
        <v>1000</v>
      </c>
      <c r="B1037" s="367">
        <v>908</v>
      </c>
      <c r="C1037" s="371" t="s">
        <v>249</v>
      </c>
      <c r="D1037" s="371" t="s">
        <v>249</v>
      </c>
      <c r="E1037" s="371" t="s">
        <v>985</v>
      </c>
      <c r="F1037" s="371"/>
      <c r="G1037" s="44">
        <f>G1038+G1043</f>
        <v>9779</v>
      </c>
      <c r="H1037" s="44">
        <f>H1038+H1043</f>
        <v>9779</v>
      </c>
      <c r="I1037" s="222"/>
    </row>
    <row r="1038" spans="1:9" ht="31.5" x14ac:dyDescent="0.25">
      <c r="A1038" s="372" t="s">
        <v>972</v>
      </c>
      <c r="B1038" s="366">
        <v>908</v>
      </c>
      <c r="C1038" s="368" t="s">
        <v>249</v>
      </c>
      <c r="D1038" s="368" t="s">
        <v>249</v>
      </c>
      <c r="E1038" s="368" t="s">
        <v>986</v>
      </c>
      <c r="F1038" s="368"/>
      <c r="G1038" s="373">
        <f>G1039+G1041</f>
        <v>9359</v>
      </c>
      <c r="H1038" s="373">
        <f>H1039+H1041</f>
        <v>9359</v>
      </c>
      <c r="I1038" s="222"/>
    </row>
    <row r="1039" spans="1:9" ht="78.75" x14ac:dyDescent="0.25">
      <c r="A1039" s="372" t="s">
        <v>142</v>
      </c>
      <c r="B1039" s="366">
        <v>908</v>
      </c>
      <c r="C1039" s="368" t="s">
        <v>249</v>
      </c>
      <c r="D1039" s="368" t="s">
        <v>249</v>
      </c>
      <c r="E1039" s="368" t="s">
        <v>986</v>
      </c>
      <c r="F1039" s="368" t="s">
        <v>143</v>
      </c>
      <c r="G1039" s="373">
        <f>G1040</f>
        <v>8047</v>
      </c>
      <c r="H1039" s="373">
        <f>H1040</f>
        <v>8047</v>
      </c>
      <c r="I1039" s="222"/>
    </row>
    <row r="1040" spans="1:9" ht="31.5" x14ac:dyDescent="0.25">
      <c r="A1040" s="372" t="s">
        <v>357</v>
      </c>
      <c r="B1040" s="366">
        <v>908</v>
      </c>
      <c r="C1040" s="368" t="s">
        <v>249</v>
      </c>
      <c r="D1040" s="368" t="s">
        <v>249</v>
      </c>
      <c r="E1040" s="368" t="s">
        <v>986</v>
      </c>
      <c r="F1040" s="368" t="s">
        <v>224</v>
      </c>
      <c r="G1040" s="373">
        <f>8047</f>
        <v>8047</v>
      </c>
      <c r="H1040" s="373">
        <f t="shared" si="76"/>
        <v>8047</v>
      </c>
      <c r="I1040" s="222"/>
    </row>
    <row r="1041" spans="1:9" ht="31.5" x14ac:dyDescent="0.25">
      <c r="A1041" s="372" t="s">
        <v>146</v>
      </c>
      <c r="B1041" s="366">
        <v>908</v>
      </c>
      <c r="C1041" s="368" t="s">
        <v>249</v>
      </c>
      <c r="D1041" s="368" t="s">
        <v>249</v>
      </c>
      <c r="E1041" s="368" t="s">
        <v>986</v>
      </c>
      <c r="F1041" s="368" t="s">
        <v>147</v>
      </c>
      <c r="G1041" s="373">
        <f>G1042</f>
        <v>1312</v>
      </c>
      <c r="H1041" s="373">
        <f>H1042</f>
        <v>1312</v>
      </c>
      <c r="I1041" s="222"/>
    </row>
    <row r="1042" spans="1:9" ht="31.5" x14ac:dyDescent="0.25">
      <c r="A1042" s="372" t="s">
        <v>148</v>
      </c>
      <c r="B1042" s="366">
        <v>908</v>
      </c>
      <c r="C1042" s="368" t="s">
        <v>249</v>
      </c>
      <c r="D1042" s="368" t="s">
        <v>249</v>
      </c>
      <c r="E1042" s="368" t="s">
        <v>986</v>
      </c>
      <c r="F1042" s="368" t="s">
        <v>149</v>
      </c>
      <c r="G1042" s="373">
        <f>1312</f>
        <v>1312</v>
      </c>
      <c r="H1042" s="373">
        <f t="shared" si="76"/>
        <v>1312</v>
      </c>
      <c r="I1042" s="222"/>
    </row>
    <row r="1043" spans="1:9" ht="47.25" x14ac:dyDescent="0.25">
      <c r="A1043" s="372" t="s">
        <v>883</v>
      </c>
      <c r="B1043" s="366">
        <v>908</v>
      </c>
      <c r="C1043" s="368" t="s">
        <v>249</v>
      </c>
      <c r="D1043" s="368" t="s">
        <v>249</v>
      </c>
      <c r="E1043" s="368" t="s">
        <v>987</v>
      </c>
      <c r="F1043" s="368"/>
      <c r="G1043" s="373">
        <f>G1044</f>
        <v>420</v>
      </c>
      <c r="H1043" s="373">
        <f>H1044</f>
        <v>420</v>
      </c>
      <c r="I1043" s="222"/>
    </row>
    <row r="1044" spans="1:9" ht="78.75" x14ac:dyDescent="0.25">
      <c r="A1044" s="372" t="s">
        <v>142</v>
      </c>
      <c r="B1044" s="366">
        <v>908</v>
      </c>
      <c r="C1044" s="368" t="s">
        <v>249</v>
      </c>
      <c r="D1044" s="368" t="s">
        <v>249</v>
      </c>
      <c r="E1044" s="368" t="s">
        <v>987</v>
      </c>
      <c r="F1044" s="368" t="s">
        <v>143</v>
      </c>
      <c r="G1044" s="373">
        <f>G1045</f>
        <v>420</v>
      </c>
      <c r="H1044" s="373">
        <f>H1045</f>
        <v>420</v>
      </c>
      <c r="I1044" s="222"/>
    </row>
    <row r="1045" spans="1:9" ht="23.25" customHeight="1" x14ac:dyDescent="0.25">
      <c r="A1045" s="372" t="s">
        <v>357</v>
      </c>
      <c r="B1045" s="366">
        <v>908</v>
      </c>
      <c r="C1045" s="368" t="s">
        <v>249</v>
      </c>
      <c r="D1045" s="368" t="s">
        <v>249</v>
      </c>
      <c r="E1045" s="368" t="s">
        <v>987</v>
      </c>
      <c r="F1045" s="368" t="s">
        <v>224</v>
      </c>
      <c r="G1045" s="373">
        <f>420</f>
        <v>420</v>
      </c>
      <c r="H1045" s="373">
        <f t="shared" si="76"/>
        <v>420</v>
      </c>
      <c r="I1045" s="222"/>
    </row>
    <row r="1046" spans="1:9" s="221" customFormat="1" ht="63" hidden="1" x14ac:dyDescent="0.25">
      <c r="A1046" s="34" t="s">
        <v>803</v>
      </c>
      <c r="B1046" s="367">
        <v>908</v>
      </c>
      <c r="C1046" s="371" t="s">
        <v>249</v>
      </c>
      <c r="D1046" s="371" t="s">
        <v>249</v>
      </c>
      <c r="E1046" s="371" t="s">
        <v>339</v>
      </c>
      <c r="F1046" s="371"/>
      <c r="G1046" s="369">
        <f t="shared" ref="G1046:H1049" si="78">G1047</f>
        <v>0</v>
      </c>
      <c r="H1046" s="369">
        <f t="shared" si="78"/>
        <v>0</v>
      </c>
      <c r="I1046" s="222"/>
    </row>
    <row r="1047" spans="1:9" s="221" customFormat="1" ht="63" hidden="1" x14ac:dyDescent="0.25">
      <c r="A1047" s="34" t="s">
        <v>1160</v>
      </c>
      <c r="B1047" s="367">
        <v>908</v>
      </c>
      <c r="C1047" s="371" t="s">
        <v>249</v>
      </c>
      <c r="D1047" s="371" t="s">
        <v>249</v>
      </c>
      <c r="E1047" s="371" t="s">
        <v>1023</v>
      </c>
      <c r="F1047" s="371"/>
      <c r="G1047" s="369">
        <f t="shared" si="78"/>
        <v>0</v>
      </c>
      <c r="H1047" s="369">
        <f t="shared" si="78"/>
        <v>0</v>
      </c>
      <c r="I1047" s="222"/>
    </row>
    <row r="1048" spans="1:9" s="221" customFormat="1" ht="47.25" hidden="1" x14ac:dyDescent="0.25">
      <c r="A1048" s="31" t="s">
        <v>1273</v>
      </c>
      <c r="B1048" s="366">
        <v>908</v>
      </c>
      <c r="C1048" s="368" t="s">
        <v>249</v>
      </c>
      <c r="D1048" s="368" t="s">
        <v>249</v>
      </c>
      <c r="E1048" s="368" t="s">
        <v>1190</v>
      </c>
      <c r="F1048" s="368"/>
      <c r="G1048" s="373">
        <f t="shared" si="78"/>
        <v>0</v>
      </c>
      <c r="H1048" s="373">
        <f t="shared" si="78"/>
        <v>0</v>
      </c>
      <c r="I1048" s="222"/>
    </row>
    <row r="1049" spans="1:9" s="221" customFormat="1" ht="31.5" hidden="1" x14ac:dyDescent="0.25">
      <c r="A1049" s="372" t="s">
        <v>146</v>
      </c>
      <c r="B1049" s="366">
        <v>908</v>
      </c>
      <c r="C1049" s="368" t="s">
        <v>249</v>
      </c>
      <c r="D1049" s="368" t="s">
        <v>249</v>
      </c>
      <c r="E1049" s="368" t="s">
        <v>1190</v>
      </c>
      <c r="F1049" s="368" t="s">
        <v>147</v>
      </c>
      <c r="G1049" s="373">
        <f t="shared" si="78"/>
        <v>0</v>
      </c>
      <c r="H1049" s="373">
        <f t="shared" si="78"/>
        <v>0</v>
      </c>
      <c r="I1049" s="222"/>
    </row>
    <row r="1050" spans="1:9" s="221" customFormat="1" ht="31.5" hidden="1" x14ac:dyDescent="0.25">
      <c r="A1050" s="372" t="s">
        <v>148</v>
      </c>
      <c r="B1050" s="366">
        <v>908</v>
      </c>
      <c r="C1050" s="368" t="s">
        <v>249</v>
      </c>
      <c r="D1050" s="368" t="s">
        <v>249</v>
      </c>
      <c r="E1050" s="368" t="s">
        <v>1190</v>
      </c>
      <c r="F1050" s="368" t="s">
        <v>149</v>
      </c>
      <c r="G1050" s="373">
        <v>0</v>
      </c>
      <c r="H1050" s="373">
        <v>0</v>
      </c>
      <c r="I1050" s="222"/>
    </row>
    <row r="1051" spans="1:9" ht="15.75" x14ac:dyDescent="0.25">
      <c r="A1051" s="370" t="s">
        <v>258</v>
      </c>
      <c r="B1051" s="367">
        <v>908</v>
      </c>
      <c r="C1051" s="371" t="s">
        <v>259</v>
      </c>
      <c r="D1051" s="371"/>
      <c r="E1051" s="371"/>
      <c r="F1051" s="371"/>
      <c r="G1051" s="369">
        <f t="shared" ref="G1051:H1052" si="79">G1052</f>
        <v>87</v>
      </c>
      <c r="H1051" s="369">
        <f t="shared" si="79"/>
        <v>87</v>
      </c>
      <c r="I1051" s="222"/>
    </row>
    <row r="1052" spans="1:9" ht="15.75" x14ac:dyDescent="0.25">
      <c r="A1052" s="370" t="s">
        <v>273</v>
      </c>
      <c r="B1052" s="367">
        <v>908</v>
      </c>
      <c r="C1052" s="371" t="s">
        <v>259</v>
      </c>
      <c r="D1052" s="371" t="s">
        <v>135</v>
      </c>
      <c r="E1052" s="371"/>
      <c r="F1052" s="371"/>
      <c r="G1052" s="369">
        <f t="shared" si="79"/>
        <v>87</v>
      </c>
      <c r="H1052" s="369">
        <f t="shared" si="79"/>
        <v>87</v>
      </c>
      <c r="I1052" s="222"/>
    </row>
    <row r="1053" spans="1:9" ht="15.75" x14ac:dyDescent="0.25">
      <c r="A1053" s="370" t="s">
        <v>156</v>
      </c>
      <c r="B1053" s="367">
        <v>908</v>
      </c>
      <c r="C1053" s="371" t="s">
        <v>259</v>
      </c>
      <c r="D1053" s="371" t="s">
        <v>135</v>
      </c>
      <c r="E1053" s="371" t="s">
        <v>910</v>
      </c>
      <c r="F1053" s="371"/>
      <c r="G1053" s="369">
        <f t="shared" ref="G1053:H1055" si="80">G1054</f>
        <v>87</v>
      </c>
      <c r="H1053" s="369">
        <f t="shared" si="80"/>
        <v>87</v>
      </c>
      <c r="I1053" s="222"/>
    </row>
    <row r="1054" spans="1:9" ht="15.75" x14ac:dyDescent="0.25">
      <c r="A1054" s="370" t="s">
        <v>156</v>
      </c>
      <c r="B1054" s="367">
        <v>908</v>
      </c>
      <c r="C1054" s="371" t="s">
        <v>259</v>
      </c>
      <c r="D1054" s="371" t="s">
        <v>135</v>
      </c>
      <c r="E1054" s="371" t="s">
        <v>909</v>
      </c>
      <c r="F1054" s="371"/>
      <c r="G1054" s="369">
        <f t="shared" si="80"/>
        <v>87</v>
      </c>
      <c r="H1054" s="369">
        <f t="shared" si="80"/>
        <v>87</v>
      </c>
      <c r="I1054" s="222"/>
    </row>
    <row r="1055" spans="1:9" ht="31.5" x14ac:dyDescent="0.25">
      <c r="A1055" s="370" t="s">
        <v>914</v>
      </c>
      <c r="B1055" s="367">
        <v>908</v>
      </c>
      <c r="C1055" s="371" t="s">
        <v>259</v>
      </c>
      <c r="D1055" s="371" t="s">
        <v>135</v>
      </c>
      <c r="E1055" s="371" t="s">
        <v>909</v>
      </c>
      <c r="F1055" s="371"/>
      <c r="G1055" s="369">
        <f t="shared" si="80"/>
        <v>87</v>
      </c>
      <c r="H1055" s="369">
        <f t="shared" si="80"/>
        <v>87</v>
      </c>
      <c r="I1055" s="222"/>
    </row>
    <row r="1056" spans="1:9" ht="15.75" x14ac:dyDescent="0.25">
      <c r="A1056" s="372" t="s">
        <v>587</v>
      </c>
      <c r="B1056" s="366">
        <v>908</v>
      </c>
      <c r="C1056" s="368" t="s">
        <v>259</v>
      </c>
      <c r="D1056" s="368" t="s">
        <v>135</v>
      </c>
      <c r="E1056" s="368" t="s">
        <v>1131</v>
      </c>
      <c r="F1056" s="368"/>
      <c r="G1056" s="373">
        <f>G1057</f>
        <v>87</v>
      </c>
      <c r="H1056" s="373">
        <f>H1057</f>
        <v>87</v>
      </c>
      <c r="I1056" s="222"/>
    </row>
    <row r="1057" spans="1:9" ht="31.5" x14ac:dyDescent="0.25">
      <c r="A1057" s="372" t="s">
        <v>146</v>
      </c>
      <c r="B1057" s="366">
        <v>908</v>
      </c>
      <c r="C1057" s="368" t="s">
        <v>259</v>
      </c>
      <c r="D1057" s="368" t="s">
        <v>135</v>
      </c>
      <c r="E1057" s="368" t="s">
        <v>1131</v>
      </c>
      <c r="F1057" s="368" t="s">
        <v>147</v>
      </c>
      <c r="G1057" s="373">
        <f>G1058</f>
        <v>87</v>
      </c>
      <c r="H1057" s="373">
        <f>H1058</f>
        <v>87</v>
      </c>
      <c r="I1057" s="222"/>
    </row>
    <row r="1058" spans="1:9" ht="31.5" x14ac:dyDescent="0.25">
      <c r="A1058" s="372" t="s">
        <v>148</v>
      </c>
      <c r="B1058" s="366">
        <v>908</v>
      </c>
      <c r="C1058" s="368" t="s">
        <v>259</v>
      </c>
      <c r="D1058" s="368" t="s">
        <v>135</v>
      </c>
      <c r="E1058" s="368" t="s">
        <v>1131</v>
      </c>
      <c r="F1058" s="368" t="s">
        <v>149</v>
      </c>
      <c r="G1058" s="373">
        <f>87</f>
        <v>87</v>
      </c>
      <c r="H1058" s="373">
        <f t="shared" ref="H1058:H1101" si="81">G1058</f>
        <v>87</v>
      </c>
      <c r="I1058" s="222"/>
    </row>
    <row r="1059" spans="1:9" ht="31.5" x14ac:dyDescent="0.25">
      <c r="A1059" s="367" t="s">
        <v>589</v>
      </c>
      <c r="B1059" s="367">
        <v>910</v>
      </c>
      <c r="C1059" s="47"/>
      <c r="D1059" s="47"/>
      <c r="E1059" s="47"/>
      <c r="F1059" s="47"/>
      <c r="G1059" s="369">
        <f>G1060</f>
        <v>7005.5</v>
      </c>
      <c r="H1059" s="369">
        <f>H1060</f>
        <v>7005.5</v>
      </c>
      <c r="I1059" s="222"/>
    </row>
    <row r="1060" spans="1:9" ht="15.75" x14ac:dyDescent="0.25">
      <c r="A1060" s="370" t="s">
        <v>132</v>
      </c>
      <c r="B1060" s="367">
        <v>910</v>
      </c>
      <c r="C1060" s="371" t="s">
        <v>133</v>
      </c>
      <c r="D1060" s="371"/>
      <c r="E1060" s="371"/>
      <c r="F1060" s="371"/>
      <c r="G1060" s="369">
        <f>G1061+G1080+G1091</f>
        <v>7005.5</v>
      </c>
      <c r="H1060" s="369">
        <f>H1061+H1080+H1091</f>
        <v>7005.5</v>
      </c>
      <c r="I1060" s="222"/>
    </row>
    <row r="1061" spans="1:9" ht="47.25" x14ac:dyDescent="0.25">
      <c r="A1061" s="370" t="s">
        <v>590</v>
      </c>
      <c r="B1061" s="367">
        <v>910</v>
      </c>
      <c r="C1061" s="371" t="s">
        <v>133</v>
      </c>
      <c r="D1061" s="371" t="s">
        <v>228</v>
      </c>
      <c r="E1061" s="371"/>
      <c r="F1061" s="371"/>
      <c r="G1061" s="369">
        <f>G1062+G1072</f>
        <v>4268.5</v>
      </c>
      <c r="H1061" s="369">
        <f>H1062+H1072</f>
        <v>4268.5</v>
      </c>
      <c r="I1061" s="222"/>
    </row>
    <row r="1062" spans="1:9" ht="31.5" x14ac:dyDescent="0.25">
      <c r="A1062" s="370" t="s">
        <v>988</v>
      </c>
      <c r="B1062" s="367">
        <v>910</v>
      </c>
      <c r="C1062" s="371" t="s">
        <v>133</v>
      </c>
      <c r="D1062" s="371" t="s">
        <v>228</v>
      </c>
      <c r="E1062" s="371" t="s">
        <v>902</v>
      </c>
      <c r="F1062" s="371"/>
      <c r="G1062" s="369">
        <f>G1063</f>
        <v>4243</v>
      </c>
      <c r="H1062" s="369">
        <f>H1063</f>
        <v>4243</v>
      </c>
      <c r="I1062" s="222"/>
    </row>
    <row r="1063" spans="1:9" ht="31.5" x14ac:dyDescent="0.25">
      <c r="A1063" s="370" t="s">
        <v>1132</v>
      </c>
      <c r="B1063" s="367">
        <v>910</v>
      </c>
      <c r="C1063" s="371" t="s">
        <v>133</v>
      </c>
      <c r="D1063" s="371" t="s">
        <v>228</v>
      </c>
      <c r="E1063" s="371" t="s">
        <v>1133</v>
      </c>
      <c r="F1063" s="371"/>
      <c r="G1063" s="369">
        <f>G1064+G1069</f>
        <v>4243</v>
      </c>
      <c r="H1063" s="369">
        <f>H1064+H1069</f>
        <v>4243</v>
      </c>
      <c r="I1063" s="222"/>
    </row>
    <row r="1064" spans="1:9" ht="31.5" x14ac:dyDescent="0.25">
      <c r="A1064" s="372" t="s">
        <v>591</v>
      </c>
      <c r="B1064" s="366">
        <v>910</v>
      </c>
      <c r="C1064" s="368" t="s">
        <v>133</v>
      </c>
      <c r="D1064" s="368" t="s">
        <v>228</v>
      </c>
      <c r="E1064" s="368" t="s">
        <v>1134</v>
      </c>
      <c r="F1064" s="368"/>
      <c r="G1064" s="373">
        <f>G1065+G1067</f>
        <v>4201</v>
      </c>
      <c r="H1064" s="373">
        <f>H1065+H1067</f>
        <v>4201</v>
      </c>
      <c r="I1064" s="222"/>
    </row>
    <row r="1065" spans="1:9" ht="78.75" x14ac:dyDescent="0.25">
      <c r="A1065" s="372" t="s">
        <v>142</v>
      </c>
      <c r="B1065" s="366">
        <v>910</v>
      </c>
      <c r="C1065" s="368" t="s">
        <v>133</v>
      </c>
      <c r="D1065" s="368" t="s">
        <v>228</v>
      </c>
      <c r="E1065" s="368" t="s">
        <v>1134</v>
      </c>
      <c r="F1065" s="368" t="s">
        <v>143</v>
      </c>
      <c r="G1065" s="373">
        <f>G1066</f>
        <v>4111</v>
      </c>
      <c r="H1065" s="373">
        <f>H1066</f>
        <v>4111</v>
      </c>
      <c r="I1065" s="222"/>
    </row>
    <row r="1066" spans="1:9" ht="31.5" x14ac:dyDescent="0.25">
      <c r="A1066" s="372" t="s">
        <v>144</v>
      </c>
      <c r="B1066" s="366">
        <v>910</v>
      </c>
      <c r="C1066" s="368" t="s">
        <v>133</v>
      </c>
      <c r="D1066" s="368" t="s">
        <v>228</v>
      </c>
      <c r="E1066" s="368" t="s">
        <v>1134</v>
      </c>
      <c r="F1066" s="368" t="s">
        <v>145</v>
      </c>
      <c r="G1066" s="373">
        <f>4111</f>
        <v>4111</v>
      </c>
      <c r="H1066" s="373">
        <f t="shared" si="81"/>
        <v>4111</v>
      </c>
      <c r="I1066" s="222"/>
    </row>
    <row r="1067" spans="1:9" ht="31.5" x14ac:dyDescent="0.25">
      <c r="A1067" s="372" t="s">
        <v>213</v>
      </c>
      <c r="B1067" s="366">
        <v>910</v>
      </c>
      <c r="C1067" s="368" t="s">
        <v>133</v>
      </c>
      <c r="D1067" s="368" t="s">
        <v>228</v>
      </c>
      <c r="E1067" s="368" t="s">
        <v>1134</v>
      </c>
      <c r="F1067" s="368" t="s">
        <v>147</v>
      </c>
      <c r="G1067" s="373">
        <f>G1068</f>
        <v>90</v>
      </c>
      <c r="H1067" s="373">
        <f>H1068</f>
        <v>90</v>
      </c>
      <c r="I1067" s="222"/>
    </row>
    <row r="1068" spans="1:9" ht="31.5" x14ac:dyDescent="0.25">
      <c r="A1068" s="372" t="s">
        <v>148</v>
      </c>
      <c r="B1068" s="366">
        <v>910</v>
      </c>
      <c r="C1068" s="368" t="s">
        <v>133</v>
      </c>
      <c r="D1068" s="368" t="s">
        <v>228</v>
      </c>
      <c r="E1068" s="368" t="s">
        <v>1134</v>
      </c>
      <c r="F1068" s="368" t="s">
        <v>149</v>
      </c>
      <c r="G1068" s="373">
        <f>90</f>
        <v>90</v>
      </c>
      <c r="H1068" s="373">
        <f t="shared" si="81"/>
        <v>90</v>
      </c>
      <c r="I1068" s="222"/>
    </row>
    <row r="1069" spans="1:9" ht="47.25" x14ac:dyDescent="0.25">
      <c r="A1069" s="372" t="s">
        <v>883</v>
      </c>
      <c r="B1069" s="366">
        <v>910</v>
      </c>
      <c r="C1069" s="368" t="s">
        <v>133</v>
      </c>
      <c r="D1069" s="368" t="s">
        <v>228</v>
      </c>
      <c r="E1069" s="368" t="s">
        <v>1135</v>
      </c>
      <c r="F1069" s="368"/>
      <c r="G1069" s="373">
        <f>G1070</f>
        <v>42</v>
      </c>
      <c r="H1069" s="373">
        <f>H1070</f>
        <v>42</v>
      </c>
      <c r="I1069" s="222"/>
    </row>
    <row r="1070" spans="1:9" ht="78.75" x14ac:dyDescent="0.25">
      <c r="A1070" s="372" t="s">
        <v>142</v>
      </c>
      <c r="B1070" s="366">
        <v>910</v>
      </c>
      <c r="C1070" s="368" t="s">
        <v>133</v>
      </c>
      <c r="D1070" s="368" t="s">
        <v>228</v>
      </c>
      <c r="E1070" s="368" t="s">
        <v>1135</v>
      </c>
      <c r="F1070" s="368" t="s">
        <v>143</v>
      </c>
      <c r="G1070" s="373">
        <f>G1071</f>
        <v>42</v>
      </c>
      <c r="H1070" s="373">
        <f>H1071</f>
        <v>42</v>
      </c>
      <c r="I1070" s="222"/>
    </row>
    <row r="1071" spans="1:9" ht="31.5" x14ac:dyDescent="0.25">
      <c r="A1071" s="372" t="s">
        <v>144</v>
      </c>
      <c r="B1071" s="366">
        <v>910</v>
      </c>
      <c r="C1071" s="368" t="s">
        <v>133</v>
      </c>
      <c r="D1071" s="368" t="s">
        <v>228</v>
      </c>
      <c r="E1071" s="368" t="s">
        <v>1135</v>
      </c>
      <c r="F1071" s="368" t="s">
        <v>145</v>
      </c>
      <c r="G1071" s="373">
        <v>42</v>
      </c>
      <c r="H1071" s="373">
        <f t="shared" si="81"/>
        <v>42</v>
      </c>
      <c r="I1071" s="222"/>
    </row>
    <row r="1072" spans="1:9" ht="47.25" x14ac:dyDescent="0.25">
      <c r="A1072" s="370" t="s">
        <v>1442</v>
      </c>
      <c r="B1072" s="367">
        <v>910</v>
      </c>
      <c r="C1072" s="371" t="s">
        <v>133</v>
      </c>
      <c r="D1072" s="371" t="s">
        <v>228</v>
      </c>
      <c r="E1072" s="371" t="s">
        <v>177</v>
      </c>
      <c r="F1072" s="371"/>
      <c r="G1072" s="369">
        <f>G1073</f>
        <v>25.5</v>
      </c>
      <c r="H1072" s="369">
        <f>H1073</f>
        <v>25.5</v>
      </c>
      <c r="I1072" s="222"/>
    </row>
    <row r="1073" spans="1:9" ht="63" x14ac:dyDescent="0.25">
      <c r="A1073" s="247" t="s">
        <v>887</v>
      </c>
      <c r="B1073" s="367">
        <v>910</v>
      </c>
      <c r="C1073" s="371" t="s">
        <v>133</v>
      </c>
      <c r="D1073" s="371" t="s">
        <v>228</v>
      </c>
      <c r="E1073" s="371" t="s">
        <v>894</v>
      </c>
      <c r="F1073" s="371"/>
      <c r="G1073" s="369">
        <f>G1074+G1077</f>
        <v>25.5</v>
      </c>
      <c r="H1073" s="369">
        <f>H1074+H1077</f>
        <v>25.5</v>
      </c>
      <c r="I1073" s="222"/>
    </row>
    <row r="1074" spans="1:9" ht="47.25" x14ac:dyDescent="0.25">
      <c r="A1074" s="31" t="s">
        <v>710</v>
      </c>
      <c r="B1074" s="366">
        <v>910</v>
      </c>
      <c r="C1074" s="368" t="s">
        <v>133</v>
      </c>
      <c r="D1074" s="368" t="s">
        <v>228</v>
      </c>
      <c r="E1074" s="376" t="s">
        <v>1140</v>
      </c>
      <c r="F1074" s="368"/>
      <c r="G1074" s="373">
        <f>G1075</f>
        <v>0.5</v>
      </c>
      <c r="H1074" s="373">
        <f>H1075</f>
        <v>0.5</v>
      </c>
      <c r="I1074" s="222"/>
    </row>
    <row r="1075" spans="1:9" ht="31.5" x14ac:dyDescent="0.25">
      <c r="A1075" s="372" t="s">
        <v>146</v>
      </c>
      <c r="B1075" s="366">
        <v>910</v>
      </c>
      <c r="C1075" s="368" t="s">
        <v>133</v>
      </c>
      <c r="D1075" s="368" t="s">
        <v>228</v>
      </c>
      <c r="E1075" s="376" t="s">
        <v>1140</v>
      </c>
      <c r="F1075" s="368" t="s">
        <v>147</v>
      </c>
      <c r="G1075" s="373">
        <f>G1076</f>
        <v>0.5</v>
      </c>
      <c r="H1075" s="373">
        <f>H1076</f>
        <v>0.5</v>
      </c>
      <c r="I1075" s="222"/>
    </row>
    <row r="1076" spans="1:9" ht="31.5" x14ac:dyDescent="0.25">
      <c r="A1076" s="372" t="s">
        <v>148</v>
      </c>
      <c r="B1076" s="366">
        <v>910</v>
      </c>
      <c r="C1076" s="368" t="s">
        <v>133</v>
      </c>
      <c r="D1076" s="368" t="s">
        <v>228</v>
      </c>
      <c r="E1076" s="376" t="s">
        <v>711</v>
      </c>
      <c r="F1076" s="368" t="s">
        <v>149</v>
      </c>
      <c r="G1076" s="373">
        <v>0.5</v>
      </c>
      <c r="H1076" s="373">
        <f t="shared" si="81"/>
        <v>0.5</v>
      </c>
      <c r="I1076" s="222"/>
    </row>
    <row r="1077" spans="1:9" ht="47.25" x14ac:dyDescent="0.25">
      <c r="A1077" s="31" t="s">
        <v>710</v>
      </c>
      <c r="B1077" s="366">
        <v>910</v>
      </c>
      <c r="C1077" s="368" t="s">
        <v>133</v>
      </c>
      <c r="D1077" s="368" t="s">
        <v>228</v>
      </c>
      <c r="E1077" s="368" t="s">
        <v>1139</v>
      </c>
      <c r="F1077" s="368"/>
      <c r="G1077" s="373">
        <f>G1078</f>
        <v>25</v>
      </c>
      <c r="H1077" s="373">
        <f>H1078</f>
        <v>25</v>
      </c>
      <c r="I1077" s="222"/>
    </row>
    <row r="1078" spans="1:9" ht="31.5" x14ac:dyDescent="0.25">
      <c r="A1078" s="372" t="s">
        <v>146</v>
      </c>
      <c r="B1078" s="366">
        <v>910</v>
      </c>
      <c r="C1078" s="368" t="s">
        <v>133</v>
      </c>
      <c r="D1078" s="368" t="s">
        <v>228</v>
      </c>
      <c r="E1078" s="368" t="s">
        <v>1139</v>
      </c>
      <c r="F1078" s="368" t="s">
        <v>147</v>
      </c>
      <c r="G1078" s="373">
        <f>G1079</f>
        <v>25</v>
      </c>
      <c r="H1078" s="373">
        <f>H1079</f>
        <v>25</v>
      </c>
      <c r="I1078" s="222"/>
    </row>
    <row r="1079" spans="1:9" ht="31.5" x14ac:dyDescent="0.25">
      <c r="A1079" s="372" t="s">
        <v>148</v>
      </c>
      <c r="B1079" s="366">
        <v>910</v>
      </c>
      <c r="C1079" s="368" t="s">
        <v>133</v>
      </c>
      <c r="D1079" s="368" t="s">
        <v>228</v>
      </c>
      <c r="E1079" s="368" t="s">
        <v>1139</v>
      </c>
      <c r="F1079" s="368" t="s">
        <v>149</v>
      </c>
      <c r="G1079" s="373">
        <f>25</f>
        <v>25</v>
      </c>
      <c r="H1079" s="373">
        <f t="shared" si="81"/>
        <v>25</v>
      </c>
      <c r="I1079" s="222"/>
    </row>
    <row r="1080" spans="1:9" ht="63" x14ac:dyDescent="0.25">
      <c r="A1080" s="370" t="s">
        <v>593</v>
      </c>
      <c r="B1080" s="367">
        <v>910</v>
      </c>
      <c r="C1080" s="371" t="s">
        <v>133</v>
      </c>
      <c r="D1080" s="371" t="s">
        <v>230</v>
      </c>
      <c r="E1080" s="371"/>
      <c r="F1080" s="371"/>
      <c r="G1080" s="369">
        <f>G1081</f>
        <v>1091</v>
      </c>
      <c r="H1080" s="369">
        <f>H1081</f>
        <v>1091</v>
      </c>
      <c r="I1080" s="222"/>
    </row>
    <row r="1081" spans="1:9" ht="31.5" x14ac:dyDescent="0.25">
      <c r="A1081" s="370" t="s">
        <v>988</v>
      </c>
      <c r="B1081" s="367">
        <v>910</v>
      </c>
      <c r="C1081" s="371" t="s">
        <v>133</v>
      </c>
      <c r="D1081" s="371" t="s">
        <v>230</v>
      </c>
      <c r="E1081" s="371" t="s">
        <v>902</v>
      </c>
      <c r="F1081" s="371"/>
      <c r="G1081" s="369">
        <f>G1082</f>
        <v>1091</v>
      </c>
      <c r="H1081" s="369">
        <f>H1082</f>
        <v>1091</v>
      </c>
      <c r="I1081" s="222"/>
    </row>
    <row r="1082" spans="1:9" ht="31.5" x14ac:dyDescent="0.25">
      <c r="A1082" s="370" t="s">
        <v>1132</v>
      </c>
      <c r="B1082" s="367">
        <v>910</v>
      </c>
      <c r="C1082" s="371" t="s">
        <v>133</v>
      </c>
      <c r="D1082" s="371" t="s">
        <v>230</v>
      </c>
      <c r="E1082" s="371" t="s">
        <v>1133</v>
      </c>
      <c r="F1082" s="371"/>
      <c r="G1082" s="369">
        <f>G1083+G1088</f>
        <v>1091</v>
      </c>
      <c r="H1082" s="369">
        <f>H1083+H1088</f>
        <v>1091</v>
      </c>
      <c r="I1082" s="222"/>
    </row>
    <row r="1083" spans="1:9" ht="31.5" x14ac:dyDescent="0.25">
      <c r="A1083" s="372" t="s">
        <v>1136</v>
      </c>
      <c r="B1083" s="366">
        <v>910</v>
      </c>
      <c r="C1083" s="368" t="s">
        <v>133</v>
      </c>
      <c r="D1083" s="368" t="s">
        <v>230</v>
      </c>
      <c r="E1083" s="368" t="s">
        <v>1137</v>
      </c>
      <c r="F1083" s="368"/>
      <c r="G1083" s="373">
        <f>G1084+G1086</f>
        <v>1091</v>
      </c>
      <c r="H1083" s="373">
        <f>H1084+H1086</f>
        <v>1091</v>
      </c>
      <c r="I1083" s="222"/>
    </row>
    <row r="1084" spans="1:9" ht="78.75" x14ac:dyDescent="0.25">
      <c r="A1084" s="372" t="s">
        <v>142</v>
      </c>
      <c r="B1084" s="366">
        <v>910</v>
      </c>
      <c r="C1084" s="368" t="s">
        <v>133</v>
      </c>
      <c r="D1084" s="368" t="s">
        <v>230</v>
      </c>
      <c r="E1084" s="368" t="s">
        <v>1137</v>
      </c>
      <c r="F1084" s="368" t="s">
        <v>143</v>
      </c>
      <c r="G1084" s="373">
        <f>G1085</f>
        <v>998</v>
      </c>
      <c r="H1084" s="373">
        <f>H1085</f>
        <v>998</v>
      </c>
      <c r="I1084" s="222"/>
    </row>
    <row r="1085" spans="1:9" ht="31.5" x14ac:dyDescent="0.25">
      <c r="A1085" s="372" t="s">
        <v>144</v>
      </c>
      <c r="B1085" s="366">
        <v>910</v>
      </c>
      <c r="C1085" s="368" t="s">
        <v>133</v>
      </c>
      <c r="D1085" s="368" t="s">
        <v>230</v>
      </c>
      <c r="E1085" s="368" t="s">
        <v>1137</v>
      </c>
      <c r="F1085" s="368" t="s">
        <v>145</v>
      </c>
      <c r="G1085" s="373">
        <f>998</f>
        <v>998</v>
      </c>
      <c r="H1085" s="373">
        <f t="shared" si="81"/>
        <v>998</v>
      </c>
      <c r="I1085" s="222"/>
    </row>
    <row r="1086" spans="1:9" ht="31.5" x14ac:dyDescent="0.25">
      <c r="A1086" s="372" t="s">
        <v>213</v>
      </c>
      <c r="B1086" s="366">
        <v>910</v>
      </c>
      <c r="C1086" s="368" t="s">
        <v>133</v>
      </c>
      <c r="D1086" s="368" t="s">
        <v>230</v>
      </c>
      <c r="E1086" s="368" t="s">
        <v>1137</v>
      </c>
      <c r="F1086" s="368" t="s">
        <v>147</v>
      </c>
      <c r="G1086" s="373">
        <f>G1087</f>
        <v>93</v>
      </c>
      <c r="H1086" s="373">
        <f>H1087</f>
        <v>93</v>
      </c>
      <c r="I1086" s="222"/>
    </row>
    <row r="1087" spans="1:9" ht="31.5" x14ac:dyDescent="0.25">
      <c r="A1087" s="372" t="s">
        <v>148</v>
      </c>
      <c r="B1087" s="366">
        <v>910</v>
      </c>
      <c r="C1087" s="368" t="s">
        <v>133</v>
      </c>
      <c r="D1087" s="368" t="s">
        <v>230</v>
      </c>
      <c r="E1087" s="368" t="s">
        <v>1137</v>
      </c>
      <c r="F1087" s="368" t="s">
        <v>149</v>
      </c>
      <c r="G1087" s="373">
        <f>93</f>
        <v>93</v>
      </c>
      <c r="H1087" s="373">
        <f t="shared" si="81"/>
        <v>93</v>
      </c>
      <c r="I1087" s="222"/>
    </row>
    <row r="1088" spans="1:9" ht="47.25" hidden="1" x14ac:dyDescent="0.25">
      <c r="A1088" s="372" t="s">
        <v>883</v>
      </c>
      <c r="B1088" s="366">
        <v>910</v>
      </c>
      <c r="C1088" s="368" t="s">
        <v>133</v>
      </c>
      <c r="D1088" s="368" t="s">
        <v>230</v>
      </c>
      <c r="E1088" s="368" t="s">
        <v>1135</v>
      </c>
      <c r="F1088" s="368"/>
      <c r="G1088" s="373">
        <f>'Пр.4 ведом.20'!G1131</f>
        <v>0</v>
      </c>
      <c r="H1088" s="373">
        <f t="shared" si="81"/>
        <v>0</v>
      </c>
      <c r="I1088" s="222"/>
    </row>
    <row r="1089" spans="1:9" ht="78.75" hidden="1" x14ac:dyDescent="0.25">
      <c r="A1089" s="372" t="s">
        <v>142</v>
      </c>
      <c r="B1089" s="366">
        <v>910</v>
      </c>
      <c r="C1089" s="368" t="s">
        <v>133</v>
      </c>
      <c r="D1089" s="368" t="s">
        <v>230</v>
      </c>
      <c r="E1089" s="368" t="s">
        <v>1135</v>
      </c>
      <c r="F1089" s="368" t="s">
        <v>143</v>
      </c>
      <c r="G1089" s="373">
        <f>'Пр.4 ведом.20'!G1132</f>
        <v>0</v>
      </c>
      <c r="H1089" s="373">
        <f t="shared" si="81"/>
        <v>0</v>
      </c>
      <c r="I1089" s="222"/>
    </row>
    <row r="1090" spans="1:9" ht="31.5" hidden="1" x14ac:dyDescent="0.25">
      <c r="A1090" s="372" t="s">
        <v>144</v>
      </c>
      <c r="B1090" s="366">
        <v>910</v>
      </c>
      <c r="C1090" s="368" t="s">
        <v>133</v>
      </c>
      <c r="D1090" s="368" t="s">
        <v>230</v>
      </c>
      <c r="E1090" s="368" t="s">
        <v>1135</v>
      </c>
      <c r="F1090" s="368" t="s">
        <v>145</v>
      </c>
      <c r="G1090" s="373">
        <f>'Пр.4 ведом.20'!G1133</f>
        <v>0</v>
      </c>
      <c r="H1090" s="373">
        <f t="shared" si="81"/>
        <v>0</v>
      </c>
      <c r="I1090" s="222"/>
    </row>
    <row r="1091" spans="1:9" ht="47.25" x14ac:dyDescent="0.25">
      <c r="A1091" s="370" t="s">
        <v>134</v>
      </c>
      <c r="B1091" s="367">
        <v>910</v>
      </c>
      <c r="C1091" s="371" t="s">
        <v>133</v>
      </c>
      <c r="D1091" s="371" t="s">
        <v>135</v>
      </c>
      <c r="E1091" s="371"/>
      <c r="F1091" s="371"/>
      <c r="G1091" s="369">
        <f>G1092</f>
        <v>1646</v>
      </c>
      <c r="H1091" s="369">
        <f>H1092</f>
        <v>1646</v>
      </c>
      <c r="I1091" s="222"/>
    </row>
    <row r="1092" spans="1:9" ht="31.5" x14ac:dyDescent="0.25">
      <c r="A1092" s="370" t="s">
        <v>988</v>
      </c>
      <c r="B1092" s="367">
        <v>910</v>
      </c>
      <c r="C1092" s="371" t="s">
        <v>133</v>
      </c>
      <c r="D1092" s="371" t="s">
        <v>135</v>
      </c>
      <c r="E1092" s="371" t="s">
        <v>902</v>
      </c>
      <c r="F1092" s="371"/>
      <c r="G1092" s="369">
        <f>G1093</f>
        <v>1646</v>
      </c>
      <c r="H1092" s="369">
        <f>H1093</f>
        <v>1646</v>
      </c>
      <c r="I1092" s="222"/>
    </row>
    <row r="1093" spans="1:9" ht="31.5" x14ac:dyDescent="0.25">
      <c r="A1093" s="370" t="s">
        <v>1132</v>
      </c>
      <c r="B1093" s="367">
        <v>910</v>
      </c>
      <c r="C1093" s="371" t="s">
        <v>133</v>
      </c>
      <c r="D1093" s="371" t="s">
        <v>135</v>
      </c>
      <c r="E1093" s="371" t="s">
        <v>1133</v>
      </c>
      <c r="F1093" s="371"/>
      <c r="G1093" s="369">
        <f>G1094+G1099</f>
        <v>1646</v>
      </c>
      <c r="H1093" s="369">
        <f>H1094+H1099</f>
        <v>1646</v>
      </c>
      <c r="I1093" s="222"/>
    </row>
    <row r="1094" spans="1:9" ht="31.5" x14ac:dyDescent="0.25">
      <c r="A1094" s="372" t="s">
        <v>965</v>
      </c>
      <c r="B1094" s="366">
        <v>910</v>
      </c>
      <c r="C1094" s="368" t="s">
        <v>133</v>
      </c>
      <c r="D1094" s="368" t="s">
        <v>135</v>
      </c>
      <c r="E1094" s="368" t="s">
        <v>1137</v>
      </c>
      <c r="F1094" s="368"/>
      <c r="G1094" s="373">
        <f>G1095+G1097</f>
        <v>1604</v>
      </c>
      <c r="H1094" s="373">
        <f>H1095+H1097</f>
        <v>1604</v>
      </c>
      <c r="I1094" s="222"/>
    </row>
    <row r="1095" spans="1:9" ht="78.75" x14ac:dyDescent="0.25">
      <c r="A1095" s="372" t="s">
        <v>142</v>
      </c>
      <c r="B1095" s="366">
        <v>910</v>
      </c>
      <c r="C1095" s="368" t="s">
        <v>133</v>
      </c>
      <c r="D1095" s="368" t="s">
        <v>135</v>
      </c>
      <c r="E1095" s="368" t="s">
        <v>1137</v>
      </c>
      <c r="F1095" s="368" t="s">
        <v>143</v>
      </c>
      <c r="G1095" s="373">
        <f>G1096</f>
        <v>1586</v>
      </c>
      <c r="H1095" s="373">
        <f>H1096</f>
        <v>1586</v>
      </c>
      <c r="I1095" s="222"/>
    </row>
    <row r="1096" spans="1:9" ht="31.5" x14ac:dyDescent="0.25">
      <c r="A1096" s="372" t="s">
        <v>144</v>
      </c>
      <c r="B1096" s="366">
        <v>910</v>
      </c>
      <c r="C1096" s="368" t="s">
        <v>133</v>
      </c>
      <c r="D1096" s="368" t="s">
        <v>135</v>
      </c>
      <c r="E1096" s="368" t="s">
        <v>1137</v>
      </c>
      <c r="F1096" s="368" t="s">
        <v>145</v>
      </c>
      <c r="G1096" s="373">
        <f>1586</f>
        <v>1586</v>
      </c>
      <c r="H1096" s="373">
        <f t="shared" si="81"/>
        <v>1586</v>
      </c>
      <c r="I1096" s="222"/>
    </row>
    <row r="1097" spans="1:9" ht="31.5" x14ac:dyDescent="0.25">
      <c r="A1097" s="372" t="s">
        <v>213</v>
      </c>
      <c r="B1097" s="366">
        <v>910</v>
      </c>
      <c r="C1097" s="368" t="s">
        <v>133</v>
      </c>
      <c r="D1097" s="368" t="s">
        <v>135</v>
      </c>
      <c r="E1097" s="368" t="s">
        <v>1137</v>
      </c>
      <c r="F1097" s="368" t="s">
        <v>147</v>
      </c>
      <c r="G1097" s="373">
        <f>G1098</f>
        <v>18</v>
      </c>
      <c r="H1097" s="373">
        <f>H1098</f>
        <v>18</v>
      </c>
      <c r="I1097" s="222"/>
    </row>
    <row r="1098" spans="1:9" ht="31.5" x14ac:dyDescent="0.25">
      <c r="A1098" s="372" t="s">
        <v>148</v>
      </c>
      <c r="B1098" s="366">
        <v>910</v>
      </c>
      <c r="C1098" s="368" t="s">
        <v>133</v>
      </c>
      <c r="D1098" s="368" t="s">
        <v>135</v>
      </c>
      <c r="E1098" s="368" t="s">
        <v>1137</v>
      </c>
      <c r="F1098" s="368" t="s">
        <v>149</v>
      </c>
      <c r="G1098" s="373">
        <f>18</f>
        <v>18</v>
      </c>
      <c r="H1098" s="373">
        <f t="shared" si="81"/>
        <v>18</v>
      </c>
      <c r="I1098" s="222"/>
    </row>
    <row r="1099" spans="1:9" ht="47.25" x14ac:dyDescent="0.25">
      <c r="A1099" s="372" t="s">
        <v>883</v>
      </c>
      <c r="B1099" s="366">
        <v>910</v>
      </c>
      <c r="C1099" s="368" t="s">
        <v>133</v>
      </c>
      <c r="D1099" s="368" t="s">
        <v>135</v>
      </c>
      <c r="E1099" s="368" t="s">
        <v>1135</v>
      </c>
      <c r="F1099" s="368"/>
      <c r="G1099" s="373">
        <f>G1100</f>
        <v>42</v>
      </c>
      <c r="H1099" s="373">
        <f>H1100</f>
        <v>42</v>
      </c>
      <c r="I1099" s="222"/>
    </row>
    <row r="1100" spans="1:9" ht="78.75" x14ac:dyDescent="0.25">
      <c r="A1100" s="372" t="s">
        <v>142</v>
      </c>
      <c r="B1100" s="366">
        <v>910</v>
      </c>
      <c r="C1100" s="368" t="s">
        <v>133</v>
      </c>
      <c r="D1100" s="368" t="s">
        <v>135</v>
      </c>
      <c r="E1100" s="368" t="s">
        <v>1135</v>
      </c>
      <c r="F1100" s="368" t="s">
        <v>143</v>
      </c>
      <c r="G1100" s="373">
        <f>G1101</f>
        <v>42</v>
      </c>
      <c r="H1100" s="373">
        <f>H1101</f>
        <v>42</v>
      </c>
      <c r="I1100" s="222"/>
    </row>
    <row r="1101" spans="1:9" ht="31.5" x14ac:dyDescent="0.25">
      <c r="A1101" s="372" t="s">
        <v>144</v>
      </c>
      <c r="B1101" s="366">
        <v>910</v>
      </c>
      <c r="C1101" s="368" t="s">
        <v>133</v>
      </c>
      <c r="D1101" s="368" t="s">
        <v>135</v>
      </c>
      <c r="E1101" s="368" t="s">
        <v>1135</v>
      </c>
      <c r="F1101" s="368" t="s">
        <v>145</v>
      </c>
      <c r="G1101" s="373">
        <f>42</f>
        <v>42</v>
      </c>
      <c r="H1101" s="373">
        <f t="shared" si="81"/>
        <v>42</v>
      </c>
      <c r="I1101" s="222"/>
    </row>
    <row r="1102" spans="1:9" ht="15.75" x14ac:dyDescent="0.25">
      <c r="A1102" s="48" t="s">
        <v>602</v>
      </c>
      <c r="B1102" s="48"/>
      <c r="C1102" s="371"/>
      <c r="D1102" s="371"/>
      <c r="E1102" s="371"/>
      <c r="F1102" s="371"/>
      <c r="G1102" s="326">
        <f>G1059+G847+G770+G535+G492+G214+G30+G9</f>
        <v>729449.03200000001</v>
      </c>
      <c r="H1102" s="326">
        <f>H1059+H847+H770+H535+H492+H214+H30+H9</f>
        <v>733196.22</v>
      </c>
      <c r="I1102" s="222"/>
    </row>
    <row r="1103" spans="1:9" x14ac:dyDescent="0.25">
      <c r="A1103" s="50"/>
      <c r="B1103" s="50"/>
      <c r="C1103" s="50"/>
      <c r="D1103" s="50"/>
      <c r="E1103" s="50"/>
      <c r="F1103" s="50"/>
      <c r="G1103" s="50"/>
      <c r="H1103" s="357"/>
    </row>
    <row r="1104" spans="1:9" ht="18.75" hidden="1" x14ac:dyDescent="0.3">
      <c r="A1104" s="50"/>
      <c r="B1104" s="50"/>
      <c r="C1104" s="51"/>
      <c r="D1104" s="51"/>
      <c r="E1104" s="51"/>
      <c r="F1104" s="102" t="s">
        <v>603</v>
      </c>
      <c r="G1104" s="52">
        <f>G1102-G1105</f>
        <v>458882.07400000002</v>
      </c>
      <c r="H1104" s="52">
        <f>H1102-H1105</f>
        <v>465606.32</v>
      </c>
    </row>
    <row r="1105" spans="1:10" ht="18.75" hidden="1" x14ac:dyDescent="0.3">
      <c r="A1105" s="50"/>
      <c r="B1105" s="50"/>
      <c r="C1105" s="51"/>
      <c r="D1105" s="51"/>
      <c r="E1105" s="51"/>
      <c r="F1105" s="102" t="s">
        <v>604</v>
      </c>
      <c r="G1105" s="52">
        <f>G50+G167+G176+G208+G223+G256+G263+G303+G363+G392+G395+G448+G521+G557+G598+G631+G668+G675+G706+G740+G809+G1004+G1011+G916+G270+G187+G84+G1077-44-500-239.82+G610+G507+G203+G367</f>
        <v>270566.95799999998</v>
      </c>
      <c r="H1105" s="52">
        <f>H50+H167+H176+H208+H223+H256+H263+H303+H363+H392+H395+H448+H521+H557+H598+H631+H668+H675+H706+H740+H809+H1004+H1011+H916+H270+H187+H84+H1077-54-500-239.82+H610+H507+H203+H367</f>
        <v>267589.89999999997</v>
      </c>
      <c r="I1105" s="230">
        <v>267446.40000000002</v>
      </c>
      <c r="J1105">
        <v>260319.2</v>
      </c>
    </row>
    <row r="1106" spans="1:10" ht="15.75" hidden="1" x14ac:dyDescent="0.25">
      <c r="A1106" s="50"/>
      <c r="B1106" s="50"/>
      <c r="C1106" s="51"/>
      <c r="D1106" s="53"/>
      <c r="E1106" s="53"/>
      <c r="F1106" s="53"/>
      <c r="G1106" s="103"/>
      <c r="H1106" s="103"/>
      <c r="I1106" s="265">
        <f>I1105-G1105</f>
        <v>-3120.5579999999609</v>
      </c>
      <c r="J1106" s="265">
        <f>J1105-H1105</f>
        <v>-7270.6999999999534</v>
      </c>
    </row>
    <row r="1107" spans="1:10" ht="15.75" hidden="1" x14ac:dyDescent="0.25">
      <c r="A1107" s="50"/>
      <c r="B1107" s="50"/>
      <c r="C1107" s="51"/>
      <c r="D1107" s="53"/>
      <c r="E1107" s="53"/>
      <c r="F1107" s="53"/>
      <c r="G1107" s="356"/>
      <c r="H1107" s="356"/>
    </row>
    <row r="1108" spans="1:10" ht="15.75" hidden="1" x14ac:dyDescent="0.25">
      <c r="A1108" s="50"/>
      <c r="B1108" s="50"/>
      <c r="C1108" s="51"/>
      <c r="D1108" s="53"/>
      <c r="E1108" s="53"/>
      <c r="F1108" s="53"/>
      <c r="G1108" s="51"/>
      <c r="H1108" s="51"/>
    </row>
    <row r="1109" spans="1:10" ht="15.75" hidden="1" x14ac:dyDescent="0.25">
      <c r="A1109" s="50"/>
      <c r="B1109" s="50"/>
      <c r="C1109" s="54">
        <v>1</v>
      </c>
      <c r="D1109" s="53"/>
      <c r="E1109" s="53"/>
      <c r="F1109" s="53"/>
      <c r="G1109" s="55">
        <f>G9+G31+G215+G493+G536+G848+G1060+G771</f>
        <v>142238.12</v>
      </c>
      <c r="H1109" s="55">
        <f>H9+H31+H215+H493+H536+H848+H1060+H771</f>
        <v>147123.01999999999</v>
      </c>
    </row>
    <row r="1110" spans="1:10" ht="15.75" hidden="1" x14ac:dyDescent="0.25">
      <c r="A1110" s="50"/>
      <c r="B1110" s="50"/>
      <c r="C1110" s="54" t="s">
        <v>603</v>
      </c>
      <c r="D1110" s="53"/>
      <c r="E1110" s="53"/>
      <c r="F1110" s="53"/>
      <c r="G1110" s="55">
        <f>G1109-G1111</f>
        <v>136041.82</v>
      </c>
      <c r="H1110" s="55">
        <f>H1109-H1111</f>
        <v>143886.41999999998</v>
      </c>
    </row>
    <row r="1111" spans="1:10" ht="15.75" hidden="1" x14ac:dyDescent="0.25">
      <c r="A1111" s="50"/>
      <c r="B1111" s="50"/>
      <c r="C1111" s="54" t="s">
        <v>604</v>
      </c>
      <c r="D1111" s="53"/>
      <c r="E1111" s="53"/>
      <c r="F1111" s="53"/>
      <c r="G1111" s="55">
        <f>G1077+G521+G223+G84+G50-239.82+G507</f>
        <v>6196.3000000000011</v>
      </c>
      <c r="H1111" s="55">
        <f>H1077+H521+H223+H84+H50-239.82+H507</f>
        <v>3236.6</v>
      </c>
    </row>
    <row r="1112" spans="1:10" ht="15.75" hidden="1" x14ac:dyDescent="0.25">
      <c r="A1112" s="50"/>
      <c r="B1112" s="50"/>
      <c r="C1112" s="54">
        <v>2</v>
      </c>
      <c r="D1112" s="53"/>
      <c r="E1112" s="53"/>
      <c r="F1112" s="53"/>
      <c r="G1112" s="55">
        <f>G134</f>
        <v>0</v>
      </c>
      <c r="H1112" s="55">
        <f>H134</f>
        <v>0</v>
      </c>
    </row>
    <row r="1113" spans="1:10" ht="15.75" hidden="1" x14ac:dyDescent="0.25">
      <c r="A1113" s="50"/>
      <c r="B1113" s="50"/>
      <c r="C1113" s="54">
        <v>3</v>
      </c>
      <c r="D1113" s="53"/>
      <c r="E1113" s="53"/>
      <c r="F1113" s="53"/>
      <c r="G1113" s="55">
        <f>G862+G141</f>
        <v>8029</v>
      </c>
      <c r="H1113" s="55">
        <f>H862+H141</f>
        <v>8029</v>
      </c>
    </row>
    <row r="1114" spans="1:10" ht="15.75" hidden="1" x14ac:dyDescent="0.25">
      <c r="A1114" s="50"/>
      <c r="B1114" s="50"/>
      <c r="C1114" s="54">
        <v>4</v>
      </c>
      <c r="D1114" s="53"/>
      <c r="E1114" s="53"/>
      <c r="F1114" s="53"/>
      <c r="G1114" s="55">
        <f>G160+G869+G248</f>
        <v>7611.8</v>
      </c>
      <c r="H1114" s="55">
        <f>H160+H869+H248</f>
        <v>7579.5</v>
      </c>
    </row>
    <row r="1115" spans="1:10" ht="15.75" hidden="1" x14ac:dyDescent="0.25">
      <c r="A1115" s="50"/>
      <c r="B1115" s="50"/>
      <c r="C1115" s="54" t="s">
        <v>603</v>
      </c>
      <c r="D1115" s="53"/>
      <c r="E1115" s="53"/>
      <c r="F1115" s="53"/>
      <c r="G1115" s="55">
        <f>G1114-G1116</f>
        <v>6568</v>
      </c>
      <c r="H1115" s="55">
        <f>H1114-H1116</f>
        <v>6657</v>
      </c>
    </row>
    <row r="1116" spans="1:10" ht="15.75" hidden="1" x14ac:dyDescent="0.25">
      <c r="A1116" s="50"/>
      <c r="B1116" s="50"/>
      <c r="C1116" s="54" t="s">
        <v>604</v>
      </c>
      <c r="D1116" s="53"/>
      <c r="E1116" s="53"/>
      <c r="F1116" s="53"/>
      <c r="G1116" s="55">
        <f>G176+G256+G263+G270+G187+G167</f>
        <v>1043.8</v>
      </c>
      <c r="H1116" s="55">
        <f>H176+H256+H263+H270+H187+H167</f>
        <v>922.5</v>
      </c>
    </row>
    <row r="1117" spans="1:10" ht="15.75" hidden="1" x14ac:dyDescent="0.25">
      <c r="A1117" s="50"/>
      <c r="B1117" s="50"/>
      <c r="C1117" s="54">
        <v>5</v>
      </c>
      <c r="D1117" s="53"/>
      <c r="E1117" s="53"/>
      <c r="F1117" s="53"/>
      <c r="G1117" s="55">
        <f>G888+G525</f>
        <v>38717.5</v>
      </c>
      <c r="H1117" s="55">
        <f>H888+H525</f>
        <v>44867.9</v>
      </c>
    </row>
    <row r="1118" spans="1:10" ht="15.75" hidden="1" x14ac:dyDescent="0.25">
      <c r="A1118" s="50"/>
      <c r="B1118" s="50"/>
      <c r="C1118" s="54" t="s">
        <v>603</v>
      </c>
      <c r="D1118" s="53"/>
      <c r="E1118" s="53"/>
      <c r="F1118" s="53"/>
      <c r="G1118" s="55">
        <f>G1117-G1119</f>
        <v>36803</v>
      </c>
      <c r="H1118" s="55">
        <f>H1117-H1119</f>
        <v>35561.4</v>
      </c>
    </row>
    <row r="1119" spans="1:10" ht="15.75" hidden="1" x14ac:dyDescent="0.25">
      <c r="A1119" s="50"/>
      <c r="B1119" s="50"/>
      <c r="C1119" s="54" t="s">
        <v>604</v>
      </c>
      <c r="D1119" s="53"/>
      <c r="E1119" s="53"/>
      <c r="F1119" s="53"/>
      <c r="G1119" s="55">
        <f>G916+G1004+G1013+G894-500</f>
        <v>1914.5</v>
      </c>
      <c r="H1119" s="55">
        <f>H916+H1004+H1013+H894-500</f>
        <v>9306.5</v>
      </c>
    </row>
    <row r="1120" spans="1:10" ht="15.75" hidden="1" x14ac:dyDescent="0.25">
      <c r="A1120" s="50"/>
      <c r="B1120" s="50"/>
      <c r="C1120" s="54">
        <v>7</v>
      </c>
      <c r="D1120" s="53"/>
      <c r="E1120" s="53"/>
      <c r="F1120" s="53"/>
      <c r="G1120" s="55">
        <f>G546+G277</f>
        <v>378623.10000000003</v>
      </c>
      <c r="H1120" s="55">
        <f>H546+H277</f>
        <v>378631.60000000003</v>
      </c>
    </row>
    <row r="1121" spans="1:8" ht="15.75" hidden="1" x14ac:dyDescent="0.25">
      <c r="A1121" s="50"/>
      <c r="B1121" s="50"/>
      <c r="C1121" s="54" t="s">
        <v>603</v>
      </c>
      <c r="D1121" s="53"/>
      <c r="E1121" s="53"/>
      <c r="F1121" s="53"/>
      <c r="G1121" s="55">
        <f>G1120-G1122</f>
        <v>131427.69999999998</v>
      </c>
      <c r="H1121" s="55">
        <f>H1120-H1122</f>
        <v>131427.69999999998</v>
      </c>
    </row>
    <row r="1122" spans="1:8" ht="15.75" hidden="1" x14ac:dyDescent="0.25">
      <c r="A1122" s="50"/>
      <c r="B1122" s="50"/>
      <c r="C1122" s="54" t="s">
        <v>604</v>
      </c>
      <c r="D1122" s="53"/>
      <c r="E1122" s="53"/>
      <c r="F1122" s="53"/>
      <c r="G1122" s="55">
        <f>G740+G706+G675+G668+G631+G598+G557+G303+G610</f>
        <v>247195.40000000005</v>
      </c>
      <c r="H1122" s="55">
        <f>H740+H706+H675+H668+H631+H598+H557+H303+H610</f>
        <v>247203.90000000005</v>
      </c>
    </row>
    <row r="1123" spans="1:8" ht="15.75" hidden="1" x14ac:dyDescent="0.25">
      <c r="A1123" s="50"/>
      <c r="B1123" s="50"/>
      <c r="C1123" s="54">
        <v>8</v>
      </c>
      <c r="D1123" s="53"/>
      <c r="E1123" s="53"/>
      <c r="F1123" s="53"/>
      <c r="G1123" s="55">
        <f>G341</f>
        <v>70268.512000000002</v>
      </c>
      <c r="H1123" s="55">
        <f>H341</f>
        <v>67994.2</v>
      </c>
    </row>
    <row r="1124" spans="1:8" ht="15.75" hidden="1" x14ac:dyDescent="0.25">
      <c r="A1124" s="50"/>
      <c r="B1124" s="50"/>
      <c r="C1124" s="54" t="s">
        <v>603</v>
      </c>
      <c r="D1124" s="53"/>
      <c r="E1124" s="53"/>
      <c r="F1124" s="53"/>
      <c r="G1124" s="55">
        <f>G1123-G1125</f>
        <v>65486.454000000005</v>
      </c>
      <c r="H1124" s="55">
        <f>H1123-H1125</f>
        <v>65508.7</v>
      </c>
    </row>
    <row r="1125" spans="1:8" ht="15.75" hidden="1" x14ac:dyDescent="0.25">
      <c r="A1125" s="50"/>
      <c r="B1125" s="50"/>
      <c r="C1125" s="54" t="s">
        <v>604</v>
      </c>
      <c r="D1125" s="53"/>
      <c r="E1125" s="53"/>
      <c r="F1125" s="53"/>
      <c r="G1125" s="55">
        <f>G395+G392+G363+G367</f>
        <v>4782.058</v>
      </c>
      <c r="H1125" s="55">
        <f>H395+H392+H363+H367</f>
        <v>2485.5</v>
      </c>
    </row>
    <row r="1126" spans="1:8" ht="15.75" hidden="1" x14ac:dyDescent="0.25">
      <c r="A1126" s="50"/>
      <c r="B1126" s="50"/>
      <c r="C1126" s="54">
        <v>10</v>
      </c>
      <c r="D1126" s="53"/>
      <c r="E1126" s="53"/>
      <c r="F1126" s="53"/>
      <c r="G1126" s="55">
        <f>G1051+G444+G190</f>
        <v>19998.400000000001</v>
      </c>
      <c r="H1126" s="55">
        <f>H1051+H444+H190</f>
        <v>15008.4</v>
      </c>
    </row>
    <row r="1127" spans="1:8" ht="15.75" hidden="1" x14ac:dyDescent="0.25">
      <c r="A1127" s="50"/>
      <c r="B1127" s="50"/>
      <c r="C1127" s="54" t="s">
        <v>603</v>
      </c>
      <c r="D1127" s="53"/>
      <c r="E1127" s="53"/>
      <c r="F1127" s="53"/>
      <c r="G1127" s="55">
        <f>G1126-G1128</f>
        <v>11377.000000000002</v>
      </c>
      <c r="H1127" s="55">
        <f>H1126-H1128</f>
        <v>11387</v>
      </c>
    </row>
    <row r="1128" spans="1:8" ht="15.75" hidden="1" x14ac:dyDescent="0.25">
      <c r="A1128" s="50"/>
      <c r="B1128" s="50"/>
      <c r="C1128" s="54" t="s">
        <v>604</v>
      </c>
      <c r="D1128" s="53"/>
      <c r="E1128" s="53"/>
      <c r="F1128" s="53"/>
      <c r="G1128" s="55">
        <f>G208+G449-44+G203</f>
        <v>8621.4</v>
      </c>
      <c r="H1128" s="55">
        <f>H208+H449-54+H203</f>
        <v>3621.4</v>
      </c>
    </row>
    <row r="1129" spans="1:8" ht="15.75" hidden="1" x14ac:dyDescent="0.25">
      <c r="A1129" s="50"/>
      <c r="B1129" s="50"/>
      <c r="C1129" s="54">
        <v>11</v>
      </c>
      <c r="D1129" s="53"/>
      <c r="E1129" s="53"/>
      <c r="F1129" s="53"/>
      <c r="G1129" s="55">
        <f>G778</f>
        <v>58483.6</v>
      </c>
      <c r="H1129" s="55">
        <f>H778</f>
        <v>58483.6</v>
      </c>
    </row>
    <row r="1130" spans="1:8" ht="15.75" hidden="1" x14ac:dyDescent="0.25">
      <c r="A1130" s="50"/>
      <c r="B1130" s="50"/>
      <c r="C1130" s="54" t="s">
        <v>603</v>
      </c>
      <c r="D1130" s="53"/>
      <c r="E1130" s="53"/>
      <c r="F1130" s="53"/>
      <c r="G1130" s="55">
        <f>G1129-G1131</f>
        <v>57670.1</v>
      </c>
      <c r="H1130" s="55">
        <f>H1129-H1131</f>
        <v>57670.1</v>
      </c>
    </row>
    <row r="1131" spans="1:8" ht="15.75" hidden="1" x14ac:dyDescent="0.25">
      <c r="A1131" s="50"/>
      <c r="B1131" s="50"/>
      <c r="C1131" s="54" t="s">
        <v>604</v>
      </c>
      <c r="D1131" s="53"/>
      <c r="E1131" s="53"/>
      <c r="F1131" s="53"/>
      <c r="G1131" s="55">
        <f>G809</f>
        <v>813.5</v>
      </c>
      <c r="H1131" s="55">
        <f>H809</f>
        <v>813.5</v>
      </c>
    </row>
    <row r="1132" spans="1:8" ht="15.75" hidden="1" x14ac:dyDescent="0.25">
      <c r="A1132" s="50"/>
      <c r="B1132" s="50"/>
      <c r="C1132" s="54">
        <v>12</v>
      </c>
      <c r="D1132" s="53"/>
      <c r="E1132" s="53"/>
      <c r="F1132" s="53"/>
      <c r="G1132" s="55">
        <f>G473</f>
        <v>5479</v>
      </c>
      <c r="H1132" s="55">
        <f>H473</f>
        <v>5479</v>
      </c>
    </row>
    <row r="1133" spans="1:8" ht="15.75" hidden="1" x14ac:dyDescent="0.25">
      <c r="A1133" s="50"/>
      <c r="B1133" s="50"/>
      <c r="C1133" s="55"/>
      <c r="D1133" s="53"/>
      <c r="E1133" s="53"/>
      <c r="F1133" s="53"/>
      <c r="G1133" s="104">
        <f>G1109+G1112+G1113+G1114+G1117+G1120+G1123+G1126+G1129+G1132</f>
        <v>729449.03200000001</v>
      </c>
      <c r="H1133" s="104">
        <f>H1109+H1112+H1113+H1114+H1117+H1120+H1123+H1126+H1129+H1132</f>
        <v>733196.22</v>
      </c>
    </row>
    <row r="1134" spans="1:8" ht="15.75" hidden="1" x14ac:dyDescent="0.25">
      <c r="A1134" s="50"/>
      <c r="B1134" s="50"/>
      <c r="C1134" s="54" t="s">
        <v>603</v>
      </c>
      <c r="D1134" s="53"/>
      <c r="E1134" s="53"/>
      <c r="F1134" s="53"/>
      <c r="G1134" s="104">
        <f>G1110+G1112+G1113+G1115+G1118+G1121+G1124+G1127+G1130+G1132</f>
        <v>458882.07400000002</v>
      </c>
      <c r="H1134" s="104">
        <f>H1110+H1112+H1113+H1115+H1118+H1121+H1124+H1127+H1130+H1132</f>
        <v>465606.31999999995</v>
      </c>
    </row>
    <row r="1135" spans="1:8" ht="15.75" hidden="1" x14ac:dyDescent="0.25">
      <c r="A1135" s="50"/>
      <c r="B1135" s="50"/>
      <c r="C1135" s="54" t="s">
        <v>604</v>
      </c>
      <c r="D1135" s="53"/>
      <c r="E1135" s="53"/>
      <c r="F1135" s="53"/>
      <c r="G1135" s="104">
        <f>G1133-G1134</f>
        <v>270566.95799999998</v>
      </c>
      <c r="H1135" s="104">
        <f>H1133-H1134</f>
        <v>267589.90000000002</v>
      </c>
    </row>
    <row r="1136" spans="1:8" hidden="1" x14ac:dyDescent="0.25">
      <c r="G1136" s="223"/>
      <c r="H1136" s="223"/>
    </row>
    <row r="1137" spans="4:8" hidden="1" x14ac:dyDescent="0.25">
      <c r="D1137" s="362" t="s">
        <v>605</v>
      </c>
      <c r="E1137" s="362">
        <v>50</v>
      </c>
      <c r="G1137" s="223">
        <f>G877</f>
        <v>3189</v>
      </c>
      <c r="H1137" s="223">
        <f>H877</f>
        <v>3278</v>
      </c>
    </row>
    <row r="1138" spans="4:8" hidden="1" x14ac:dyDescent="0.25">
      <c r="E1138" s="362">
        <v>51</v>
      </c>
      <c r="G1138" s="223">
        <f>G217+G250+G322+G438+G446</f>
        <v>3474</v>
      </c>
      <c r="H1138" s="223">
        <f>H217+H250+H322+H438+H446</f>
        <v>3362.7</v>
      </c>
    </row>
    <row r="1139" spans="4:8" hidden="1" x14ac:dyDescent="0.25">
      <c r="E1139" s="362">
        <v>52</v>
      </c>
      <c r="G1139" s="223">
        <f>G548+G619+G700+G734</f>
        <v>339680.10000000003</v>
      </c>
      <c r="H1139" s="223">
        <f>H548+H619+H700+H734</f>
        <v>339688.60000000003</v>
      </c>
    </row>
    <row r="1140" spans="4:8" hidden="1" x14ac:dyDescent="0.25">
      <c r="E1140" s="362">
        <v>53</v>
      </c>
      <c r="G1140" s="223">
        <f>G182</f>
        <v>0</v>
      </c>
      <c r="H1140" s="223">
        <f>H182</f>
        <v>0</v>
      </c>
    </row>
    <row r="1141" spans="4:8" hidden="1" x14ac:dyDescent="0.25">
      <c r="E1141" s="362">
        <v>54</v>
      </c>
      <c r="G1141" s="223">
        <f>G1072+G69</f>
        <v>549</v>
      </c>
      <c r="H1141" s="223">
        <f>H1072+H69</f>
        <v>549</v>
      </c>
    </row>
    <row r="1142" spans="4:8" hidden="1" x14ac:dyDescent="0.25">
      <c r="E1142" s="362">
        <v>55</v>
      </c>
      <c r="G1142" s="223">
        <f>G198</f>
        <v>5010</v>
      </c>
      <c r="H1142" s="223">
        <f>H198</f>
        <v>10</v>
      </c>
    </row>
    <row r="1143" spans="4:8" hidden="1" x14ac:dyDescent="0.25">
      <c r="E1143" s="362">
        <v>56</v>
      </c>
      <c r="G1143" s="223"/>
      <c r="H1143" s="223"/>
    </row>
    <row r="1144" spans="4:8" hidden="1" x14ac:dyDescent="0.25">
      <c r="E1144" s="362">
        <v>57</v>
      </c>
      <c r="G1144" s="223">
        <f>G780+G839</f>
        <v>48187.5</v>
      </c>
      <c r="H1144" s="223">
        <f>H780+H839</f>
        <v>48187.5</v>
      </c>
    </row>
    <row r="1145" spans="4:8" hidden="1" x14ac:dyDescent="0.25">
      <c r="E1145" s="362">
        <v>58</v>
      </c>
      <c r="G1145" s="223">
        <f>G279+G344+G371</f>
        <v>68780.012000000002</v>
      </c>
      <c r="H1145" s="223">
        <f>H279+H344+H371</f>
        <v>66505.7</v>
      </c>
    </row>
    <row r="1146" spans="4:8" hidden="1" x14ac:dyDescent="0.25">
      <c r="E1146" s="362">
        <v>59</v>
      </c>
      <c r="G1146" s="223">
        <f>G601+G689+G1046+G405</f>
        <v>0</v>
      </c>
      <c r="H1146" s="223">
        <f>H601+H689+H1046+H405</f>
        <v>0</v>
      </c>
    </row>
    <row r="1147" spans="4:8" hidden="1" x14ac:dyDescent="0.25">
      <c r="E1147" s="362">
        <v>60</v>
      </c>
      <c r="G1147" s="223">
        <f>G973</f>
        <v>3244.5</v>
      </c>
      <c r="H1147" s="223">
        <f>H973</f>
        <v>10636.5</v>
      </c>
    </row>
    <row r="1148" spans="4:8" hidden="1" x14ac:dyDescent="0.25">
      <c r="E1148" s="362">
        <v>61</v>
      </c>
      <c r="G1148" s="223">
        <f>G162</f>
        <v>306</v>
      </c>
      <c r="H1148" s="223">
        <f>H162</f>
        <v>306</v>
      </c>
    </row>
    <row r="1149" spans="4:8" hidden="1" x14ac:dyDescent="0.25">
      <c r="E1149" s="362">
        <v>62</v>
      </c>
      <c r="G1149" s="223">
        <f>G933</f>
        <v>700</v>
      </c>
      <c r="H1149" s="223">
        <f>H933</f>
        <v>700</v>
      </c>
    </row>
    <row r="1150" spans="4:8" hidden="1" x14ac:dyDescent="0.25">
      <c r="E1150" s="362">
        <v>63</v>
      </c>
      <c r="G1150" s="223">
        <f>G226+G538+G773</f>
        <v>175</v>
      </c>
      <c r="H1150" s="223">
        <f>H226+H538+H773</f>
        <v>175</v>
      </c>
    </row>
    <row r="1151" spans="4:8" hidden="1" x14ac:dyDescent="0.25">
      <c r="E1151" s="362">
        <v>64</v>
      </c>
      <c r="G1151" s="223">
        <f>G115+G316+G410+G613+G694+G728+G813+G243+G487</f>
        <v>3147.6</v>
      </c>
      <c r="H1151" s="223">
        <f>H115+H316+H410+H613+H694+H728+H813+H243+H487</f>
        <v>3147.6</v>
      </c>
    </row>
    <row r="1152" spans="4:8" hidden="1" x14ac:dyDescent="0.25">
      <c r="E1152" s="362">
        <v>65</v>
      </c>
      <c r="G1152" s="223">
        <f>G1011</f>
        <v>500</v>
      </c>
      <c r="H1152" s="223">
        <f>H1011</f>
        <v>500</v>
      </c>
    </row>
    <row r="1153" spans="1:8" hidden="1" x14ac:dyDescent="0.25">
      <c r="E1153" s="362">
        <v>66</v>
      </c>
      <c r="G1153" s="223">
        <f>G520</f>
        <v>3266.2200000000003</v>
      </c>
      <c r="H1153" s="223">
        <f>H520</f>
        <v>239.82000000000016</v>
      </c>
    </row>
    <row r="1154" spans="1:8" hidden="1" x14ac:dyDescent="0.25">
      <c r="E1154" s="362">
        <v>67</v>
      </c>
      <c r="G1154" s="223">
        <f>G124</f>
        <v>40</v>
      </c>
      <c r="H1154" s="223">
        <f>H124</f>
        <v>40</v>
      </c>
    </row>
    <row r="1155" spans="1:8" hidden="1" x14ac:dyDescent="0.25">
      <c r="E1155" s="362">
        <v>69</v>
      </c>
      <c r="G1155" s="116">
        <f>G129</f>
        <v>100</v>
      </c>
      <c r="H1155" s="116">
        <f>H129</f>
        <v>100</v>
      </c>
    </row>
    <row r="1156" spans="1:8" s="221" customFormat="1" hidden="1" x14ac:dyDescent="0.25">
      <c r="A1156" s="362"/>
      <c r="B1156" s="362"/>
      <c r="C1156" s="362"/>
      <c r="D1156" s="362"/>
      <c r="E1156" s="362">
        <v>70</v>
      </c>
      <c r="F1156" s="362"/>
      <c r="G1156" s="116">
        <f>G962</f>
        <v>235</v>
      </c>
      <c r="H1156" s="116">
        <f>H962</f>
        <v>204</v>
      </c>
    </row>
    <row r="1157" spans="1:8" hidden="1" x14ac:dyDescent="0.25">
      <c r="G1157" s="223">
        <f>SUM(G1137:G1156)</f>
        <v>480583.93199999997</v>
      </c>
      <c r="H1157" s="223">
        <f>SUM(H1137:H1156)</f>
        <v>477630.42000000004</v>
      </c>
    </row>
    <row r="1158" spans="1:8" hidden="1" x14ac:dyDescent="0.25"/>
  </sheetData>
  <mergeCells count="5">
    <mergeCell ref="A4:F4"/>
    <mergeCell ref="A5:H5"/>
    <mergeCell ref="G3:H3"/>
    <mergeCell ref="G2:H2"/>
    <mergeCell ref="G1:H1"/>
  </mergeCells>
  <pageMargins left="0.23622047244094491" right="0.23622047244094491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10</vt:i4>
      </vt:variant>
    </vt:vector>
  </HeadingPairs>
  <TitlesOfParts>
    <vt:vector size="26" baseType="lpstr">
      <vt:lpstr>пр.1дох.20</vt:lpstr>
      <vt:lpstr>Пр.1.1. дох.21-22</vt:lpstr>
      <vt:lpstr>пр.2 Рд,пр 20</vt:lpstr>
      <vt:lpstr>пр.2.1. рдпр 21-22</vt:lpstr>
      <vt:lpstr>Пр.3 Рд,пр, ЦС,ВР 20</vt:lpstr>
      <vt:lpstr>пр.3.1.рдпрцс 21-22</vt:lpstr>
      <vt:lpstr>Пр.4 ведом.20</vt:lpstr>
      <vt:lpstr>Прил.№5 ведомств.старая</vt:lpstr>
      <vt:lpstr>пр.4.1.ведом.21-22</vt:lpstr>
      <vt:lpstr>прил.№6 МП старая</vt:lpstr>
      <vt:lpstr>пр.5 МП 20</vt:lpstr>
      <vt:lpstr>пр.5.1.МП 21-22</vt:lpstr>
      <vt:lpstr>пр.8 публ. 20</vt:lpstr>
      <vt:lpstr>пр.8.1.публ.21-22</vt:lpstr>
      <vt:lpstr>пр.6 ист-ки 20</vt:lpstr>
      <vt:lpstr>пр.9.1.ист-ки 21-22 </vt:lpstr>
      <vt:lpstr>'Пр.1.1. дох.21-22'!Область_печати</vt:lpstr>
      <vt:lpstr>пр.1дох.20!Область_печати</vt:lpstr>
      <vt:lpstr>'пр.2 Рд,пр 20'!Область_печати</vt:lpstr>
      <vt:lpstr>'Пр.3 Рд,пр, ЦС,ВР 20'!Область_печати</vt:lpstr>
      <vt:lpstr>'Пр.4 ведом.20'!Область_печати</vt:lpstr>
      <vt:lpstr>'пр.4.1.ведом.21-22'!Область_печати</vt:lpstr>
      <vt:lpstr>'пр.5 МП 20'!Область_печати</vt:lpstr>
      <vt:lpstr>'пр.6 ист-ки 20'!Область_печати</vt:lpstr>
      <vt:lpstr>'Прил.№5 ведомств.старая'!Область_печати</vt:lpstr>
      <vt:lpstr>'прил.№6 МП старая'!Область_печати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2020-04-30T03:20:37Z</dcterms:modified>
</cp:coreProperties>
</file>