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4846" yWindow="195" windowWidth="16260" windowHeight="11970" tabRatio="916" firstSheet="3" activeTab="8"/>
  </bookViews>
  <sheets>
    <sheet name="прил.№1 доходы" sheetId="1" r:id="rId1"/>
    <sheet name="прил.№2 Рд,пр" sheetId="2" r:id="rId2"/>
    <sheet name="ПРил.№3 Рд,пр, ЦС,ВР" sheetId="3" r:id="rId3"/>
    <sheet name="Прил.№4 ведомств." sheetId="4" r:id="rId4"/>
    <sheet name="Прил.№5 ведомств.старая" sheetId="10" state="hidden" r:id="rId5"/>
    <sheet name="прил.№5 МП" sheetId="5" r:id="rId6"/>
    <sheet name="прил.№6 МП старая" sheetId="11" state="hidden" r:id="rId7"/>
    <sheet name="прил.№6 публ." sheetId="6" r:id="rId8"/>
    <sheet name="прил.№7 источники" sheetId="7" r:id="rId9"/>
  </sheets>
  <definedNames>
    <definedName name="_xlnm.Print_Area" localSheetId="0">'прил.№1 доходы'!$A$1:$K$166</definedName>
    <definedName name="_xlnm.Print_Area" localSheetId="1">'прил.№2 Рд,пр'!$A$1:$K$54</definedName>
    <definedName name="_xlnm.Print_Area" localSheetId="2">'ПРил.№3 Рд,пр, ЦС,ВР'!$A$1:$M$1065</definedName>
    <definedName name="_xlnm.Print_Area" localSheetId="3">'Прил.№4 ведомств.'!$A$1:$I$1290</definedName>
    <definedName name="_xlnm.Print_Area" localSheetId="4">'Прил.№5 ведомств.старая'!$A$1:$H$975</definedName>
    <definedName name="_xlnm.Print_Area" localSheetId="5">'прил.№5 МП'!$A$1:$N$707</definedName>
    <definedName name="_xlnm.Print_Area" localSheetId="6">'прил.№6 МП старая'!$A$1:$G$534</definedName>
    <definedName name="_xlnm.Print_Area" localSheetId="8">'прил.№7 источники'!$A$1:$L$17</definedName>
  </definedNames>
  <calcPr calcId="145621"/>
</workbook>
</file>

<file path=xl/sharedStrings.xml><?xml version="1.0" encoding="utf-8"?>
<sst xmlns="http://schemas.openxmlformats.org/spreadsheetml/2006/main" count="20528" uniqueCount="1133">
  <si>
    <t>к решению СПОГО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</si>
  <si>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</si>
  <si>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</si>
  <si>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</si>
  <si>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</si>
  <si>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</si>
  <si>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</si>
  <si>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</si>
  <si>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</si>
  <si>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</si>
  <si>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</si>
  <si>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</si>
  <si>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</si>
  <si>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</si>
  <si>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</si>
  <si>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</si>
  <si>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</si>
  <si>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</si>
  <si>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</si>
  <si>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</si>
  <si>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</si>
  <si>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</si>
  <si>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</si>
  <si>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</si>
  <si>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</si>
  <si>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</si>
  <si>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</si>
  <si>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</si>
  <si>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</si>
  <si>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</si>
  <si>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</si>
  <si>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</si>
  <si>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</si>
  <si>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</si>
  <si>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</si>
  <si>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</si>
  <si>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</si>
  <si>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</si>
  <si>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</si>
  <si>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</si>
  <si>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</si>
  <si>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</si>
  <si>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</si>
  <si>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</si>
  <si>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</si>
  <si>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</si>
  <si>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</si>
  <si>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</si>
  <si>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</si>
  <si>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</si>
  <si>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</si>
  <si>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</si>
  <si>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</si>
  <si>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</si>
  <si>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</si>
  <si>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</si>
  <si>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</si>
  <si>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</si>
  <si>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</si>
  <si>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</si>
  <si>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</si>
  <si>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</si>
  <si>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</si>
  <si>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</si>
  <si>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</si>
  <si>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</si>
  <si>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</si>
  <si>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</si>
  <si>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</si>
  <si>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</si>
  <si>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</si>
  <si>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</si>
  <si>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</si>
  <si>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</si>
  <si>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</si>
  <si>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</si>
  <si>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</si>
  <si>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</si>
  <si>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</si>
  <si>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</si>
  <si>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</si>
  <si>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</si>
  <si>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</si>
  <si>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</si>
  <si>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</si>
  <si>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</si>
  <si>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</si>
  <si>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</si>
  <si>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</si>
  <si>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</si>
  <si>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</si>
  <si>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</si>
  <si>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</si>
  <si>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</si>
  <si>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</si>
  <si>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</si>
  <si>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</si>
  <si>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</si>
  <si>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</si>
  <si>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</si>
  <si>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</si>
  <si>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</si>
  <si>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1 16 25000 00 0000 140</t>
  </si>
  <si>
    <t>Денежные взыскания (штрафы) за нарушение законодательства РФ о недрах, об особо охраняемых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</si>
  <si>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</si>
  <si>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 xml:space="preserve">Денежные взыскания (штрафы) за нарушение законодательства РФ об охране и использовании животного мира 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</si>
  <si>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</si>
  <si>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</si>
  <si>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</si>
  <si>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</si>
  <si>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1 16 35000 01 0000 140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</si>
  <si>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</si>
  <si>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</si>
  <si>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</si>
  <si>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</si>
  <si>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</si>
  <si>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</si>
  <si>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</si>
  <si>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</si>
  <si>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</si>
  <si>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</si>
  <si>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</si>
  <si>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</si>
  <si>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</si>
  <si>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</si>
  <si>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>Дотации бюджетам городских округов на выравнивание бюджетной обеспеченности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</si>
  <si>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</si>
  <si>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</si>
  <si>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</si>
  <si>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</si>
  <si>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в том числе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</si>
  <si>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</si>
  <si>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</si>
  <si>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</si>
  <si>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бюджетам  городских округов на выполнение передаваемых полномочий субъектов Российской Федерации</t>
  </si>
  <si>
    <t>в том числе: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</si>
  <si>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</si>
  <si>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</si>
  <si>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</si>
  <si>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</si>
  <si>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</si>
  <si>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</si>
  <si>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</si>
  <si>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</si>
  <si>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</si>
  <si>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</si>
  <si>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</si>
  <si>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</si>
  <si>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</si>
  <si>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</si>
  <si>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</si>
  <si>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</si>
  <si>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</si>
  <si>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</si>
  <si>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</si>
  <si>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</si>
  <si>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</si>
  <si>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</si>
  <si>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</si>
  <si>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</si>
  <si>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</si>
  <si>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</si>
  <si>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</si>
  <si>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</si>
  <si>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</si>
  <si>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</si>
  <si>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</si>
  <si>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</si>
  <si>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</si>
  <si>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</si>
  <si>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</si>
  <si>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</si>
  <si>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</si>
  <si>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</si>
  <si>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</si>
  <si>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</si>
  <si>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</si>
  <si>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</si>
  <si>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</si>
  <si>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</si>
  <si>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</si>
  <si>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</si>
  <si>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</si>
  <si>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</si>
  <si>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</si>
  <si>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</si>
  <si>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</si>
  <si>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</si>
  <si>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</si>
  <si>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</si>
  <si>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</si>
  <si>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</si>
  <si>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</si>
  <si>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</si>
  <si>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</si>
  <si>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</si>
  <si>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</si>
  <si>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</si>
  <si>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</si>
  <si>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</si>
  <si>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</si>
  <si>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</si>
  <si>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</si>
  <si>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</si>
  <si>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</si>
  <si>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</si>
  <si>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</si>
  <si>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</si>
  <si>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</si>
  <si>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</si>
  <si>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</si>
  <si>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</si>
  <si>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</si>
  <si>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</si>
  <si>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</si>
  <si>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</si>
  <si>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</si>
  <si>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</si>
  <si>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</si>
  <si>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</si>
  <si>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</si>
  <si>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</si>
  <si>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</si>
  <si>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</si>
  <si>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</si>
  <si>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</si>
  <si>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</si>
  <si>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</si>
  <si>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</si>
  <si>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</si>
  <si>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</si>
  <si>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</si>
  <si>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</si>
  <si>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</si>
  <si>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</si>
  <si>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</si>
  <si>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</si>
  <si>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</si>
  <si>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</si>
  <si>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</si>
  <si>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</si>
  <si>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</si>
  <si>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</si>
  <si>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</si>
  <si>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</si>
  <si>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</si>
  <si>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</si>
  <si>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</si>
  <si>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</si>
  <si>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</si>
  <si>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</si>
  <si>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</si>
  <si>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</si>
  <si>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</si>
  <si>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</si>
  <si>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</si>
  <si>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</si>
  <si>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</si>
  <si>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</si>
  <si>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</si>
  <si>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</si>
  <si>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</si>
  <si>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</si>
  <si>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</si>
  <si>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</si>
  <si>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</si>
  <si>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</si>
  <si>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</si>
  <si>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</si>
  <si>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</si>
  <si>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</si>
  <si>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</si>
  <si>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</si>
  <si>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</si>
  <si>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</si>
  <si>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</si>
  <si>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</si>
  <si>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</si>
  <si>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</si>
  <si>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</si>
  <si>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</si>
  <si>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</si>
  <si>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</si>
  <si>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</si>
  <si>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</si>
  <si>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</si>
  <si>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</si>
  <si>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</si>
  <si>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</si>
  <si>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</si>
  <si>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</si>
  <si>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</si>
  <si>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</si>
  <si>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</si>
  <si>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</si>
  <si>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</si>
  <si>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</si>
  <si>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</si>
  <si>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</si>
  <si>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</si>
  <si>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</si>
  <si>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</si>
  <si>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</si>
  <si>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</si>
  <si>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</si>
  <si>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</si>
  <si>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</si>
  <si>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</si>
  <si>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</si>
  <si>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</si>
  <si>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</si>
  <si>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</si>
  <si>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</si>
  <si>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</si>
  <si>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</si>
  <si>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</si>
  <si>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</si>
  <si>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</si>
  <si>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</si>
  <si>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</si>
  <si>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</si>
  <si>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</si>
  <si>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</si>
  <si>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</si>
  <si>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</si>
  <si>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</si>
  <si>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</si>
  <si>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</si>
  <si>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</si>
  <si>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</si>
  <si>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</si>
  <si>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</si>
  <si>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</si>
  <si>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</si>
  <si>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</si>
  <si>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</si>
  <si>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</si>
  <si>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</si>
  <si>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</si>
  <si>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</si>
  <si>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</si>
  <si>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</si>
  <si>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</si>
  <si>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</si>
  <si>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</si>
  <si>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</si>
  <si>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</si>
  <si>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</si>
  <si>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</si>
  <si>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</si>
  <si>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</si>
  <si>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</si>
  <si>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</si>
  <si>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</si>
  <si>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</si>
  <si>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</si>
  <si>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</si>
  <si>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</si>
  <si>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</si>
  <si>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</si>
  <si>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</si>
  <si>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</si>
  <si>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</si>
  <si>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</si>
  <si>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</si>
  <si>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</si>
  <si>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</si>
  <si>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</si>
  <si>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</si>
  <si>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</si>
  <si>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</si>
  <si>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</si>
  <si>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</si>
  <si>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</si>
  <si>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</si>
  <si>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</si>
  <si>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</si>
  <si>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</si>
  <si>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</si>
  <si>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</si>
  <si>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</si>
  <si>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</si>
  <si>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</si>
  <si>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</si>
  <si>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</si>
  <si>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</si>
  <si>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</si>
  <si>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</si>
  <si>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</si>
  <si>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</si>
  <si>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</si>
  <si>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</si>
  <si>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</si>
  <si>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</si>
  <si>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</si>
  <si>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</si>
  <si>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</si>
  <si>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</si>
  <si>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</si>
  <si>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</si>
  <si>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</si>
  <si>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</si>
  <si>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</si>
  <si>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</si>
  <si>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</si>
  <si>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</si>
  <si>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</si>
  <si>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</si>
  <si>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</si>
  <si>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</si>
  <si>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</si>
  <si>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</si>
  <si>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</si>
  <si>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</si>
  <si>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</si>
  <si>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</si>
  <si>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</si>
  <si>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</si>
  <si>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</si>
  <si>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</si>
  <si>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</si>
  <si>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</si>
  <si>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</si>
  <si>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</si>
  <si>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</si>
  <si>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Расходы на дополнительную социальную выплату при рождении (усыновлении) каждого ребенка и на обеспечение жильем молодых семей за счет средств областного бюджета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</si>
  <si>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</si>
  <si>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</si>
  <si>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</si>
  <si>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</si>
  <si>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</si>
  <si>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</si>
  <si>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</si>
  <si>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</si>
  <si>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</si>
  <si>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</si>
  <si>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</si>
  <si>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</si>
  <si>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</si>
  <si>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</si>
  <si>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</si>
  <si>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</si>
  <si>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</si>
  <si>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</si>
  <si>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</si>
  <si>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</si>
  <si>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</si>
  <si>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</si>
  <si>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</si>
  <si>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</si>
  <si>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</si>
  <si>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</si>
  <si>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</si>
  <si>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</si>
  <si>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</si>
  <si>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</si>
  <si>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</si>
  <si>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</si>
  <si>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</si>
  <si>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</si>
  <si>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</si>
  <si>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</si>
  <si>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</si>
  <si>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</si>
  <si>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</si>
  <si>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</si>
  <si>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</si>
  <si>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</si>
  <si>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</si>
  <si>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</si>
  <si>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</si>
  <si>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</si>
  <si>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</si>
  <si>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</si>
  <si>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</si>
  <si>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</si>
  <si>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</si>
  <si>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</si>
  <si>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</si>
  <si>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</si>
  <si>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</si>
  <si>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</si>
  <si>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</si>
  <si>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</si>
  <si>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</si>
  <si>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</si>
  <si>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</si>
  <si>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</si>
  <si>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</si>
  <si>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</si>
  <si>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</si>
  <si>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</si>
  <si>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</si>
  <si>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</si>
  <si>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</si>
  <si>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</si>
  <si>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</si>
  <si>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</si>
  <si>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</si>
  <si>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</si>
  <si>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</si>
  <si>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</si>
  <si>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</si>
  <si>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</si>
  <si>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</si>
  <si>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</si>
  <si>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</si>
  <si>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</si>
  <si>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</si>
  <si>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</si>
  <si>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</si>
  <si>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</si>
  <si>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</si>
  <si>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</si>
  <si>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</si>
  <si>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</si>
  <si>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</si>
  <si>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</si>
  <si>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</si>
  <si>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</si>
  <si>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</si>
  <si>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</si>
  <si>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</si>
  <si>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</si>
  <si>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</si>
  <si>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</si>
  <si>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</si>
  <si>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</si>
  <si>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</si>
  <si>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</si>
  <si>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</si>
  <si>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</si>
  <si>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</si>
  <si>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</si>
  <si>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</si>
  <si>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</si>
  <si>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</si>
  <si>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</si>
  <si>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</si>
  <si>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</si>
  <si>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</si>
  <si>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</si>
  <si>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</si>
  <si>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</si>
  <si>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</si>
  <si>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</si>
  <si>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</si>
  <si>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</si>
  <si>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</si>
  <si>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</si>
  <si>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</si>
  <si>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</si>
  <si>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</si>
  <si>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</si>
  <si>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</si>
  <si>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</si>
  <si>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</si>
  <si>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</si>
  <si>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</si>
  <si>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</si>
  <si>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</si>
  <si>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</si>
  <si>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</si>
  <si>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</si>
  <si>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</si>
  <si>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</si>
  <si>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</si>
  <si>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</si>
  <si>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</si>
  <si>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</si>
  <si>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</si>
  <si>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</si>
  <si>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</si>
  <si>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</si>
  <si>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</si>
  <si>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</si>
  <si>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</si>
  <si>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</si>
  <si>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</si>
  <si>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</si>
  <si>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</si>
  <si>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</si>
  <si>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</si>
  <si>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</si>
  <si>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</si>
  <si>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</si>
  <si>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</si>
  <si>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</si>
  <si>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</si>
  <si>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</si>
  <si>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</si>
  <si>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</si>
  <si>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</si>
  <si>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</si>
  <si>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</si>
  <si>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</si>
  <si>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</si>
  <si>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</si>
  <si>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</si>
  <si>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</si>
  <si>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</si>
  <si>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</si>
  <si>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</si>
  <si>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</si>
  <si>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</si>
  <si>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</si>
  <si>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</si>
  <si>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</si>
  <si>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</si>
  <si>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</si>
  <si>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</si>
  <si>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</si>
  <si>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</si>
  <si>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</si>
  <si>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</si>
  <si>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</si>
  <si>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</si>
  <si>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</si>
  <si>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</si>
  <si>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</si>
  <si>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</si>
  <si>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</si>
  <si>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</si>
  <si>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</si>
  <si>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</si>
  <si>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</si>
  <si>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</si>
  <si>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</si>
  <si>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</si>
  <si>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</si>
  <si>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</si>
  <si>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 xml:space="preserve">к решению СПОГО </t>
  </si>
  <si>
    <t>Наименование</t>
  </si>
  <si>
    <t>Расходы на обеспечение деятельности  прочих работников местной администрации</t>
  </si>
  <si>
    <t>Обеспечение проведения выборов и референдумов</t>
  </si>
  <si>
    <t>68 0 0000</t>
  </si>
  <si>
    <t>68 3 0000</t>
  </si>
  <si>
    <t>Расходы на проведение муниципальных выборов</t>
  </si>
  <si>
    <t>68 3 0131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</si>
  <si>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</si>
  <si>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Организация и проведение областных унивесальных совместных ярмарок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</si>
  <si>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</si>
  <si>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Организация и содержание мест захоронения</t>
  </si>
  <si>
    <t>Расходы на обеспечение деятельности местной администрации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</si>
  <si>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</si>
  <si>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</si>
  <si>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</si>
  <si>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</si>
  <si>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</si>
  <si>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</si>
  <si>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</si>
  <si>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52 3 2004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</si>
  <si>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</si>
  <si>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</si>
  <si>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</si>
  <si>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</si>
  <si>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</si>
  <si>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</si>
  <si>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</si>
  <si>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Укрепление материально-технической базы учреждений дополнительного образования детей</t>
  </si>
  <si>
    <t>Организация  отдыха и оздоровление детей в лагерях дневного пребывания</t>
  </si>
  <si>
    <t>Обучение специалистов для организации обучения детей с ограниченными возможностями здоровья</t>
  </si>
  <si>
    <t>58 1 2002</t>
  </si>
  <si>
    <t>58 1 2007</t>
  </si>
  <si>
    <t>Целевые субсидии на проведение ремонта недвижимого имущества</t>
  </si>
  <si>
    <t>58 2 2007</t>
  </si>
  <si>
    <t>Целевые субсидии на проведение мероприятий по энергосбережению  проведению энергетической эффективности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</si>
  <si>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званиетв сфере здравоохранения и культуры</t>
  </si>
  <si>
    <t>Осуществление социальных выплат  молодым семьям</t>
  </si>
  <si>
    <t>51 2 00 S6030</t>
  </si>
  <si>
    <t>Пособия, компенсации, меры социальной поддержки по публичным нормативным обязательствам</t>
  </si>
  <si>
    <t>313</t>
  </si>
  <si>
    <t>68 3 00 01140</t>
  </si>
  <si>
    <t xml:space="preserve"> 01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</si>
  <si>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</si>
  <si>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</si>
  <si>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</si>
  <si>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</si>
  <si>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</si>
  <si>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</si>
  <si>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</si>
  <si>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</si>
  <si>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</si>
  <si>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</si>
  <si>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</si>
  <si>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</si>
  <si>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</si>
  <si>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</si>
  <si>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</si>
  <si>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</si>
  <si>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</si>
  <si>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</si>
  <si>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</si>
  <si>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</si>
  <si>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</si>
  <si>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</si>
  <si>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</si>
  <si>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</si>
  <si>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</si>
  <si>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</si>
  <si>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</si>
  <si>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</si>
  <si>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</si>
  <si>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</si>
  <si>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</si>
  <si>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</si>
  <si>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</si>
  <si>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</si>
  <si>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</si>
  <si>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</si>
  <si>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</si>
  <si>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</si>
  <si>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</si>
  <si>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</si>
  <si>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</si>
  <si>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</si>
  <si>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</si>
  <si>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Постановление администрации Омсукчанского городского округа  от   12.01.2015 года  № 29 "Об утверждении муниципальной  программы "Проведение социальной политики в Омсукчанском городском округе на 2015-2020 г.г."</t>
  </si>
  <si>
    <t>Муниципальная программа "Проведение социальной политики в Омсукчанском городском округе на 2015-2020 г.г."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</si>
  <si>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</si>
  <si>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</si>
  <si>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</si>
  <si>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</si>
  <si>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</si>
  <si>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</si>
  <si>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</si>
  <si>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</si>
  <si>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</si>
  <si>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</si>
  <si>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</si>
  <si>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</si>
  <si>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</si>
  <si>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</si>
  <si>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</si>
  <si>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бюджета Омсукчанского городского округа по разделам и подразделам</t>
  </si>
  <si>
    <t>Наименование бюджетной классификации</t>
  </si>
  <si>
    <t>РЗ</t>
  </si>
  <si>
    <t>ПР</t>
  </si>
  <si>
    <t>Резервный фонд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</si>
  <si>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</si>
  <si>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</si>
  <si>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</si>
  <si>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</si>
  <si>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</si>
  <si>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</si>
  <si>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</si>
  <si>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</si>
  <si>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</si>
  <si>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</si>
  <si>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</si>
  <si>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</si>
  <si>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</si>
  <si>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</si>
  <si>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</si>
  <si>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</si>
  <si>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</si>
  <si>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</si>
  <si>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</si>
  <si>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</si>
  <si>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</si>
  <si>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налогов и сборов предусмотренные Кодексом Российской Федерации об административных правонарушениях</t>
  </si>
  <si>
    <t>2 02 25519 04 0000 151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</si>
  <si>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</si>
  <si>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</si>
  <si>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</si>
  <si>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</si>
  <si>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</si>
  <si>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Субвенции бюджетам городских округов на осуществление государственных полномочий по отлову и содержанию безнадзорных животных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</si>
  <si>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</si>
  <si>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</si>
  <si>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</si>
  <si>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</si>
  <si>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</si>
  <si>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</si>
  <si>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</si>
  <si>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</si>
  <si>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</si>
  <si>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</si>
  <si>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</si>
  <si>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</si>
  <si>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</si>
  <si>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</si>
  <si>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</si>
  <si>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</si>
  <si>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</si>
  <si>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</si>
  <si>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</si>
  <si>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</si>
  <si>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</si>
  <si>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</si>
  <si>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</si>
  <si>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</si>
  <si>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</si>
  <si>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</si>
  <si>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</si>
  <si>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</si>
  <si>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</si>
  <si>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</si>
  <si>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</si>
  <si>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</si>
  <si>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</si>
  <si>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</si>
  <si>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</si>
  <si>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</si>
  <si>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</si>
  <si>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</si>
  <si>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</si>
  <si>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</si>
  <si>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</si>
  <si>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</si>
  <si>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</si>
  <si>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</si>
  <si>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</si>
  <si>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</si>
  <si>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</si>
  <si>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</si>
  <si>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</si>
  <si>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</si>
  <si>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</si>
  <si>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областной бюджет</t>
  </si>
  <si>
    <t>местный бюджет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</si>
  <si>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</si>
  <si>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</si>
  <si>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</si>
  <si>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</si>
  <si>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</si>
  <si>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</si>
  <si>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</si>
  <si>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</si>
  <si>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</si>
  <si>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</si>
  <si>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</si>
  <si>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</si>
  <si>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</si>
  <si>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</si>
  <si>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</si>
  <si>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Ожидаемое исполнение за 2017 год</t>
  </si>
  <si>
    <t>Целевые субсидии муниципальным учреждениям на оплату проезда к месту отдыха и обратно</t>
  </si>
  <si>
    <t>52 4 00 20140</t>
  </si>
  <si>
    <t>52 3 00 20140</t>
  </si>
  <si>
    <t>52 2 00 20140</t>
  </si>
  <si>
    <t>52 2 00 20150</t>
  </si>
  <si>
    <t>58 1 00 20140</t>
  </si>
  <si>
    <t>58 3 00 20140</t>
  </si>
  <si>
    <t>57 2 00 20140</t>
  </si>
  <si>
    <t>57 1 00 20140</t>
  </si>
  <si>
    <t>Целевые субсидии муниципальным учреждениям на оплату северных надбавок к заработной плате вновь прибывшим работникам</t>
  </si>
  <si>
    <t>Проект бюджета  на 2018 год</t>
  </si>
  <si>
    <t>Проект бюджета  на 2019 год</t>
  </si>
  <si>
    <t>Проект бюджета  на 2020 год</t>
  </si>
  <si>
    <t>58 2 00 20140</t>
  </si>
  <si>
    <t>Целевые субсидии муниципальным учреждениям на обследование здания</t>
  </si>
  <si>
    <t>ожидаемое исполнение за 2017 год</t>
  </si>
  <si>
    <t>Проект на 2019 год</t>
  </si>
  <si>
    <t>Проект на 2020 год</t>
  </si>
  <si>
    <t>Сумма на 2017 год</t>
  </si>
  <si>
    <t>Проект на 2018 год</t>
  </si>
  <si>
    <t>Исполнено на 01.10.2017 года</t>
  </si>
  <si>
    <t>1 12 01020 01 0000 120</t>
  </si>
  <si>
    <t>Плата за выбросы загрязняющих веществ в атмосферный воздух передвижными объектами</t>
  </si>
  <si>
    <t xml:space="preserve">Прочие доходы от компенсации затрат бюджетов городских округов </t>
  </si>
  <si>
    <t xml:space="preserve"> 1 13 02994 04 0000 130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</si>
  <si>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</si>
  <si>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</si>
  <si>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</si>
  <si>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
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</si>
  <si>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</si>
  <si>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</si>
  <si>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1 09 00000 00 0000 000</t>
  </si>
  <si>
    <t>ЗАДОЛЖЕННОСТЬ И ПЕРЕРАСЧЕТЫ ПО ОТМЕНЕННЫМ НАЛОГАМ, СБОРАМ И ИНЫМ ОБЯЗАТЕЛЬНЫМ ПЛАТЕЖАМ</t>
  </si>
  <si>
    <t>1 09 04010 02 3000 110</t>
  </si>
  <si>
    <t xml:space="preserve">Налог на имущество предприятий (суммы денежных взысканий (штрафов) по соответствующему платежу согласно законодательству Российской Федерации)
</t>
  </si>
  <si>
    <t>1 09 04052 04 1000 110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</si>
  <si>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</si>
  <si>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1 13 02994 04 0000 130</t>
  </si>
  <si>
    <t xml:space="preserve"> Прочие доходы от компенсации затрат государства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</si>
  <si>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</si>
  <si>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</si>
  <si>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</si>
  <si>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</si>
  <si>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1 16 33000 01 0000 140</t>
  </si>
  <si>
    <t xml:space="preserve"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государстуенных и муниципальных нужд </t>
  </si>
  <si>
    <t>1 16 33040 04 0000 140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</si>
  <si>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городских округов</t>
  </si>
  <si>
    <t>117 00000 00 0000 000</t>
  </si>
  <si>
    <t>ПРОЧИЕ НЕНАЛОГОВЫЕ ДОХОДЫ</t>
  </si>
  <si>
    <t>1 17 01000 04 0000 180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</si>
  <si>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</si>
  <si>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</si>
  <si>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</si>
  <si>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</si>
  <si>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</si>
  <si>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</si>
  <si>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</si>
  <si>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Решение Собрания представителей Омсукчанского городского округа от 11.03.2016 года №22 "Об утверждении порядка пенсионного обеспечения за выслугу лет муниципальных служащих и лиц, замещающих муниципальные должности в Омсукчанском городском округе"</t>
  </si>
  <si>
    <t>63 0 00 01600</t>
  </si>
  <si>
    <t>63 0 00 01630</t>
  </si>
  <si>
    <t>Адаптация муниципальных учреждений для доступности инвалидам и МГН, приобретение средств реабилитации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</si>
  <si>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</si>
  <si>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</si>
  <si>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63 0 00 01610</t>
  </si>
  <si>
    <t>63 0 00 01620</t>
  </si>
  <si>
    <t>Создание условий для образования детей - инвалидов</t>
  </si>
  <si>
    <t xml:space="preserve">05 </t>
  </si>
  <si>
    <t>Другие вопросы национальной экономики</t>
  </si>
  <si>
    <t>64 0 00 01640</t>
  </si>
  <si>
    <t>Организационные и пропагандистские мероприятия по профилактике экстремизма и терроризма</t>
  </si>
  <si>
    <t>64 0 00 01660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</si>
  <si>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</si>
  <si>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</si>
  <si>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64 0 00 01650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</si>
  <si>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</si>
  <si>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</si>
  <si>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государственных полномочий по составлению (изменению) списков кандидатов в присяжные заседатели</t>
  </si>
  <si>
    <t>Муниципальная программа "Профилактика экстремизма и терроризма на территории Омсукчанского городского округа на 2017-2021 годы"</t>
  </si>
  <si>
    <t xml:space="preserve">Целевые субсидии на мероприятия по антитеррористической защищенности муниципальных учреждений </t>
  </si>
  <si>
    <t>64 0 00 20160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</si>
  <si>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2017-2019годы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</si>
  <si>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</si>
  <si>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68 2 00 R0820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</si>
  <si>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</si>
  <si>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</si>
  <si>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</si>
  <si>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</si>
  <si>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</si>
  <si>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</si>
  <si>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</si>
  <si>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68 1 00 01210</t>
  </si>
  <si>
    <t>68 3 00 01670</t>
  </si>
  <si>
    <t xml:space="preserve">68 3 00 01670 </t>
  </si>
  <si>
    <t>Ожидаемое исполнение за 2018 год</t>
  </si>
  <si>
    <t>Субсидии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</t>
  </si>
  <si>
    <t>Организация и проведение гастрономического фестиваля "Колымское братство"</t>
  </si>
  <si>
    <t>68 2 00 73Б01</t>
  </si>
  <si>
    <t>61 0 00 S3Б01</t>
  </si>
  <si>
    <t>Субсидии из областного бюджета на софинасирование расходов по возмещению затрат, связанных с организацией и проведением мероприятия «Организация и проведение гастрономического фестиваля «Колымское братство», раздела VII государственной программы Магаданской области «Развитие сельского хозяйства Магаданской области на 2014-2020 годы»</t>
  </si>
  <si>
    <t>60 1 00 62010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</si>
  <si>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</si>
  <si>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</si>
  <si>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</si>
  <si>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 xml:space="preserve">Субсидии бюджетам городских округов, предоставляемых в рамках реализации подпрограммы «Развитие библиотечного дела Магаданской области» на 2014-2020 годы» государственной программы Магаданской области «Развитие культуры и туризма Магаданской области» на 2014-2020 годы» на 2018 год </t>
  </si>
  <si>
    <t>910</t>
  </si>
  <si>
    <t>Муниципальная программа "Развитие малого и среднего предпринимательства в Омсукчанском городском округе на 2018-2020 годы"</t>
  </si>
  <si>
    <t>Субсидии бюджетам городских округов, предоставляемых на проведение комплексных кадастровых работ на территории Магаданской области на 2018 год</t>
  </si>
  <si>
    <t>Субсидии бюджетам городских округов, предоставляемые в рамках реализации подпрограммы «Оказание поддержки в обеспечении жильем молодых семей» на 2014 - 2020 годы» государственной программы Магаданской области «Обеспечение доступным и комфортным жильем жителей Магаданской области на 2014-2020 годы», для последующего предоставления молодым семьям - участникам Подпрограммы социальной выплаты на приобретение (строительство) жилья</t>
  </si>
  <si>
    <t>68 2 00 R4970</t>
  </si>
  <si>
    <t>Предоставление молодым семьям социальной выплаты на приобретение (строительство) жилья</t>
  </si>
  <si>
    <t>Проведение комплексных кадастровых работ на территории Магаданской области</t>
  </si>
  <si>
    <t>68 2 00 12070</t>
  </si>
  <si>
    <t xml:space="preserve"> Модернизация квартальной котельной котельной в пос.Омсукчан за счет средств внебюджетного фонда социально-экономического развития Магаданской области</t>
  </si>
  <si>
    <t xml:space="preserve">68 3 00 01680 </t>
  </si>
  <si>
    <t>Муниципальная программа "Развитие транспортной инфраструктуры  Омсукчанского городского округа" на 2018-2022 годы"</t>
  </si>
  <si>
    <t>Целевые субсидии муниципальным учреждениям на оплату контейнера</t>
  </si>
  <si>
    <t>Прочие безвозмездные поступления в бюджеты городских округов на реализацию мероприятия "Развитие дворовой инфраструктуры муниципальных образований, расположенных на территории Магаданской области" программы развития Особой экономической зоны в Магаданской области на 2018 год</t>
  </si>
  <si>
    <t>Прочие безвозмездные поступления в бюджеты городских округов на реализацию мероприятия "Модернизация квартальной котельной в пос. Омсукчан" программы развития Особой экономической зоны в Магаданской области на 2018 год</t>
  </si>
  <si>
    <t xml:space="preserve">Развитие дворовой инфраструктуры муниципальных образований за счет средств внебюджетного фонда социально-экономического развития Магаданской области </t>
  </si>
  <si>
    <t>68 3 00 01690</t>
  </si>
  <si>
    <t>2 02 25497 04 0000 151</t>
  </si>
  <si>
    <t>Муниципальная программа  "Развитие транспортной инфраструктуры Омсукчанского городского округа на 2018-2022 гг."</t>
  </si>
  <si>
    <t>Муниципальная программа "Развитие муниципальной службы в Омсукчанском городском округе на 2018-2020годы"</t>
  </si>
  <si>
    <t>Муниципальная программа "Развитие муниципальной службы в Омсукчанском городском округе на 2018-2020 годы"</t>
  </si>
  <si>
    <t>Муниципальная программа "Энергосбережение и повышение энергетической эффективности в Омсукчанском городском округе" на 2018-2020 годы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</si>
  <si>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</si>
  <si>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>Муниципальная программа "Формирование современной городской среды муниципального образования "Омсукчанский городской округ" на 2018 -2022 годы"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</si>
  <si>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</si>
  <si>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</si>
  <si>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Модернизация и укрепление материально-технической базы в области физической культуры и спорта</t>
  </si>
  <si>
    <t>68 2 00 Z2150</t>
  </si>
  <si>
    <t>68 2 00 73С20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</si>
  <si>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</si>
  <si>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</si>
  <si>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</si>
  <si>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</si>
  <si>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Субсидии бюджетам городских округов, предоставляемых на модернизацию и укрепление материально-технической базы в области физической культуры и спорта в рамках реализации государственной программы Магаданской области «Развитие физической культуры и спорта Магаданской области» на 2014-2020 годы» на 2018 год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</si>
  <si>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</si>
  <si>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Субсидия бюджетам городских округов на поддержку отрасли культуры</t>
  </si>
  <si>
    <t>Субсидии бюджетам городских округов, на реализацию мероприятий поддержки развития малого и среднего предпринимательства в 2018 году</t>
  </si>
  <si>
    <t>68 4 00 01140</t>
  </si>
  <si>
    <t>52 2 00 S3С20</t>
  </si>
  <si>
    <t>Целевые субсидии муниципальным учреждениям  на 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</si>
  <si>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2 02 15002 04 0000 151</t>
  </si>
  <si>
    <t>Дотации бюджетам городских округов на поддержку мер по обеспечению сбалансированности бюджетов</t>
  </si>
  <si>
    <t>68 1 00 01050</t>
  </si>
  <si>
    <t>Выплата стипендии обучающимся казенных учреждений</t>
  </si>
  <si>
    <t>58 3 00 01710</t>
  </si>
  <si>
    <t xml:space="preserve">Обеспечение деятельности казенных  учреждений </t>
  </si>
  <si>
    <t>58 3 00 40000</t>
  </si>
  <si>
    <t>58 2 00 40000</t>
  </si>
  <si>
    <t>Мероприятия по энергосбережению и проведению энергетической эффективности</t>
  </si>
  <si>
    <t>59 0 00 01720</t>
  </si>
  <si>
    <t>51 2 00 L4970</t>
  </si>
  <si>
    <t>Обучение специалистов для организации обучения детей с ограниченными возможностями здоровья, в том числе детей инвалидов</t>
  </si>
  <si>
    <t xml:space="preserve">Обеспечение деятельности казенных учреждений </t>
  </si>
  <si>
    <t>Решение Собрания представителей Омсукчанского городского округа от 24.11.2016 года №65 "Об утверждении порядка  назначения и выплаты стипендии главы Омсукчанского городского округа лучшим учащимся образовательных организаций дополнительного образования Омсукчанского городского округа"</t>
  </si>
  <si>
    <t>57 1 00 14010</t>
  </si>
  <si>
    <t>57 1 00 14020</t>
  </si>
  <si>
    <t>57 1 00 14030</t>
  </si>
  <si>
    <t>Субсидии муниципальным учреждениям спорта на выполнение муниципального задания ( МБУ ФОК "Жемчужина" п. Омсукчан)</t>
  </si>
  <si>
    <t>Субсидии муниципальным учреждениям спорта на выполнение муниципального задания ( МБУ "ОСОК")</t>
  </si>
  <si>
    <t>Субсидии муниципальным учреждениям спорта на выполнение муниципального задания (МБУ "Спортивная школа п.Омсукчан")</t>
  </si>
  <si>
    <t>Субсидии муниципальным учреждениям спорта на выполнение муниципального задания ( МБУ "Спортивная школа п.Омсукчан")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</si>
  <si>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2019 год</t>
  </si>
  <si>
    <t xml:space="preserve"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</t>
  </si>
  <si>
    <t>Субсидии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</t>
  </si>
  <si>
    <t xml:space="preserve"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</si>
  <si>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</si>
  <si>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</t>
  </si>
  <si>
    <t xml:space="preserve"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</t>
  </si>
  <si>
    <t>68 2 00 L5550</t>
  </si>
  <si>
    <t>2 02 49999 00 0000 150</t>
  </si>
  <si>
    <t>2 02 40000 00 0000 150</t>
  </si>
  <si>
    <t>2 02 35930 04 0000 150</t>
  </si>
  <si>
    <t>2 02 35930 00 0000 150</t>
  </si>
  <si>
    <t>2 02 30024 04 0000 150</t>
  </si>
  <si>
    <t>2 02 30024 00 0000 150</t>
  </si>
  <si>
    <t>2 02 30000 00 0000 150</t>
  </si>
  <si>
    <t>2 02 29999 04 0000 150</t>
  </si>
  <si>
    <t>2 02 25555 04 0000 150</t>
  </si>
  <si>
    <t>2 02 20000 00 0000 150</t>
  </si>
  <si>
    <t>2 02 15001 04 0000 150</t>
  </si>
  <si>
    <t>2 02 10000 00 0000 150</t>
  </si>
  <si>
    <t>2 02 49999 04 0000 150</t>
  </si>
  <si>
    <t>Субсидии муниципальным учреждениям спорта на выполнение муниципального задания ( МБУ "ОСОК п.Омсукчан")</t>
  </si>
  <si>
    <t>Субсидии муниципальным учреждениям спорта на выполнение муниципального задания ( МБУ "ФОК "Жемчужина" п. Омсукчан")</t>
  </si>
  <si>
    <t>58 3 00 01720</t>
  </si>
  <si>
    <t>Проведение казенными учреждениями  мероприятий в области культуры и искусства</t>
  </si>
  <si>
    <t>58 1 00 01720</t>
  </si>
  <si>
    <t>67 0 00 00000</t>
  </si>
  <si>
    <t>69 0 00 00000</t>
  </si>
  <si>
    <t>Муниципальная программа "Профилактика правонарушений и обеспечение общественной безопасности на территории Омсукчанского городского округа" на 2019-2021 годы"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</si>
  <si>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2019-2021 годы"</t>
  </si>
  <si>
    <t>67 0 00 01560</t>
  </si>
  <si>
    <t>69 0 00 01170</t>
  </si>
  <si>
    <t>65 0 00 L5550</t>
  </si>
  <si>
    <t>51 1 00 01730</t>
  </si>
  <si>
    <t>Организация трудоустройства несовершеннолетних граждан в казенных учреждениях</t>
  </si>
  <si>
    <t>Специальные расходы</t>
  </si>
  <si>
    <t>880</t>
  </si>
  <si>
    <t>340</t>
  </si>
  <si>
    <t>Стипендии</t>
  </si>
  <si>
    <t>Комплектование библиотечных фондов казенными учреждениями</t>
  </si>
  <si>
    <t>58 2 00 01740</t>
  </si>
  <si>
    <t>Мероприятия по профилактике правонарушений</t>
  </si>
  <si>
    <t>Муниципальная программа "Комплексное развитие  систем коммунальной инфраструктуры Омсукчанского городского округа на 2019-2023 годы"</t>
  </si>
  <si>
    <t>Формирование и увеличение уставного фонда муниципальных унитарных предприятий</t>
  </si>
  <si>
    <t>68 3 00 01750</t>
  </si>
  <si>
    <t>66 0 00 L5110</t>
  </si>
  <si>
    <t>Реализация мероприятий по обеспечению жильем молодых семей</t>
  </si>
  <si>
    <t>2 02 25511 04 0000 150</t>
  </si>
  <si>
    <t xml:space="preserve">Субсидии бюджетам городских округов на проведение комплексных кадастровых работ
</t>
  </si>
  <si>
    <t xml:space="preserve">Субсидии бюджетам городских округов на проведение комплексных кадастровых работ в рамках реализации подпрограммы "Совершенствование системы управления в сфере имущественно-земельных отношений Магаданской области" на 2019-2024 годы" государственной программы Магаданской области "Управление государственным имуществом Магаданской области" на 2019-2024 годы"
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</si>
  <si>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2019 год</t>
  </si>
  <si>
    <t>Расходы за счет средств внебюджетного фонда социально-экономического развития Магаданской области</t>
  </si>
  <si>
    <t>68 5 00 00000</t>
  </si>
  <si>
    <t>Мероприятия по модернизации и реконструкции объектов инженерной и коммунальной инфраструктуры</t>
  </si>
  <si>
    <t>68 5 00 01670</t>
  </si>
  <si>
    <t xml:space="preserve">68 5 00 01670 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</si>
  <si>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</si>
  <si>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52 3 00 20170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</si>
  <si>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</si>
  <si>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Целевые субсидии на выплату стипендии</t>
  </si>
  <si>
    <t>57 1 00 20060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</si>
  <si>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2019 год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</si>
  <si>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2019 год</t>
  </si>
  <si>
    <t>68 5 00 01680</t>
  </si>
  <si>
    <t>68 5 00 01700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</si>
  <si>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</si>
  <si>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Реконструкция инженерных сетей в пос.Дукат и технологическое присоединение к сетям строящейся угольной котельной</t>
  </si>
  <si>
    <t xml:space="preserve">68 5 00 01700 </t>
  </si>
  <si>
    <t>Содержание и обслуживание казны муниципального образования</t>
  </si>
  <si>
    <t>68 3 00 01760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</si>
  <si>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«Формирование современной городской среды Магаданской области» на 2018-2024 годы» </t>
  </si>
  <si>
    <t>2 07 04050 04 0000 150</t>
  </si>
  <si>
    <t>65 0 F2 55550</t>
  </si>
  <si>
    <t>План на 2019 год, тыс.руб.</t>
  </si>
  <si>
    <t>Процент исполнения, %</t>
  </si>
  <si>
    <t>Исполнение плана поступления доходов в бюджет Омсукчанского городского округа</t>
  </si>
  <si>
    <t>за 9 месяцев  2019 года</t>
  </si>
  <si>
    <t>Исполнено за  9 месяцев 2019 года, тыс.руб.</t>
  </si>
  <si>
    <t xml:space="preserve">Исполнение распределения расходов </t>
  </si>
  <si>
    <t>План на 2019год, тыс.руб.</t>
  </si>
  <si>
    <t xml:space="preserve"> классификации расходов бюджетов Российской Федерации за 9 месяцев 2019 года</t>
  </si>
  <si>
    <t>Исполнение распределение ассигнований из бюджета Омсукчанского городского округа 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за 9 месяцев 2019 года</t>
  </si>
  <si>
    <t>Исполнение ведомственной  структуры расходов бюджета Омсукчанского городского округа за 9 месяцев 2019 года</t>
  </si>
  <si>
    <t xml:space="preserve"> Исполнение распределения бюджетных ассигнований, направляемых на реализацию муниципальных программ  из бюджета Омсукчанского городского округа  за 9 месяцев  2019 года</t>
  </si>
  <si>
    <t>Исполнение распределения ассигнований, направляемых на исполнение публичных нормативных обязательств из бюджета Омсукчанского городского округа за 9 месяцев 2019 года</t>
  </si>
  <si>
    <t>Исполнено за    9 месяцев 2019 года, тыс.руб.</t>
  </si>
  <si>
    <t>Исполнено за       9 месяцев 2019 года, тыс.руб.</t>
  </si>
  <si>
    <t>бюджета Омсукчанского городского округа  за 9 месяцев 2019 года</t>
  </si>
  <si>
    <t xml:space="preserve">План на 2019 год, тыс.руб. </t>
  </si>
  <si>
    <t>Исполнено за               9 месяцев 2019 года, тыс.руб.</t>
  </si>
  <si>
    <t>Капитальные вложения в объекты государственной (муниципальной) собственности</t>
  </si>
  <si>
    <t>400</t>
  </si>
  <si>
    <t xml:space="preserve"> Бюджетные инвестиции</t>
  </si>
  <si>
    <t>410</t>
  </si>
  <si>
    <t>1 01 02050 01 0000 110</t>
  </si>
  <si>
    <t xml:space="preserve"> 1 05 01050 01 1000 110</t>
  </si>
  <si>
    <t>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</si>
  <si>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 1 18 01420 04 0000 150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</si>
  <si>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</si>
  <si>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</si>
  <si>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-</t>
  </si>
  <si>
    <t>2 19 60010 04 0000 150</t>
  </si>
  <si>
    <t>2 19 35930 04 0000 150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</si>
  <si>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</si>
  <si>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Возврат остатков субвенций на государственную регистрацию актов гражданского состояния из бюджетов городских округов
</t>
  </si>
  <si>
    <t xml:space="preserve">администрации </t>
  </si>
  <si>
    <t xml:space="preserve">   городского округа</t>
  </si>
  <si>
    <t xml:space="preserve"> к постановлению</t>
  </si>
  <si>
    <t xml:space="preserve"> Приложение № 2</t>
  </si>
  <si>
    <t xml:space="preserve">           от 17.10.2019г. № 590</t>
  </si>
  <si>
    <t xml:space="preserve">     городского округа</t>
  </si>
  <si>
    <t xml:space="preserve">  администрации </t>
  </si>
  <si>
    <t xml:space="preserve">    к постановлению</t>
  </si>
  <si>
    <t xml:space="preserve">   Приложение № 3</t>
  </si>
  <si>
    <t xml:space="preserve">         от 17.10.2019г. № 590</t>
  </si>
  <si>
    <t xml:space="preserve">                   от 17.10.2019г. № 590</t>
  </si>
  <si>
    <t xml:space="preserve">         администрации </t>
  </si>
  <si>
    <t xml:space="preserve">           Приложение № 6</t>
  </si>
  <si>
    <t>Приложение № 1</t>
  </si>
  <si>
    <t>городского округа</t>
  </si>
  <si>
    <t>от 17.10.2019г. № 590</t>
  </si>
  <si>
    <t>к постановлению</t>
  </si>
  <si>
    <t xml:space="preserve">             от 17.10.2019г. № 590</t>
  </si>
  <si>
    <t>Приложение № 4</t>
  </si>
  <si>
    <t>к постановлению администрации</t>
  </si>
  <si>
    <t xml:space="preserve">                              Приложение № 5</t>
  </si>
  <si>
    <t xml:space="preserve">           к постановлению</t>
  </si>
  <si>
    <t xml:space="preserve">             городского округа</t>
  </si>
  <si>
    <t xml:space="preserve">             администрации </t>
  </si>
  <si>
    <t xml:space="preserve">             к постановлению</t>
  </si>
  <si>
    <t xml:space="preserve">             Приложение № 7</t>
  </si>
  <si>
    <t>Исполнение по источникам внутреннего финансирования дефицита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</si>
</sst>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2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4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>
        <color theme="3" tint="0.39998000860214233"/>
      </top>
      <bottom/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7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3" fillId="0" borderId="0" xfId="20" applyFont="1" applyFill="1" applyAlignment="1">
      <alignment horizont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/>
      <protection/>
    </xf>
    <xf numFmtId="3" fontId="2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49" fontId="2" fillId="0" borderId="1" xfId="20" applyNumberFormat="1" applyFont="1" applyFill="1" applyBorder="1" applyAlignment="1">
      <alignment horizontal="center" vertical="center"/>
      <protection/>
    </xf>
    <xf numFmtId="165" fontId="3" fillId="0" borderId="1" xfId="20" applyNumberFormat="1" applyFont="1" applyFill="1" applyBorder="1" applyAlignment="1">
      <alignment horizontal="center" vertical="center" wrapText="1"/>
      <protection/>
    </xf>
    <xf numFmtId="165" fontId="0" fillId="0" borderId="0" xfId="0" applyNumberFormat="1"/>
    <xf numFmtId="0" fontId="3" fillId="0" borderId="1" xfId="20" applyFont="1" applyFill="1" applyBorder="1" applyAlignment="1">
      <alignment vertical="center" wrapText="1"/>
      <protection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vertical="center" wrapText="1"/>
      <protection/>
    </xf>
    <xf numFmtId="165" fontId="2" fillId="0" borderId="1" xfId="20" applyNumberFormat="1" applyFont="1" applyFill="1" applyBorder="1" applyAlignment="1">
      <alignment horizontal="center" vertical="center" wrapText="1"/>
      <protection/>
    </xf>
    <xf numFmtId="165" fontId="2" fillId="0" borderId="1" xfId="20" applyNumberFormat="1" applyFont="1" applyFill="1" applyBorder="1" applyAlignment="1">
      <alignment horizontal="center" vertical="center"/>
      <protection/>
    </xf>
    <xf numFmtId="0" fontId="1" fillId="0" borderId="0" xfId="0" applyFont="1"/>
    <xf numFmtId="165" fontId="2" fillId="0" borderId="1" xfId="2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20" applyFont="1" applyFill="1" applyBorder="1" applyAlignment="1">
      <alignment horizontal="left" vertical="center" wrapText="1"/>
      <protection/>
    </xf>
    <xf numFmtId="49" fontId="2" fillId="0" borderId="1" xfId="20" applyNumberFormat="1" applyFont="1" applyFill="1" applyBorder="1" applyAlignment="1">
      <alignment horizontal="center" vertical="center" wrapText="1"/>
      <protection/>
    </xf>
    <xf numFmtId="0" fontId="2" fillId="0" borderId="0" xfId="20" applyFont="1" applyFill="1" applyAlignment="1">
      <alignment horizontal="left" vertical="center" wrapText="1"/>
      <protection/>
    </xf>
    <xf numFmtId="0" fontId="3" fillId="0" borderId="1" xfId="20" applyFont="1" applyFill="1" applyBorder="1" applyAlignment="1">
      <alignment horizontal="left" vertical="center" wrapText="1"/>
      <protection/>
    </xf>
    <xf numFmtId="0" fontId="2" fillId="0" borderId="0" xfId="20" applyFont="1" applyFill="1" applyAlignment="1">
      <alignment vertical="center" wrapText="1"/>
      <protection/>
    </xf>
    <xf numFmtId="0" fontId="2" fillId="0" borderId="1" xfId="20" applyFont="1" applyFill="1" applyBorder="1" applyAlignment="1">
      <alignment horizontal="justify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0" fontId="2" fillId="0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vertical="top" wrapText="1"/>
      <protection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4" xfId="20" applyFont="1" applyFill="1" applyBorder="1" applyAlignment="1">
      <alignment horizontal="justify" vertical="center" wrapText="1"/>
      <protection/>
    </xf>
    <xf numFmtId="0" fontId="3" fillId="0" borderId="1" xfId="20" applyFont="1" applyFill="1" applyBorder="1" applyAlignment="1">
      <alignment horizontal="left" vertical="center"/>
      <protection/>
    </xf>
    <xf numFmtId="165" fontId="3" fillId="0" borderId="1" xfId="20" applyNumberFormat="1" applyFont="1" applyFill="1" applyBorder="1" applyAlignment="1">
      <alignment horizontal="center" vertical="center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20" applyFont="1" applyFill="1" applyBorder="1" applyAlignment="1">
      <alignment horizontal="center" vertical="center"/>
      <protection/>
    </xf>
    <xf numFmtId="1" fontId="3" fillId="0" borderId="1" xfId="20" applyNumberFormat="1" applyFont="1" applyFill="1" applyBorder="1" applyAlignment="1">
      <alignment vertical="center" wrapText="1"/>
      <protection/>
    </xf>
    <xf numFmtId="165" fontId="10" fillId="0" borderId="1" xfId="20" applyNumberFormat="1" applyFont="1" applyFill="1" applyBorder="1" applyAlignment="1">
      <alignment horizontal="center"/>
      <protection/>
    </xf>
    <xf numFmtId="0" fontId="1" fillId="0" borderId="0" xfId="20" applyFill="1">
      <alignment/>
      <protection/>
    </xf>
    <xf numFmtId="0" fontId="7" fillId="0" borderId="0" xfId="20" applyFont="1" applyFill="1">
      <alignment/>
      <protection/>
    </xf>
    <xf numFmtId="4" fontId="11" fillId="0" borderId="0" xfId="20" applyNumberFormat="1" applyFont="1" applyFill="1" applyAlignment="1">
      <alignment horizontal="center"/>
      <protection/>
    </xf>
    <xf numFmtId="0" fontId="7" fillId="0" borderId="0" xfId="20" applyFont="1" applyFill="1" applyAlignment="1">
      <alignment/>
      <protection/>
    </xf>
    <xf numFmtId="1" fontId="7" fillId="0" borderId="0" xfId="20" applyNumberFormat="1" applyFont="1" applyFill="1">
      <alignment/>
      <protection/>
    </xf>
    <xf numFmtId="2" fontId="7" fillId="0" borderId="0" xfId="20" applyNumberFormat="1" applyFont="1" applyFill="1">
      <alignment/>
      <protection/>
    </xf>
    <xf numFmtId="0" fontId="1" fillId="0" borderId="0" xfId="0" applyFont="1" applyFill="1"/>
    <xf numFmtId="0" fontId="2" fillId="0" borderId="0" xfId="20" applyFont="1" applyFill="1">
      <alignment/>
      <protection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65" fontId="3" fillId="0" borderId="1" xfId="2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/>
    <xf numFmtId="0" fontId="3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5" fillId="0" borderId="1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vertical="center"/>
      <protection/>
    </xf>
    <xf numFmtId="165" fontId="3" fillId="3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vertical="center"/>
      <protection/>
    </xf>
    <xf numFmtId="0" fontId="2" fillId="0" borderId="1" xfId="20" applyFont="1" applyFill="1" applyBorder="1" applyAlignment="1">
      <alignment horizontal="left" vertical="center"/>
      <protection/>
    </xf>
    <xf numFmtId="0" fontId="2" fillId="3" borderId="1" xfId="20" applyFont="1" applyFill="1" applyBorder="1" applyAlignment="1">
      <alignment vertical="center" wrapText="1"/>
      <protection/>
    </xf>
    <xf numFmtId="0" fontId="3" fillId="3" borderId="1" xfId="20" applyFont="1" applyFill="1" applyBorder="1" applyAlignment="1">
      <alignment vertical="center" wrapText="1"/>
      <protection/>
    </xf>
    <xf numFmtId="0" fontId="8" fillId="0" borderId="1" xfId="0" applyFont="1" applyFill="1" applyBorder="1" applyAlignment="1">
      <alignment horizontal="left" vertical="top" wrapText="1"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165" fontId="7" fillId="0" borderId="0" xfId="20" applyNumberFormat="1" applyFont="1" applyFill="1">
      <alignment/>
      <protection/>
    </xf>
    <xf numFmtId="2" fontId="12" fillId="0" borderId="0" xfId="20" applyNumberFormat="1" applyFont="1" applyFill="1">
      <alignment/>
      <protection/>
    </xf>
    <xf numFmtId="2" fontId="0" fillId="0" borderId="0" xfId="0" applyNumberFormat="1" applyFill="1"/>
    <xf numFmtId="49" fontId="2" fillId="0" borderId="7" xfId="20" applyNumberFormat="1" applyFont="1" applyFill="1" applyBorder="1" applyAlignment="1">
      <alignment horizontal="center" vertical="center"/>
      <protection/>
    </xf>
    <xf numFmtId="0" fontId="0" fillId="0" borderId="0" xfId="0" applyBorder="1"/>
    <xf numFmtId="49" fontId="2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ill="1" applyBorder="1"/>
    <xf numFmtId="49" fontId="17" fillId="0" borderId="1" xfId="20" applyNumberFormat="1" applyFont="1" applyFill="1" applyBorder="1" applyAlignment="1">
      <alignment horizontal="center" vertical="center"/>
      <protection/>
    </xf>
    <xf numFmtId="49" fontId="16" fillId="0" borderId="7" xfId="20" applyNumberFormat="1" applyFont="1" applyFill="1" applyBorder="1" applyAlignment="1">
      <alignment horizontal="center" vertical="center"/>
      <protection/>
    </xf>
    <xf numFmtId="0" fontId="0" fillId="0" borderId="0" xfId="0" applyFont="1" applyFill="1"/>
    <xf numFmtId="49" fontId="2" fillId="0" borderId="7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1" fillId="0" borderId="0" xfId="0" applyFont="1" applyFill="1" applyBorder="1"/>
    <xf numFmtId="165" fontId="0" fillId="0" borderId="0" xfId="0" applyNumberFormat="1" applyFill="1"/>
    <xf numFmtId="0" fontId="16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2" fillId="0" borderId="7" xfId="20" applyNumberFormat="1" applyFont="1" applyFill="1" applyBorder="1" applyAlignment="1">
      <alignment horizontal="left" vertical="center"/>
      <protection/>
    </xf>
    <xf numFmtId="165" fontId="3" fillId="0" borderId="1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4" borderId="0" xfId="0" applyFill="1" applyBorder="1"/>
    <xf numFmtId="0" fontId="1" fillId="4" borderId="0" xfId="0" applyFont="1" applyFill="1" applyBorder="1"/>
    <xf numFmtId="0" fontId="20" fillId="4" borderId="0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4" fillId="0" borderId="8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2" fillId="0" borderId="9" xfId="0" applyNumberFormat="1" applyFont="1" applyFill="1" applyBorder="1" applyAlignment="1">
      <alignment horizontal="justify" vertical="top" wrapText="1"/>
    </xf>
    <xf numFmtId="0" fontId="2" fillId="0" borderId="9" xfId="0" applyNumberFormat="1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left" vertical="top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2" fillId="0" borderId="0" xfId="0" applyNumberFormat="1" applyFont="1" applyFill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18" fillId="0" borderId="0" xfId="0" applyNumberFormat="1" applyFont="1" applyFill="1"/>
    <xf numFmtId="0" fontId="6" fillId="0" borderId="9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1" fillId="0" borderId="0" xfId="0" applyNumberFormat="1" applyFont="1" applyFill="1" applyAlignment="1">
      <alignment horizontal="left"/>
    </xf>
    <xf numFmtId="165" fontId="2" fillId="5" borderId="1" xfId="20" applyNumberFormat="1" applyFont="1" applyFill="1" applyBorder="1" applyAlignment="1">
      <alignment horizontal="center" vertical="center"/>
      <protection/>
    </xf>
    <xf numFmtId="49" fontId="2" fillId="0" borderId="11" xfId="20" applyNumberFormat="1" applyFont="1" applyFill="1" applyBorder="1" applyAlignment="1">
      <alignment horizontal="center" vertical="center"/>
      <protection/>
    </xf>
    <xf numFmtId="165" fontId="2" fillId="5" borderId="1" xfId="20" applyNumberFormat="1" applyFont="1" applyFill="1" applyBorder="1" applyAlignment="1">
      <alignment horizontal="center" vertical="center" wrapText="1"/>
      <protection/>
    </xf>
    <xf numFmtId="165" fontId="2" fillId="5" borderId="2" xfId="20" applyNumberFormat="1" applyFont="1" applyFill="1" applyBorder="1" applyAlignment="1" applyProtection="1">
      <alignment horizontal="center" vertical="center" shrinkToFit="1"/>
      <protection locked="0"/>
    </xf>
    <xf numFmtId="165" fontId="2" fillId="5" borderId="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65" fontId="2" fillId="6" borderId="1" xfId="20" applyNumberFormat="1" applyFont="1" applyFill="1" applyBorder="1" applyAlignment="1">
      <alignment horizontal="center" vertical="center" wrapText="1"/>
      <protection/>
    </xf>
    <xf numFmtId="165" fontId="2" fillId="7" borderId="1" xfId="20" applyNumberFormat="1" applyFont="1" applyFill="1" applyBorder="1" applyAlignment="1">
      <alignment horizontal="center" vertical="center"/>
      <protection/>
    </xf>
    <xf numFmtId="0" fontId="2" fillId="6" borderId="1" xfId="20" applyFont="1" applyFill="1" applyBorder="1" applyAlignment="1">
      <alignment vertical="center" wrapText="1"/>
      <protection/>
    </xf>
    <xf numFmtId="49" fontId="2" fillId="0" borderId="11" xfId="20" applyNumberFormat="1" applyFont="1" applyFill="1" applyBorder="1" applyAlignment="1">
      <alignment horizontal="left" vertical="center"/>
      <protection/>
    </xf>
    <xf numFmtId="165" fontId="2" fillId="6" borderId="1" xfId="20" applyNumberFormat="1" applyFont="1" applyFill="1" applyBorder="1" applyAlignment="1">
      <alignment horizontal="center" vertical="center"/>
      <protection/>
    </xf>
    <xf numFmtId="165" fontId="2" fillId="6" borderId="1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right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49" fontId="21" fillId="0" borderId="0" xfId="20" applyNumberFormat="1" applyFont="1" applyFill="1" applyBorder="1" applyAlignment="1">
      <alignment horizontal="center" vertical="center"/>
      <protection/>
    </xf>
    <xf numFmtId="49" fontId="21" fillId="0" borderId="7" xfId="20" applyNumberFormat="1" applyFont="1" applyFill="1" applyBorder="1" applyAlignment="1">
      <alignment horizontal="center" vertical="center"/>
      <protection/>
    </xf>
    <xf numFmtId="0" fontId="22" fillId="8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2" fillId="0" borderId="1" xfId="0" applyFont="1" applyFill="1" applyBorder="1" applyAlignment="1">
      <alignment horizontal="left" vertical="top" wrapText="1"/>
    </xf>
    <xf numFmtId="165" fontId="23" fillId="0" borderId="0" xfId="0" applyNumberFormat="1" applyFont="1" applyFill="1"/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20" applyFont="1" applyFill="1" applyBorder="1" applyAlignment="1">
      <alignment horizontal="center" vertical="center" wrapText="1"/>
      <protection/>
    </xf>
    <xf numFmtId="49" fontId="15" fillId="0" borderId="1" xfId="20" applyNumberFormat="1" applyFont="1" applyFill="1" applyBorder="1" applyAlignment="1">
      <alignment horizontal="center" vertical="center"/>
      <protection/>
    </xf>
    <xf numFmtId="49" fontId="25" fillId="0" borderId="1" xfId="20" applyNumberFormat="1" applyFont="1" applyFill="1" applyBorder="1" applyAlignment="1">
      <alignment horizontal="center" vertical="center"/>
      <protection/>
    </xf>
    <xf numFmtId="0" fontId="15" fillId="0" borderId="1" xfId="20" applyFont="1" applyFill="1" applyBorder="1" applyAlignment="1">
      <alignment horizontal="center" vertical="center" wrapText="1"/>
      <protection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15" fillId="0" borderId="1" xfId="20" applyNumberFormat="1" applyFont="1" applyFill="1" applyBorder="1" applyAlignment="1">
      <alignment horizontal="center" vertical="center" wrapText="1"/>
      <protection/>
    </xf>
    <xf numFmtId="0" fontId="15" fillId="0" borderId="3" xfId="20" applyFont="1" applyFill="1" applyBorder="1" applyAlignment="1">
      <alignment horizontal="center" vertical="center" wrapText="1"/>
      <protection/>
    </xf>
    <xf numFmtId="0" fontId="15" fillId="0" borderId="1" xfId="20" applyNumberFormat="1" applyFont="1" applyFill="1" applyBorder="1" applyAlignment="1">
      <alignment horizontal="center" vertical="center"/>
      <protection/>
    </xf>
    <xf numFmtId="0" fontId="25" fillId="0" borderId="1" xfId="20" applyFont="1" applyFill="1" applyBorder="1" applyAlignment="1">
      <alignment horizontal="center" vertical="center"/>
      <protection/>
    </xf>
    <xf numFmtId="1" fontId="25" fillId="0" borderId="1" xfId="20" applyNumberFormat="1" applyFont="1" applyFill="1" applyBorder="1" applyAlignment="1">
      <alignment vertical="center" wrapText="1"/>
      <protection/>
    </xf>
    <xf numFmtId="4" fontId="7" fillId="0" borderId="0" xfId="20" applyNumberFormat="1" applyFont="1" applyFill="1">
      <alignment/>
      <protection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/>
    <xf numFmtId="0" fontId="2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165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top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1" fontId="2" fillId="0" borderId="1" xfId="22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165" fontId="31" fillId="0" borderId="1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vertical="top" wrapText="1"/>
    </xf>
    <xf numFmtId="0" fontId="32" fillId="0" borderId="0" xfId="0" applyFont="1"/>
    <xf numFmtId="165" fontId="27" fillId="0" borderId="1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justify" wrapText="1"/>
    </xf>
    <xf numFmtId="0" fontId="2" fillId="0" borderId="9" xfId="20" applyNumberFormat="1" applyFont="1" applyFill="1" applyBorder="1" applyAlignment="1">
      <alignment horizontal="left" vertical="top" wrapText="1"/>
      <protection/>
    </xf>
    <xf numFmtId="49" fontId="3" fillId="0" borderId="1" xfId="20" applyNumberFormat="1" applyFont="1" applyFill="1" applyBorder="1" applyAlignment="1">
      <alignment horizontal="left" vertical="center" wrapText="1"/>
      <protection/>
    </xf>
    <xf numFmtId="165" fontId="10" fillId="0" borderId="4" xfId="0" applyNumberFormat="1" applyFont="1" applyFill="1" applyBorder="1" applyAlignment="1">
      <alignment horizontal="center" vertical="center"/>
    </xf>
    <xf numFmtId="49" fontId="2" fillId="0" borderId="1" xfId="20" applyNumberFormat="1" applyFont="1" applyFill="1" applyBorder="1" applyAlignment="1">
      <alignment horizontal="left" vertical="top" wrapText="1"/>
      <protection/>
    </xf>
    <xf numFmtId="0" fontId="1" fillId="0" borderId="0" xfId="20" applyNumberFormat="1" applyFill="1">
      <alignment/>
      <protection/>
    </xf>
    <xf numFmtId="49" fontId="2" fillId="0" borderId="1" xfId="20" applyNumberFormat="1" applyFont="1" applyFill="1" applyBorder="1" applyAlignment="1">
      <alignment horizontal="left" vertical="center" wrapText="1"/>
      <protection/>
    </xf>
    <xf numFmtId="0" fontId="32" fillId="0" borderId="0" xfId="0" applyNumberFormat="1" applyFont="1" applyFill="1"/>
    <xf numFmtId="165" fontId="32" fillId="0" borderId="0" xfId="0" applyNumberFormat="1" applyFont="1" applyFill="1"/>
    <xf numFmtId="165" fontId="11" fillId="0" borderId="1" xfId="20" applyNumberFormat="1" applyFont="1" applyFill="1" applyBorder="1" applyAlignment="1">
      <alignment horizontal="center" vertical="center"/>
      <protection/>
    </xf>
    <xf numFmtId="0" fontId="32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65" fontId="10" fillId="0" borderId="1" xfId="20" applyNumberFormat="1" applyFont="1" applyFill="1" applyBorder="1" applyAlignment="1">
      <alignment horizontal="center" vertical="center"/>
      <protection/>
    </xf>
    <xf numFmtId="0" fontId="0" fillId="9" borderId="0" xfId="0" applyFill="1"/>
    <xf numFmtId="0" fontId="0" fillId="0" borderId="0" xfId="0" applyFill="1" applyAlignment="1">
      <alignment vertical="top"/>
    </xf>
    <xf numFmtId="0" fontId="0" fillId="0" borderId="1" xfId="0" applyFill="1" applyBorder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top" wrapText="1"/>
    </xf>
    <xf numFmtId="0" fontId="2" fillId="0" borderId="1" xfId="20" applyFont="1" applyFill="1" applyBorder="1" applyAlignment="1">
      <alignment horizontal="left" vertical="top" wrapText="1"/>
      <protection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20" applyFont="1" applyFill="1" applyAlignment="1">
      <alignment horizontal="right"/>
      <protection/>
    </xf>
    <xf numFmtId="0" fontId="11" fillId="0" borderId="0" xfId="0" applyFont="1" applyFill="1" applyAlignment="1">
      <alignment horizontal="right"/>
    </xf>
    <xf numFmtId="165" fontId="10" fillId="0" borderId="0" xfId="0" applyNumberFormat="1" applyFont="1" applyFill="1" applyBorder="1" applyAlignment="1">
      <alignment horizontal="center" vertical="center"/>
    </xf>
    <xf numFmtId="0" fontId="0" fillId="9" borderId="0" xfId="0" applyFill="1" applyBorder="1"/>
    <xf numFmtId="0" fontId="34" fillId="0" borderId="0" xfId="0" applyFont="1"/>
    <xf numFmtId="165" fontId="2" fillId="0" borderId="0" xfId="20" applyNumberFormat="1" applyFont="1" applyFill="1" applyBorder="1" applyAlignment="1">
      <alignment horizontal="center" vertical="center"/>
      <protection/>
    </xf>
    <xf numFmtId="49" fontId="3" fillId="0" borderId="1" xfId="0" applyNumberFormat="1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2" fillId="9" borderId="1" xfId="20" applyFont="1" applyFill="1" applyBorder="1" applyAlignment="1">
      <alignment vertical="center" wrapText="1"/>
      <protection/>
    </xf>
    <xf numFmtId="0" fontId="0" fillId="0" borderId="0" xfId="0" applyFill="1" applyBorder="1" applyAlignment="1">
      <alignment vertical="top"/>
    </xf>
    <xf numFmtId="49" fontId="0" fillId="0" borderId="0" xfId="0" applyNumberFormat="1" applyFill="1"/>
    <xf numFmtId="49" fontId="15" fillId="0" borderId="0" xfId="20" applyNumberFormat="1" applyFont="1" applyFill="1" applyBorder="1" applyAlignment="1">
      <alignment horizontal="center" vertical="center"/>
      <protection/>
    </xf>
    <xf numFmtId="49" fontId="15" fillId="0" borderId="12" xfId="20" applyNumberFormat="1" applyFont="1" applyFill="1" applyBorder="1" applyAlignment="1">
      <alignment horizontal="center" vertical="center"/>
      <protection/>
    </xf>
    <xf numFmtId="0" fontId="0" fillId="0" borderId="12" xfId="0" applyFill="1" applyBorder="1"/>
    <xf numFmtId="165" fontId="2" fillId="0" borderId="2" xfId="20" applyNumberFormat="1" applyFont="1" applyFill="1" applyBorder="1" applyAlignment="1" applyProtection="1">
      <alignment horizontal="center" vertical="center" shrinkToFit="1"/>
      <protection locked="0"/>
    </xf>
    <xf numFmtId="165" fontId="9" fillId="0" borderId="1" xfId="20" applyNumberFormat="1" applyFont="1" applyFill="1" applyBorder="1" applyAlignment="1">
      <alignment horizontal="center" vertical="center" wrapText="1"/>
      <protection/>
    </xf>
    <xf numFmtId="0" fontId="3" fillId="0" borderId="4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13" xfId="0" applyFill="1" applyBorder="1"/>
    <xf numFmtId="0" fontId="2" fillId="0" borderId="2" xfId="20" applyFont="1" applyFill="1" applyBorder="1" applyAlignment="1">
      <alignment horizontal="center" vertical="center" wrapText="1"/>
      <protection/>
    </xf>
    <xf numFmtId="49" fontId="15" fillId="0" borderId="13" xfId="20" applyNumberFormat="1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 vertical="top"/>
    </xf>
    <xf numFmtId="49" fontId="1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top"/>
    </xf>
    <xf numFmtId="0" fontId="15" fillId="9" borderId="1" xfId="20" applyFont="1" applyFill="1" applyBorder="1" applyAlignment="1">
      <alignment horizontal="center" vertical="center" wrapText="1"/>
      <protection/>
    </xf>
    <xf numFmtId="49" fontId="15" fillId="9" borderId="1" xfId="20" applyNumberFormat="1" applyFont="1" applyFill="1" applyBorder="1" applyAlignment="1">
      <alignment horizontal="center" vertical="center"/>
      <protection/>
    </xf>
    <xf numFmtId="0" fontId="2" fillId="2" borderId="2" xfId="0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/>
    </xf>
    <xf numFmtId="0" fontId="29" fillId="0" borderId="0" xfId="0" applyFont="1" applyAlignment="1">
      <alignment horizontal="right"/>
    </xf>
    <xf numFmtId="165" fontId="2" fillId="3" borderId="1" xfId="20" applyNumberFormat="1" applyFont="1" applyFill="1" applyBorder="1" applyAlignment="1">
      <alignment horizontal="center" vertical="center"/>
      <protection/>
    </xf>
    <xf numFmtId="0" fontId="16" fillId="0" borderId="9" xfId="0" applyFont="1" applyFill="1" applyBorder="1" applyAlignment="1">
      <alignment horizontal="center" vertical="center" wrapText="1"/>
    </xf>
    <xf numFmtId="49" fontId="15" fillId="0" borderId="0" xfId="20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165" fontId="2" fillId="0" borderId="0" xfId="20" applyNumberFormat="1" applyFont="1" applyFill="1" applyBorder="1" applyAlignment="1">
      <alignment vertical="center"/>
      <protection/>
    </xf>
    <xf numFmtId="0" fontId="2" fillId="0" borderId="1" xfId="0" applyNumberFormat="1" applyFont="1" applyFill="1" applyBorder="1" applyAlignment="1">
      <alignment horizontal="justify" vertical="top" wrapText="1"/>
    </xf>
    <xf numFmtId="4" fontId="0" fillId="0" borderId="0" xfId="0" applyNumberFormat="1" applyFill="1"/>
    <xf numFmtId="165" fontId="11" fillId="0" borderId="3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2" fillId="0" borderId="4" xfId="20" applyFont="1" applyFill="1" applyBorder="1" applyAlignment="1">
      <alignment horizontal="center" vertical="center" wrapText="1"/>
      <protection/>
    </xf>
    <xf numFmtId="0" fontId="3" fillId="0" borderId="4" xfId="20" applyFont="1" applyFill="1" applyBorder="1" applyAlignment="1">
      <alignment horizontal="center" vertical="center" wrapText="1"/>
      <protection/>
    </xf>
    <xf numFmtId="49" fontId="3" fillId="0" borderId="1" xfId="20" applyNumberFormat="1" applyFont="1" applyFill="1" applyBorder="1" applyAlignment="1">
      <alignment horizontal="left" vertical="top" wrapText="1"/>
      <protection/>
    </xf>
    <xf numFmtId="0" fontId="2" fillId="0" borderId="2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left"/>
    </xf>
    <xf numFmtId="0" fontId="23" fillId="0" borderId="0" xfId="0" applyNumberFormat="1" applyFont="1" applyFill="1"/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vertical="top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/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left"/>
    </xf>
    <xf numFmtId="0" fontId="2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0" xfId="0" applyNumberFormat="1" applyFont="1" applyFill="1" applyAlignment="1">
      <alignment horizontal="left"/>
    </xf>
    <xf numFmtId="0" fontId="9" fillId="0" borderId="0" xfId="0" applyFont="1" applyAlignment="1">
      <alignment/>
    </xf>
    <xf numFmtId="0" fontId="2" fillId="0" borderId="0" xfId="20" applyFont="1" applyFill="1" applyAlignment="1">
      <alignment/>
      <protection/>
    </xf>
    <xf numFmtId="0" fontId="9" fillId="0" borderId="0" xfId="0" applyFont="1" applyAlignment="1">
      <alignment horizontal="left"/>
    </xf>
    <xf numFmtId="0" fontId="11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right" wrapText="1"/>
    </xf>
    <xf numFmtId="0" fontId="36" fillId="0" borderId="3" xfId="0" applyFont="1" applyBorder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2" fillId="0" borderId="0" xfId="20" applyFont="1" applyFill="1" applyAlignment="1">
      <alignment horizontal="center"/>
      <protection/>
    </xf>
    <xf numFmtId="0" fontId="11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" fillId="9" borderId="9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3" fillId="9" borderId="3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" xfId="21"/>
    <cellStyle name="Процентный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9"/>
  <sheetViews>
    <sheetView view="pageBreakPreview" zoomScale="90" zoomScaleSheetLayoutView="90" workbookViewId="0" topLeftCell="A1">
      <selection activeCell="O10" sqref="O10"/>
    </sheetView>
  </sheetViews>
  <sheetFormatPr defaultColWidth="9.140625" defaultRowHeight="15"/>
  <cols>
    <col min="1" max="1" width="25.140625" style="149" customWidth="1"/>
    <col min="2" max="2" width="77.57421875" style="149" customWidth="1"/>
    <col min="3" max="8" width="15.421875" style="149" hidden="1" customWidth="1"/>
    <col min="9" max="9" width="15.28125" style="149" customWidth="1"/>
    <col min="10" max="10" width="16.421875" style="149" customWidth="1"/>
    <col min="11" max="11" width="13.140625" style="149" customWidth="1"/>
    <col min="12" max="12" width="19.421875" style="149" customWidth="1"/>
    <col min="13" max="13" width="12.57421875" style="149" customWidth="1"/>
    <col min="14" max="14" width="11.8515625" style="149" customWidth="1"/>
    <col min="15" max="15" width="15.00390625" style="149" customWidth="1"/>
    <col min="16" max="16" width="15.8515625" style="149" customWidth="1"/>
    <col min="17" max="17" width="9.140625" style="149" customWidth="1"/>
    <col min="18" max="18" width="17.00390625" style="149" customWidth="1"/>
    <col min="19" max="16384" width="9.140625" style="149" customWidth="1"/>
  </cols>
  <sheetData>
    <row r="1" spans="8:10" ht="15.75">
      <c r="H1" s="219"/>
      <c r="J1" s="340" t="s">
        <v>1119</v>
      </c>
    </row>
    <row r="2" spans="8:10" ht="15.75">
      <c r="H2" s="219"/>
      <c r="I2" s="150"/>
      <c r="J2" s="340" t="s">
        <v>1122</v>
      </c>
    </row>
    <row r="3" spans="8:10" ht="15.75">
      <c r="H3" s="219"/>
      <c r="I3" s="339"/>
      <c r="J3" s="343" t="s">
        <v>1106</v>
      </c>
    </row>
    <row r="4" spans="8:10" ht="15.75">
      <c r="H4" s="219"/>
      <c r="I4" s="339"/>
      <c r="J4" s="343" t="s">
        <v>1120</v>
      </c>
    </row>
    <row r="5" spans="8:10" ht="15.75">
      <c r="H5" s="219"/>
      <c r="I5" s="339"/>
      <c r="J5" s="343" t="s">
        <v>1121</v>
      </c>
    </row>
    <row r="6" spans="2:11" ht="15.75"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1:11" ht="15.75">
      <c r="A7" s="348" t="s">
        <v>1076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</row>
    <row r="8" spans="1:11" ht="15.75">
      <c r="A8" s="348" t="s">
        <v>1077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</row>
    <row r="9" spans="1:11" ht="15.75">
      <c r="A9" s="152"/>
      <c r="B9" s="152"/>
      <c r="C9" s="217"/>
      <c r="D9" s="217"/>
      <c r="E9" s="217"/>
      <c r="F9" s="217"/>
      <c r="G9" s="217"/>
      <c r="H9" s="217"/>
      <c r="I9" s="150"/>
      <c r="J9" s="150"/>
      <c r="K9" s="150"/>
    </row>
    <row r="10" spans="1:11" ht="47.25">
      <c r="A10" s="153" t="s">
        <v>2</v>
      </c>
      <c r="B10" s="154" t="s">
        <v>3</v>
      </c>
      <c r="C10" s="218" t="s">
        <v>4</v>
      </c>
      <c r="D10" s="218" t="s">
        <v>857</v>
      </c>
      <c r="E10" s="218" t="s">
        <v>836</v>
      </c>
      <c r="F10" s="218" t="s">
        <v>856</v>
      </c>
      <c r="G10" s="218" t="s">
        <v>853</v>
      </c>
      <c r="H10" s="218" t="s">
        <v>854</v>
      </c>
      <c r="I10" s="297" t="s">
        <v>1074</v>
      </c>
      <c r="J10" s="310" t="s">
        <v>1078</v>
      </c>
      <c r="K10" s="310" t="s">
        <v>1075</v>
      </c>
    </row>
    <row r="11" spans="1:11" ht="15.75">
      <c r="A11" s="153">
        <v>1</v>
      </c>
      <c r="B11" s="154">
        <v>2</v>
      </c>
      <c r="C11" s="154">
        <v>3</v>
      </c>
      <c r="D11" s="154">
        <v>4</v>
      </c>
      <c r="E11" s="154">
        <v>5</v>
      </c>
      <c r="F11" s="154">
        <v>6</v>
      </c>
      <c r="G11" s="154">
        <v>7</v>
      </c>
      <c r="H11" s="154">
        <v>8</v>
      </c>
      <c r="I11" s="297">
        <v>3</v>
      </c>
      <c r="J11" s="297">
        <v>4</v>
      </c>
      <c r="K11" s="297">
        <v>5</v>
      </c>
    </row>
    <row r="12" spans="1:16" ht="18.75">
      <c r="A12" s="155" t="s">
        <v>5</v>
      </c>
      <c r="B12" s="156" t="s">
        <v>6</v>
      </c>
      <c r="C12" s="230">
        <f>C13+C20+C26+C36+C42+C48+C54+C61+C66+C71+C45+C88</f>
        <v>272834.3</v>
      </c>
      <c r="D12" s="230">
        <f aca="true" t="shared" si="0" ref="D12:I12">D13+D20+D26+D36+D42+D48+D54+D61+D66+D71+D45+D88</f>
        <v>208905.14299999998</v>
      </c>
      <c r="E12" s="230">
        <f t="shared" si="0"/>
        <v>264415.23333333334</v>
      </c>
      <c r="F12" s="230">
        <f t="shared" si="0"/>
        <v>294509.2</v>
      </c>
      <c r="G12" s="230">
        <f t="shared" si="0"/>
        <v>307411.89999999997</v>
      </c>
      <c r="H12" s="230">
        <f t="shared" si="0"/>
        <v>320557.25</v>
      </c>
      <c r="I12" s="230">
        <f t="shared" si="0"/>
        <v>294682.69000000006</v>
      </c>
      <c r="J12" s="230">
        <f>J13+J20+J26+J36+J42+J48+J54+J61+J66+J71+J45+J88+J93</f>
        <v>226519.63123999996</v>
      </c>
      <c r="K12" s="230">
        <f>J12/I12*100</f>
        <v>76.86899805346555</v>
      </c>
      <c r="M12" s="136"/>
      <c r="P12" s="136"/>
    </row>
    <row r="13" spans="1:16" ht="18.75">
      <c r="A13" s="157" t="s">
        <v>7</v>
      </c>
      <c r="B13" s="156" t="s">
        <v>8</v>
      </c>
      <c r="C13" s="230">
        <f aca="true" t="shared" si="1" ref="C13:J13">C14</f>
        <v>207151</v>
      </c>
      <c r="D13" s="230">
        <f t="shared" si="1"/>
        <v>150019.49999999997</v>
      </c>
      <c r="E13" s="230">
        <f t="shared" si="1"/>
        <v>200105.63333333333</v>
      </c>
      <c r="F13" s="230">
        <f t="shared" si="1"/>
        <v>231677</v>
      </c>
      <c r="G13" s="230">
        <f t="shared" si="1"/>
        <v>243260.4</v>
      </c>
      <c r="H13" s="230">
        <f t="shared" si="1"/>
        <v>255423.75</v>
      </c>
      <c r="I13" s="230">
        <f t="shared" si="1"/>
        <v>219098.30000000002</v>
      </c>
      <c r="J13" s="230">
        <f t="shared" si="1"/>
        <v>162619.61699999997</v>
      </c>
      <c r="K13" s="230">
        <f aca="true" t="shared" si="2" ref="K13:K78">J13/I13*100</f>
        <v>74.22221760734791</v>
      </c>
      <c r="L13" s="136"/>
      <c r="M13" s="136"/>
      <c r="N13" s="136"/>
      <c r="O13" s="136"/>
      <c r="P13" s="136"/>
    </row>
    <row r="14" spans="1:16" ht="18.75">
      <c r="A14" s="158" t="s">
        <v>9</v>
      </c>
      <c r="B14" s="159" t="s">
        <v>10</v>
      </c>
      <c r="C14" s="230">
        <f aca="true" t="shared" si="3" ref="C14:I14">SUM(C15:C18)</f>
        <v>207151</v>
      </c>
      <c r="D14" s="230">
        <f t="shared" si="3"/>
        <v>150019.49999999997</v>
      </c>
      <c r="E14" s="230">
        <f t="shared" si="3"/>
        <v>200105.63333333333</v>
      </c>
      <c r="F14" s="230">
        <f t="shared" si="3"/>
        <v>231677</v>
      </c>
      <c r="G14" s="230">
        <f t="shared" si="3"/>
        <v>243260.4</v>
      </c>
      <c r="H14" s="230">
        <f t="shared" si="3"/>
        <v>255423.75</v>
      </c>
      <c r="I14" s="230">
        <f t="shared" si="3"/>
        <v>219098.30000000002</v>
      </c>
      <c r="J14" s="230">
        <f>SUM(J15:J19)</f>
        <v>162619.61699999997</v>
      </c>
      <c r="K14" s="230">
        <f t="shared" si="2"/>
        <v>74.22221760734791</v>
      </c>
      <c r="L14" s="136"/>
      <c r="M14" s="136"/>
      <c r="N14" s="136"/>
      <c r="O14" s="136"/>
      <c r="P14" s="136"/>
    </row>
    <row r="15" spans="1:11" ht="63">
      <c r="A15" s="274" t="s">
        <v>11</v>
      </c>
      <c r="B15" s="160" t="s">
        <v>12</v>
      </c>
      <c r="C15" s="231">
        <f>216801-10000</f>
        <v>206801</v>
      </c>
      <c r="D15" s="231">
        <v>149524.9</v>
      </c>
      <c r="E15" s="231">
        <f>D15/9*12</f>
        <v>199366.53333333333</v>
      </c>
      <c r="F15" s="231">
        <v>231300</v>
      </c>
      <c r="G15" s="231">
        <f>F15*1.05</f>
        <v>242865</v>
      </c>
      <c r="H15" s="231">
        <f>G15*1.05</f>
        <v>255008.25</v>
      </c>
      <c r="I15" s="231">
        <f>216613+780.5+480.6+801.2</f>
        <v>218675.30000000002</v>
      </c>
      <c r="J15" s="231">
        <v>160398.077</v>
      </c>
      <c r="K15" s="231">
        <f t="shared" si="2"/>
        <v>73.34988313723588</v>
      </c>
    </row>
    <row r="16" spans="1:11" ht="94.5">
      <c r="A16" s="274" t="s">
        <v>13</v>
      </c>
      <c r="B16" s="161" t="s">
        <v>14</v>
      </c>
      <c r="C16" s="231">
        <v>2</v>
      </c>
      <c r="D16" s="231">
        <v>0.3</v>
      </c>
      <c r="E16" s="231">
        <v>0.5</v>
      </c>
      <c r="F16" s="231">
        <v>2</v>
      </c>
      <c r="G16" s="231">
        <v>2</v>
      </c>
      <c r="H16" s="231">
        <v>2</v>
      </c>
      <c r="I16" s="231">
        <v>3</v>
      </c>
      <c r="J16" s="231">
        <v>859.71</v>
      </c>
      <c r="K16" s="231">
        <f t="shared" si="2"/>
        <v>28657</v>
      </c>
    </row>
    <row r="17" spans="1:11" ht="36.75" customHeight="1">
      <c r="A17" s="274" t="s">
        <v>15</v>
      </c>
      <c r="B17" s="161" t="s">
        <v>16</v>
      </c>
      <c r="C17" s="231">
        <v>337</v>
      </c>
      <c r="D17" s="231">
        <v>494.3</v>
      </c>
      <c r="E17" s="231">
        <v>738.6</v>
      </c>
      <c r="F17" s="231">
        <v>369</v>
      </c>
      <c r="G17" s="231">
        <v>387.4</v>
      </c>
      <c r="H17" s="231">
        <v>407</v>
      </c>
      <c r="I17" s="231">
        <v>412</v>
      </c>
      <c r="J17" s="231">
        <v>1210.59</v>
      </c>
      <c r="K17" s="231">
        <f t="shared" si="2"/>
        <v>293.83252427184465</v>
      </c>
    </row>
    <row r="18" spans="1:11" ht="78.75">
      <c r="A18" s="274" t="s">
        <v>17</v>
      </c>
      <c r="B18" s="161" t="s">
        <v>18</v>
      </c>
      <c r="C18" s="231">
        <v>11</v>
      </c>
      <c r="D18" s="231">
        <v>0</v>
      </c>
      <c r="E18" s="231">
        <v>0</v>
      </c>
      <c r="F18" s="231">
        <v>6</v>
      </c>
      <c r="G18" s="231">
        <v>6</v>
      </c>
      <c r="H18" s="231">
        <v>6.5</v>
      </c>
      <c r="I18" s="231">
        <v>8</v>
      </c>
      <c r="J18" s="231">
        <v>159.5</v>
      </c>
      <c r="K18" s="231">
        <f t="shared" si="2"/>
        <v>1993.75</v>
      </c>
    </row>
    <row r="19" spans="1:11" s="328" customFormat="1" ht="18.75">
      <c r="A19" s="297" t="s">
        <v>1095</v>
      </c>
      <c r="B19" s="318"/>
      <c r="C19" s="231"/>
      <c r="D19" s="231"/>
      <c r="E19" s="231"/>
      <c r="F19" s="231"/>
      <c r="G19" s="231"/>
      <c r="H19" s="231"/>
      <c r="I19" s="231">
        <v>0</v>
      </c>
      <c r="J19" s="231">
        <v>-8.26</v>
      </c>
      <c r="K19" s="231">
        <v>0</v>
      </c>
    </row>
    <row r="20" spans="1:11" s="328" customFormat="1" ht="31.5">
      <c r="A20" s="329" t="s">
        <v>19</v>
      </c>
      <c r="B20" s="330" t="s">
        <v>20</v>
      </c>
      <c r="C20" s="230">
        <f aca="true" t="shared" si="4" ref="C20:J20">C21</f>
        <v>3358</v>
      </c>
      <c r="D20" s="230">
        <f t="shared" si="4"/>
        <v>2843.589</v>
      </c>
      <c r="E20" s="230">
        <f t="shared" si="4"/>
        <v>3120</v>
      </c>
      <c r="F20" s="230">
        <f t="shared" si="4"/>
        <v>3510</v>
      </c>
      <c r="G20" s="230">
        <f t="shared" si="4"/>
        <v>3951.3</v>
      </c>
      <c r="H20" s="230">
        <f t="shared" si="4"/>
        <v>3951.3</v>
      </c>
      <c r="I20" s="230">
        <f t="shared" si="4"/>
        <v>4766.589999999999</v>
      </c>
      <c r="J20" s="230">
        <f t="shared" si="4"/>
        <v>3520.7999999999997</v>
      </c>
      <c r="K20" s="230">
        <f t="shared" si="2"/>
        <v>73.86412508732658</v>
      </c>
    </row>
    <row r="21" spans="1:11" s="328" customFormat="1" ht="31.5">
      <c r="A21" s="331" t="s">
        <v>21</v>
      </c>
      <c r="B21" s="332" t="s">
        <v>22</v>
      </c>
      <c r="C21" s="230">
        <f>SUM(C22:C25)</f>
        <v>3358</v>
      </c>
      <c r="D21" s="230">
        <f aca="true" t="shared" si="5" ref="D21:I21">SUM(D22:D25)</f>
        <v>2843.589</v>
      </c>
      <c r="E21" s="230">
        <f t="shared" si="5"/>
        <v>3120</v>
      </c>
      <c r="F21" s="230">
        <f t="shared" si="5"/>
        <v>3510</v>
      </c>
      <c r="G21" s="230">
        <f t="shared" si="5"/>
        <v>3951.3</v>
      </c>
      <c r="H21" s="230">
        <f t="shared" si="5"/>
        <v>3951.3</v>
      </c>
      <c r="I21" s="230">
        <f t="shared" si="5"/>
        <v>4766.589999999999</v>
      </c>
      <c r="J21" s="230">
        <f aca="true" t="shared" si="6" ref="J21">SUM(J22:J25)</f>
        <v>3520.7999999999997</v>
      </c>
      <c r="K21" s="230">
        <f t="shared" si="2"/>
        <v>73.86412508732658</v>
      </c>
    </row>
    <row r="22" spans="1:11" s="328" customFormat="1" ht="63">
      <c r="A22" s="333" t="s">
        <v>23</v>
      </c>
      <c r="B22" s="161" t="s">
        <v>24</v>
      </c>
      <c r="C22" s="231">
        <v>1191.5</v>
      </c>
      <c r="D22" s="231">
        <v>1149.8</v>
      </c>
      <c r="E22" s="231">
        <v>1191.5</v>
      </c>
      <c r="F22" s="231">
        <v>1138.3</v>
      </c>
      <c r="G22" s="231">
        <v>1277.2</v>
      </c>
      <c r="H22" s="231">
        <v>1277.2</v>
      </c>
      <c r="I22" s="231">
        <f>1348.6+94.6+589.5</f>
        <v>2032.6999999999998</v>
      </c>
      <c r="J22" s="231">
        <v>1593.8</v>
      </c>
      <c r="K22" s="231">
        <f t="shared" si="2"/>
        <v>78.40802873026024</v>
      </c>
    </row>
    <row r="23" spans="1:11" s="328" customFormat="1" ht="78.75">
      <c r="A23" s="325" t="s">
        <v>25</v>
      </c>
      <c r="B23" s="161" t="s">
        <v>26</v>
      </c>
      <c r="C23" s="231">
        <v>18.1</v>
      </c>
      <c r="D23" s="231">
        <v>12.245</v>
      </c>
      <c r="E23" s="231">
        <v>18.1</v>
      </c>
      <c r="F23" s="231">
        <v>10.4</v>
      </c>
      <c r="G23" s="231">
        <v>11</v>
      </c>
      <c r="H23" s="231">
        <v>11</v>
      </c>
      <c r="I23" s="231">
        <f>9.7+0.4+0.89</f>
        <v>10.99</v>
      </c>
      <c r="J23" s="231">
        <v>12.1</v>
      </c>
      <c r="K23" s="231">
        <f t="shared" si="2"/>
        <v>110.10009099181073</v>
      </c>
    </row>
    <row r="24" spans="1:11" s="328" customFormat="1" ht="63">
      <c r="A24" s="325" t="s">
        <v>27</v>
      </c>
      <c r="B24" s="161" t="s">
        <v>28</v>
      </c>
      <c r="C24" s="232">
        <v>2148.4</v>
      </c>
      <c r="D24" s="232">
        <v>1919.5</v>
      </c>
      <c r="E24" s="232">
        <v>2148.4</v>
      </c>
      <c r="F24" s="232">
        <v>2361.3</v>
      </c>
      <c r="G24" s="232">
        <v>2663.1</v>
      </c>
      <c r="H24" s="232">
        <v>2663.1</v>
      </c>
      <c r="I24" s="232">
        <f>2487.2+307.6-71.9</f>
        <v>2722.8999999999996</v>
      </c>
      <c r="J24" s="232">
        <v>2184.5</v>
      </c>
      <c r="K24" s="231">
        <f t="shared" si="2"/>
        <v>80.2269638987844</v>
      </c>
    </row>
    <row r="25" spans="1:11" s="328" customFormat="1" ht="63">
      <c r="A25" s="6" t="s">
        <v>862</v>
      </c>
      <c r="B25" s="257" t="s">
        <v>863</v>
      </c>
      <c r="C25" s="231">
        <v>0</v>
      </c>
      <c r="D25" s="231">
        <v>-237.956</v>
      </c>
      <c r="E25" s="231">
        <v>-238</v>
      </c>
      <c r="F25" s="231">
        <v>0</v>
      </c>
      <c r="G25" s="231">
        <v>0</v>
      </c>
      <c r="H25" s="231">
        <v>0</v>
      </c>
      <c r="I25" s="231">
        <v>0</v>
      </c>
      <c r="J25" s="231">
        <v>-269.6</v>
      </c>
      <c r="K25" s="231">
        <v>0</v>
      </c>
    </row>
    <row r="26" spans="1:12" s="328" customFormat="1" ht="18.75">
      <c r="A26" s="158" t="s">
        <v>29</v>
      </c>
      <c r="B26" s="159" t="s">
        <v>30</v>
      </c>
      <c r="C26" s="230">
        <f aca="true" t="shared" si="7" ref="C26:I26">SUM(C27+C32+C35)</f>
        <v>20489.8</v>
      </c>
      <c r="D26" s="230">
        <f t="shared" si="7"/>
        <v>14361.39</v>
      </c>
      <c r="E26" s="230">
        <f t="shared" si="7"/>
        <v>20474.9</v>
      </c>
      <c r="F26" s="230">
        <f t="shared" si="7"/>
        <v>21474</v>
      </c>
      <c r="G26" s="230">
        <f t="shared" si="7"/>
        <v>21923</v>
      </c>
      <c r="H26" s="230">
        <f t="shared" si="7"/>
        <v>22493</v>
      </c>
      <c r="I26" s="230">
        <f t="shared" si="7"/>
        <v>24339</v>
      </c>
      <c r="J26" s="230">
        <f aca="true" t="shared" si="8" ref="J26">SUM(J27+J32+J35)</f>
        <v>16269.914239999998</v>
      </c>
      <c r="K26" s="230">
        <f t="shared" si="2"/>
        <v>66.84709412876452</v>
      </c>
      <c r="L26" s="282"/>
    </row>
    <row r="27" spans="1:11" s="328" customFormat="1" ht="31.5">
      <c r="A27" s="155" t="s">
        <v>31</v>
      </c>
      <c r="B27" s="159" t="s">
        <v>32</v>
      </c>
      <c r="C27" s="230">
        <f aca="true" t="shared" si="9" ref="C27:I27">SUM(C28:C30)</f>
        <v>10695.8</v>
      </c>
      <c r="D27" s="230">
        <f t="shared" si="9"/>
        <v>7511.09</v>
      </c>
      <c r="E27" s="230">
        <f t="shared" si="9"/>
        <v>10695.9</v>
      </c>
      <c r="F27" s="230">
        <f t="shared" si="9"/>
        <v>11370</v>
      </c>
      <c r="G27" s="230">
        <f t="shared" si="9"/>
        <v>11813</v>
      </c>
      <c r="H27" s="230">
        <f t="shared" si="9"/>
        <v>12333</v>
      </c>
      <c r="I27" s="230">
        <f t="shared" si="9"/>
        <v>13909</v>
      </c>
      <c r="J27" s="230">
        <f>SUM(J28:J31)</f>
        <v>8717.099999999999</v>
      </c>
      <c r="K27" s="230">
        <f t="shared" si="2"/>
        <v>62.672370407649716</v>
      </c>
    </row>
    <row r="28" spans="1:11" s="328" customFormat="1" ht="31.5">
      <c r="A28" s="153" t="s">
        <v>33</v>
      </c>
      <c r="B28" s="162" t="s">
        <v>34</v>
      </c>
      <c r="C28" s="231">
        <f>10695.8/2</f>
        <v>5347.9</v>
      </c>
      <c r="D28" s="231">
        <f>5410.4</f>
        <v>5410.4</v>
      </c>
      <c r="E28" s="231">
        <f>10695.8/2</f>
        <v>5347.9</v>
      </c>
      <c r="F28" s="231">
        <v>5685</v>
      </c>
      <c r="G28" s="233">
        <v>5906.5</v>
      </c>
      <c r="H28" s="233">
        <v>6166.5</v>
      </c>
      <c r="I28" s="231">
        <f>13909/2</f>
        <v>6954.5</v>
      </c>
      <c r="J28" s="231">
        <v>7168</v>
      </c>
      <c r="K28" s="231">
        <f t="shared" si="2"/>
        <v>103.06995470558631</v>
      </c>
    </row>
    <row r="29" spans="1:11" s="328" customFormat="1" ht="78.75" hidden="1">
      <c r="A29" s="153" t="s">
        <v>864</v>
      </c>
      <c r="B29" s="162" t="s">
        <v>865</v>
      </c>
      <c r="C29" s="231">
        <v>0</v>
      </c>
      <c r="D29" s="231">
        <v>0.09</v>
      </c>
      <c r="E29" s="231">
        <v>0.1</v>
      </c>
      <c r="F29" s="231">
        <v>0</v>
      </c>
      <c r="G29" s="233">
        <v>0</v>
      </c>
      <c r="H29" s="233">
        <v>0</v>
      </c>
      <c r="I29" s="231">
        <v>0</v>
      </c>
      <c r="J29" s="231"/>
      <c r="K29" s="231" t="e">
        <f t="shared" si="2"/>
        <v>#DIV/0!</v>
      </c>
    </row>
    <row r="30" spans="1:11" s="328" customFormat="1" ht="49.5" customHeight="1">
      <c r="A30" s="153" t="s">
        <v>35</v>
      </c>
      <c r="B30" s="162" t="s">
        <v>36</v>
      </c>
      <c r="C30" s="231">
        <f>10695.8/2</f>
        <v>5347.9</v>
      </c>
      <c r="D30" s="231">
        <v>2100.6</v>
      </c>
      <c r="E30" s="231">
        <f>10695.8/2</f>
        <v>5347.9</v>
      </c>
      <c r="F30" s="231">
        <v>5685</v>
      </c>
      <c r="G30" s="233">
        <v>5906.5</v>
      </c>
      <c r="H30" s="233">
        <v>6166.5</v>
      </c>
      <c r="I30" s="231">
        <v>6954.5</v>
      </c>
      <c r="J30" s="231">
        <v>1732.3</v>
      </c>
      <c r="K30" s="231">
        <f t="shared" si="2"/>
        <v>24.90905169314832</v>
      </c>
    </row>
    <row r="31" spans="1:11" s="328" customFormat="1" ht="49.5" customHeight="1">
      <c r="A31" s="153" t="s">
        <v>1096</v>
      </c>
      <c r="B31" s="162"/>
      <c r="C31" s="231"/>
      <c r="D31" s="231"/>
      <c r="E31" s="231"/>
      <c r="F31" s="231"/>
      <c r="G31" s="233"/>
      <c r="H31" s="233"/>
      <c r="I31" s="231">
        <v>0</v>
      </c>
      <c r="J31" s="231">
        <v>-183.2</v>
      </c>
      <c r="K31" s="231">
        <v>0</v>
      </c>
    </row>
    <row r="32" spans="1:11" s="328" customFormat="1" ht="18.75">
      <c r="A32" s="155" t="s">
        <v>37</v>
      </c>
      <c r="B32" s="159" t="s">
        <v>38</v>
      </c>
      <c r="C32" s="230">
        <f>SUM(C33:C34)</f>
        <v>9639</v>
      </c>
      <c r="D32" s="230">
        <f aca="true" t="shared" si="10" ref="D32:I32">SUM(D33:D34)</f>
        <v>6707.8</v>
      </c>
      <c r="E32" s="230">
        <f t="shared" si="10"/>
        <v>9624</v>
      </c>
      <c r="F32" s="230">
        <f t="shared" si="10"/>
        <v>9894</v>
      </c>
      <c r="G32" s="230">
        <f t="shared" si="10"/>
        <v>9900</v>
      </c>
      <c r="H32" s="230">
        <f t="shared" si="10"/>
        <v>9950</v>
      </c>
      <c r="I32" s="230">
        <f t="shared" si="10"/>
        <v>10141</v>
      </c>
      <c r="J32" s="230">
        <f aca="true" t="shared" si="11" ref="J32">SUM(J33:J34)</f>
        <v>7236.11424</v>
      </c>
      <c r="K32" s="230">
        <f t="shared" si="2"/>
        <v>71.35503638694408</v>
      </c>
    </row>
    <row r="33" spans="1:11" s="328" customFormat="1" ht="18.75">
      <c r="A33" s="297" t="s">
        <v>39</v>
      </c>
      <c r="B33" s="160" t="s">
        <v>38</v>
      </c>
      <c r="C33" s="231">
        <v>9639</v>
      </c>
      <c r="D33" s="231">
        <v>6722.8</v>
      </c>
      <c r="E33" s="231">
        <v>9639</v>
      </c>
      <c r="F33" s="231">
        <v>9894</v>
      </c>
      <c r="G33" s="231">
        <v>9900</v>
      </c>
      <c r="H33" s="231">
        <v>9950</v>
      </c>
      <c r="I33" s="231">
        <v>10141</v>
      </c>
      <c r="J33" s="231">
        <v>7236</v>
      </c>
      <c r="K33" s="231">
        <f t="shared" si="2"/>
        <v>71.35390987082143</v>
      </c>
    </row>
    <row r="34" spans="1:11" s="328" customFormat="1" ht="33" customHeight="1">
      <c r="A34" s="6" t="s">
        <v>866</v>
      </c>
      <c r="B34" s="226" t="s">
        <v>867</v>
      </c>
      <c r="C34" s="231">
        <v>0</v>
      </c>
      <c r="D34" s="231">
        <v>-15</v>
      </c>
      <c r="E34" s="231">
        <v>-15</v>
      </c>
      <c r="F34" s="231">
        <v>0</v>
      </c>
      <c r="G34" s="231">
        <v>0</v>
      </c>
      <c r="H34" s="231">
        <v>0</v>
      </c>
      <c r="I34" s="231">
        <v>0</v>
      </c>
      <c r="J34" s="231">
        <f>114.24/1000</f>
        <v>0.11424</v>
      </c>
      <c r="K34" s="231">
        <v>0</v>
      </c>
    </row>
    <row r="35" spans="1:11" s="328" customFormat="1" ht="31.5">
      <c r="A35" s="155" t="s">
        <v>40</v>
      </c>
      <c r="B35" s="163" t="s">
        <v>41</v>
      </c>
      <c r="C35" s="230">
        <v>155</v>
      </c>
      <c r="D35" s="230">
        <v>142.5</v>
      </c>
      <c r="E35" s="230">
        <v>155</v>
      </c>
      <c r="F35" s="230">
        <v>210</v>
      </c>
      <c r="G35" s="230">
        <v>210</v>
      </c>
      <c r="H35" s="230">
        <v>210</v>
      </c>
      <c r="I35" s="230">
        <v>289</v>
      </c>
      <c r="J35" s="230">
        <v>316.7</v>
      </c>
      <c r="K35" s="230">
        <f t="shared" si="2"/>
        <v>109.58477508650519</v>
      </c>
    </row>
    <row r="36" spans="1:11" s="328" customFormat="1" ht="18.75">
      <c r="A36" s="158" t="s">
        <v>42</v>
      </c>
      <c r="B36" s="159" t="s">
        <v>43</v>
      </c>
      <c r="C36" s="230">
        <f aca="true" t="shared" si="12" ref="C36:I36">C37+C39</f>
        <v>383</v>
      </c>
      <c r="D36" s="230">
        <f t="shared" si="12"/>
        <v>76.9</v>
      </c>
      <c r="E36" s="230">
        <f t="shared" si="12"/>
        <v>383</v>
      </c>
      <c r="F36" s="230">
        <f t="shared" si="12"/>
        <v>974</v>
      </c>
      <c r="G36" s="230">
        <f t="shared" si="12"/>
        <v>1311</v>
      </c>
      <c r="H36" s="230">
        <f t="shared" si="12"/>
        <v>1648</v>
      </c>
      <c r="I36" s="230">
        <f t="shared" si="12"/>
        <v>683</v>
      </c>
      <c r="J36" s="230">
        <f aca="true" t="shared" si="13" ref="J36">J37+J39</f>
        <v>668.1</v>
      </c>
      <c r="K36" s="230">
        <f t="shared" si="2"/>
        <v>97.81844802342606</v>
      </c>
    </row>
    <row r="37" spans="1:11" s="328" customFormat="1" ht="18.75">
      <c r="A37" s="158" t="s">
        <v>44</v>
      </c>
      <c r="B37" s="159" t="s">
        <v>45</v>
      </c>
      <c r="C37" s="230">
        <f aca="true" t="shared" si="14" ref="C37:J37">C38</f>
        <v>71</v>
      </c>
      <c r="D37" s="230">
        <f t="shared" si="14"/>
        <v>48</v>
      </c>
      <c r="E37" s="230">
        <f t="shared" si="14"/>
        <v>71</v>
      </c>
      <c r="F37" s="230">
        <f t="shared" si="14"/>
        <v>652</v>
      </c>
      <c r="G37" s="230">
        <f t="shared" si="14"/>
        <v>978</v>
      </c>
      <c r="H37" s="230">
        <f t="shared" si="14"/>
        <v>1304</v>
      </c>
      <c r="I37" s="230">
        <f t="shared" si="14"/>
        <v>350</v>
      </c>
      <c r="J37" s="230">
        <f t="shared" si="14"/>
        <v>232.1</v>
      </c>
      <c r="K37" s="230">
        <f t="shared" si="2"/>
        <v>66.31428571428572</v>
      </c>
    </row>
    <row r="38" spans="1:11" s="328" customFormat="1" ht="38.25" customHeight="1">
      <c r="A38" s="297" t="s">
        <v>46</v>
      </c>
      <c r="B38" s="162" t="s">
        <v>47</v>
      </c>
      <c r="C38" s="231">
        <v>71</v>
      </c>
      <c r="D38" s="231">
        <v>48</v>
      </c>
      <c r="E38" s="231">
        <v>71</v>
      </c>
      <c r="F38" s="231">
        <v>652</v>
      </c>
      <c r="G38" s="233">
        <v>978</v>
      </c>
      <c r="H38" s="233">
        <v>1304</v>
      </c>
      <c r="I38" s="231">
        <v>350</v>
      </c>
      <c r="J38" s="231">
        <v>232.1</v>
      </c>
      <c r="K38" s="231">
        <f t="shared" si="2"/>
        <v>66.31428571428572</v>
      </c>
    </row>
    <row r="39" spans="1:11" s="328" customFormat="1" ht="18.75">
      <c r="A39" s="158" t="s">
        <v>48</v>
      </c>
      <c r="B39" s="159" t="s">
        <v>49</v>
      </c>
      <c r="C39" s="230">
        <f aca="true" t="shared" si="15" ref="C39:I39">C41+C40</f>
        <v>312</v>
      </c>
      <c r="D39" s="230">
        <f t="shared" si="15"/>
        <v>28.900000000000002</v>
      </c>
      <c r="E39" s="230">
        <f t="shared" si="15"/>
        <v>312</v>
      </c>
      <c r="F39" s="230">
        <f t="shared" si="15"/>
        <v>322</v>
      </c>
      <c r="G39" s="230">
        <f t="shared" si="15"/>
        <v>333</v>
      </c>
      <c r="H39" s="230">
        <f t="shared" si="15"/>
        <v>344</v>
      </c>
      <c r="I39" s="230">
        <f t="shared" si="15"/>
        <v>333</v>
      </c>
      <c r="J39" s="230">
        <f aca="true" t="shared" si="16" ref="J39">J41+J40</f>
        <v>436</v>
      </c>
      <c r="K39" s="230">
        <f t="shared" si="2"/>
        <v>130.93093093093094</v>
      </c>
    </row>
    <row r="40" spans="1:11" s="328" customFormat="1" ht="31.5">
      <c r="A40" s="297" t="s">
        <v>50</v>
      </c>
      <c r="B40" s="162" t="s">
        <v>51</v>
      </c>
      <c r="C40" s="231">
        <v>167</v>
      </c>
      <c r="D40" s="231">
        <v>39.7</v>
      </c>
      <c r="E40" s="231">
        <v>167</v>
      </c>
      <c r="F40" s="231">
        <v>172</v>
      </c>
      <c r="G40" s="231">
        <v>173</v>
      </c>
      <c r="H40" s="231">
        <v>174</v>
      </c>
      <c r="I40" s="231">
        <v>173</v>
      </c>
      <c r="J40" s="231">
        <v>419.7</v>
      </c>
      <c r="K40" s="231">
        <f t="shared" si="2"/>
        <v>242.60115606936415</v>
      </c>
    </row>
    <row r="41" spans="1:11" s="328" customFormat="1" ht="31.5">
      <c r="A41" s="297" t="s">
        <v>52</v>
      </c>
      <c r="B41" s="162" t="s">
        <v>53</v>
      </c>
      <c r="C41" s="231">
        <v>145</v>
      </c>
      <c r="D41" s="231">
        <v>-10.8</v>
      </c>
      <c r="E41" s="231">
        <v>145</v>
      </c>
      <c r="F41" s="231">
        <v>150</v>
      </c>
      <c r="G41" s="231">
        <v>160</v>
      </c>
      <c r="H41" s="231">
        <v>170</v>
      </c>
      <c r="I41" s="231">
        <v>160</v>
      </c>
      <c r="J41" s="231">
        <v>16.3</v>
      </c>
      <c r="K41" s="231">
        <f t="shared" si="2"/>
        <v>10.1875</v>
      </c>
    </row>
    <row r="42" spans="1:11" s="328" customFormat="1" ht="18.75">
      <c r="A42" s="158" t="s">
        <v>54</v>
      </c>
      <c r="B42" s="159" t="s">
        <v>55</v>
      </c>
      <c r="C42" s="230">
        <f aca="true" t="shared" si="17" ref="C42:F43">C43</f>
        <v>2294</v>
      </c>
      <c r="D42" s="230">
        <f>D43</f>
        <v>933.3</v>
      </c>
      <c r="E42" s="230">
        <f t="shared" si="17"/>
        <v>1346.7</v>
      </c>
      <c r="F42" s="230">
        <f t="shared" si="17"/>
        <v>2088</v>
      </c>
      <c r="G42" s="230">
        <f aca="true" t="shared" si="18" ref="G42:J43">G43</f>
        <v>2100</v>
      </c>
      <c r="H42" s="230">
        <f t="shared" si="18"/>
        <v>2150</v>
      </c>
      <c r="I42" s="230">
        <f t="shared" si="18"/>
        <v>1192</v>
      </c>
      <c r="J42" s="230">
        <f t="shared" si="18"/>
        <v>1822.3</v>
      </c>
      <c r="K42" s="230">
        <f t="shared" si="2"/>
        <v>152.87751677852347</v>
      </c>
    </row>
    <row r="43" spans="1:11" s="328" customFormat="1" ht="31.5">
      <c r="A43" s="158" t="s">
        <v>56</v>
      </c>
      <c r="B43" s="159" t="s">
        <v>57</v>
      </c>
      <c r="C43" s="230">
        <f t="shared" si="17"/>
        <v>2294</v>
      </c>
      <c r="D43" s="230">
        <f>D44</f>
        <v>933.3</v>
      </c>
      <c r="E43" s="230">
        <f t="shared" si="17"/>
        <v>1346.7</v>
      </c>
      <c r="F43" s="230">
        <f t="shared" si="17"/>
        <v>2088</v>
      </c>
      <c r="G43" s="230">
        <f t="shared" si="18"/>
        <v>2100</v>
      </c>
      <c r="H43" s="230">
        <f t="shared" si="18"/>
        <v>2150</v>
      </c>
      <c r="I43" s="230">
        <f t="shared" si="18"/>
        <v>1192</v>
      </c>
      <c r="J43" s="230">
        <f t="shared" si="18"/>
        <v>1822.3</v>
      </c>
      <c r="K43" s="230">
        <f t="shared" si="2"/>
        <v>152.87751677852347</v>
      </c>
    </row>
    <row r="44" spans="1:12" s="328" customFormat="1" ht="47.25">
      <c r="A44" s="297" t="s">
        <v>58</v>
      </c>
      <c r="B44" s="160" t="s">
        <v>59</v>
      </c>
      <c r="C44" s="231">
        <v>2294</v>
      </c>
      <c r="D44" s="231">
        <v>933.3</v>
      </c>
      <c r="E44" s="231">
        <v>1346.7</v>
      </c>
      <c r="F44" s="231">
        <v>2088</v>
      </c>
      <c r="G44" s="233">
        <v>2100</v>
      </c>
      <c r="H44" s="233">
        <v>2150</v>
      </c>
      <c r="I44" s="231">
        <v>1192</v>
      </c>
      <c r="J44" s="231">
        <v>1822.3</v>
      </c>
      <c r="K44" s="231">
        <f t="shared" si="2"/>
        <v>152.87751677852347</v>
      </c>
      <c r="L44" s="334">
        <v>184900727.47</v>
      </c>
    </row>
    <row r="45" spans="1:11" s="328" customFormat="1" ht="31.5" hidden="1">
      <c r="A45" s="276" t="s">
        <v>868</v>
      </c>
      <c r="B45" s="227" t="s">
        <v>869</v>
      </c>
      <c r="C45" s="230">
        <v>0</v>
      </c>
      <c r="D45" s="230">
        <f aca="true" t="shared" si="19" ref="D45:I45">SUM(D46:D47)</f>
        <v>7.1</v>
      </c>
      <c r="E45" s="230">
        <f t="shared" si="19"/>
        <v>7.1</v>
      </c>
      <c r="F45" s="230">
        <f t="shared" si="19"/>
        <v>0</v>
      </c>
      <c r="G45" s="230">
        <f t="shared" si="19"/>
        <v>0</v>
      </c>
      <c r="H45" s="230">
        <f t="shared" si="19"/>
        <v>0</v>
      </c>
      <c r="I45" s="230">
        <f t="shared" si="19"/>
        <v>0</v>
      </c>
      <c r="J45" s="230">
        <f aca="true" t="shared" si="20" ref="J45">SUM(J46:J47)</f>
        <v>0</v>
      </c>
      <c r="K45" s="230" t="e">
        <f t="shared" si="2"/>
        <v>#DIV/0!</v>
      </c>
    </row>
    <row r="46" spans="1:11" s="328" customFormat="1" ht="63" hidden="1">
      <c r="A46" s="6" t="s">
        <v>870</v>
      </c>
      <c r="B46" s="220" t="s">
        <v>871</v>
      </c>
      <c r="C46" s="231">
        <v>0</v>
      </c>
      <c r="D46" s="231">
        <v>7.5</v>
      </c>
      <c r="E46" s="231">
        <v>7.5</v>
      </c>
      <c r="F46" s="231">
        <v>0</v>
      </c>
      <c r="G46" s="233">
        <v>0</v>
      </c>
      <c r="H46" s="233">
        <v>0</v>
      </c>
      <c r="I46" s="231">
        <v>0</v>
      </c>
      <c r="J46" s="231">
        <v>0</v>
      </c>
      <c r="K46" s="230" t="e">
        <f t="shared" si="2"/>
        <v>#DIV/0!</v>
      </c>
    </row>
    <row r="47" spans="1:11" s="328" customFormat="1" ht="63" hidden="1">
      <c r="A47" s="2" t="s">
        <v>872</v>
      </c>
      <c r="B47" s="220" t="s">
        <v>873</v>
      </c>
      <c r="C47" s="231">
        <v>0</v>
      </c>
      <c r="D47" s="231">
        <v>-0.4</v>
      </c>
      <c r="E47" s="231">
        <v>-0.4</v>
      </c>
      <c r="F47" s="231">
        <v>0</v>
      </c>
      <c r="G47" s="233">
        <v>0</v>
      </c>
      <c r="H47" s="233">
        <v>0</v>
      </c>
      <c r="I47" s="231">
        <v>0</v>
      </c>
      <c r="J47" s="231">
        <v>0</v>
      </c>
      <c r="K47" s="230" t="e">
        <f t="shared" si="2"/>
        <v>#DIV/0!</v>
      </c>
    </row>
    <row r="48" spans="1:12" s="328" customFormat="1" ht="31.5">
      <c r="A48" s="158" t="s">
        <v>60</v>
      </c>
      <c r="B48" s="164" t="s">
        <v>61</v>
      </c>
      <c r="C48" s="230">
        <f aca="true" t="shared" si="21" ref="C48:J48">C49</f>
        <v>30200</v>
      </c>
      <c r="D48" s="230">
        <f t="shared" si="21"/>
        <v>30394</v>
      </c>
      <c r="E48" s="230">
        <f t="shared" si="21"/>
        <v>30200</v>
      </c>
      <c r="F48" s="230">
        <f t="shared" si="21"/>
        <v>30200</v>
      </c>
      <c r="G48" s="230">
        <f t="shared" si="21"/>
        <v>30200</v>
      </c>
      <c r="H48" s="230">
        <f t="shared" si="21"/>
        <v>30200</v>
      </c>
      <c r="I48" s="230">
        <f t="shared" si="21"/>
        <v>40000</v>
      </c>
      <c r="J48" s="230">
        <f t="shared" si="21"/>
        <v>33303.700000000004</v>
      </c>
      <c r="K48" s="230">
        <f t="shared" si="2"/>
        <v>83.25925000000001</v>
      </c>
      <c r="L48" s="197"/>
    </row>
    <row r="49" spans="1:11" s="328" customFormat="1" ht="78.75">
      <c r="A49" s="158" t="s">
        <v>62</v>
      </c>
      <c r="B49" s="164" t="s">
        <v>63</v>
      </c>
      <c r="C49" s="230">
        <f aca="true" t="shared" si="22" ref="C49:I49">C50+C52</f>
        <v>30200</v>
      </c>
      <c r="D49" s="230">
        <f t="shared" si="22"/>
        <v>30394</v>
      </c>
      <c r="E49" s="230">
        <f t="shared" si="22"/>
        <v>30200</v>
      </c>
      <c r="F49" s="230">
        <f t="shared" si="22"/>
        <v>30200</v>
      </c>
      <c r="G49" s="230">
        <f t="shared" si="22"/>
        <v>30200</v>
      </c>
      <c r="H49" s="230">
        <f t="shared" si="22"/>
        <v>30200</v>
      </c>
      <c r="I49" s="230">
        <f t="shared" si="22"/>
        <v>40000</v>
      </c>
      <c r="J49" s="230">
        <f aca="true" t="shared" si="23" ref="J49">J50+J52</f>
        <v>33303.700000000004</v>
      </c>
      <c r="K49" s="230">
        <f t="shared" si="2"/>
        <v>83.25925000000001</v>
      </c>
    </row>
    <row r="50" spans="1:11" s="328" customFormat="1" ht="63">
      <c r="A50" s="158" t="s">
        <v>64</v>
      </c>
      <c r="B50" s="159" t="s">
        <v>65</v>
      </c>
      <c r="C50" s="230">
        <f aca="true" t="shared" si="24" ref="C50:J50">C51</f>
        <v>26900</v>
      </c>
      <c r="D50" s="230">
        <f t="shared" si="24"/>
        <v>27515.9</v>
      </c>
      <c r="E50" s="230">
        <f t="shared" si="24"/>
        <v>26900</v>
      </c>
      <c r="F50" s="230">
        <f t="shared" si="24"/>
        <v>26900</v>
      </c>
      <c r="G50" s="230">
        <f t="shared" si="24"/>
        <v>26900</v>
      </c>
      <c r="H50" s="230">
        <f t="shared" si="24"/>
        <v>26900</v>
      </c>
      <c r="I50" s="230">
        <f t="shared" si="24"/>
        <v>36000</v>
      </c>
      <c r="J50" s="230">
        <f t="shared" si="24"/>
        <v>28742.9</v>
      </c>
      <c r="K50" s="230">
        <f t="shared" si="2"/>
        <v>79.8413888888889</v>
      </c>
    </row>
    <row r="51" spans="1:11" s="328" customFormat="1" ht="63">
      <c r="A51" s="297" t="s">
        <v>66</v>
      </c>
      <c r="B51" s="162" t="s">
        <v>67</v>
      </c>
      <c r="C51" s="231">
        <v>26900</v>
      </c>
      <c r="D51" s="231">
        <v>27515.9</v>
      </c>
      <c r="E51" s="231">
        <v>26900</v>
      </c>
      <c r="F51" s="231">
        <v>26900</v>
      </c>
      <c r="G51" s="233">
        <v>26900</v>
      </c>
      <c r="H51" s="233">
        <v>26900</v>
      </c>
      <c r="I51" s="231">
        <v>36000</v>
      </c>
      <c r="J51" s="231">
        <v>28742.9</v>
      </c>
      <c r="K51" s="231">
        <f t="shared" si="2"/>
        <v>79.8413888888889</v>
      </c>
    </row>
    <row r="52" spans="1:11" s="328" customFormat="1" ht="31.5">
      <c r="A52" s="158" t="s">
        <v>68</v>
      </c>
      <c r="B52" s="159" t="s">
        <v>69</v>
      </c>
      <c r="C52" s="230">
        <f aca="true" t="shared" si="25" ref="C52:J52">C53</f>
        <v>3300</v>
      </c>
      <c r="D52" s="230">
        <f t="shared" si="25"/>
        <v>2878.1</v>
      </c>
      <c r="E52" s="230">
        <f t="shared" si="25"/>
        <v>3300</v>
      </c>
      <c r="F52" s="230">
        <f t="shared" si="25"/>
        <v>3300</v>
      </c>
      <c r="G52" s="230">
        <f t="shared" si="25"/>
        <v>3300</v>
      </c>
      <c r="H52" s="230">
        <f t="shared" si="25"/>
        <v>3300</v>
      </c>
      <c r="I52" s="230">
        <f t="shared" si="25"/>
        <v>4000</v>
      </c>
      <c r="J52" s="230">
        <f t="shared" si="25"/>
        <v>4560.8</v>
      </c>
      <c r="K52" s="230">
        <f t="shared" si="2"/>
        <v>114.02000000000001</v>
      </c>
    </row>
    <row r="53" spans="1:11" s="328" customFormat="1" ht="31.5">
      <c r="A53" s="297" t="s">
        <v>70</v>
      </c>
      <c r="B53" s="162" t="s">
        <v>71</v>
      </c>
      <c r="C53" s="231">
        <v>3300</v>
      </c>
      <c r="D53" s="231">
        <v>2878.1</v>
      </c>
      <c r="E53" s="231">
        <v>3300</v>
      </c>
      <c r="F53" s="231">
        <v>3300</v>
      </c>
      <c r="G53" s="233">
        <v>3300</v>
      </c>
      <c r="H53" s="233">
        <v>3300</v>
      </c>
      <c r="I53" s="231">
        <v>4000</v>
      </c>
      <c r="J53" s="231">
        <f>4497.3+63.5</f>
        <v>4560.8</v>
      </c>
      <c r="K53" s="231">
        <f t="shared" si="2"/>
        <v>114.02000000000001</v>
      </c>
    </row>
    <row r="54" spans="1:11" s="328" customFormat="1" ht="18.75">
      <c r="A54" s="158" t="s">
        <v>72</v>
      </c>
      <c r="B54" s="164" t="s">
        <v>73</v>
      </c>
      <c r="C54" s="230">
        <f aca="true" t="shared" si="26" ref="C54:J54">SUM(C55)</f>
        <v>5112.999999999999</v>
      </c>
      <c r="D54" s="230">
        <f t="shared" si="26"/>
        <v>5343</v>
      </c>
      <c r="E54" s="230">
        <f t="shared" si="26"/>
        <v>2061</v>
      </c>
      <c r="F54" s="230">
        <f t="shared" si="26"/>
        <v>2023.1999999999998</v>
      </c>
      <c r="G54" s="230">
        <f t="shared" si="26"/>
        <v>2023.1999999999998</v>
      </c>
      <c r="H54" s="230">
        <f t="shared" si="26"/>
        <v>2023.1999999999998</v>
      </c>
      <c r="I54" s="230">
        <f t="shared" si="26"/>
        <v>2023.4</v>
      </c>
      <c r="J54" s="230">
        <f t="shared" si="26"/>
        <v>3754.3</v>
      </c>
      <c r="K54" s="230">
        <f t="shared" si="2"/>
        <v>185.5441336364535</v>
      </c>
    </row>
    <row r="55" spans="1:11" s="328" customFormat="1" ht="18.75">
      <c r="A55" s="158" t="s">
        <v>74</v>
      </c>
      <c r="B55" s="164" t="s">
        <v>75</v>
      </c>
      <c r="C55" s="230">
        <f aca="true" t="shared" si="27" ref="C55:H55">SUM(C56:C59)</f>
        <v>5112.999999999999</v>
      </c>
      <c r="D55" s="230">
        <f t="shared" si="27"/>
        <v>5343</v>
      </c>
      <c r="E55" s="230">
        <f t="shared" si="27"/>
        <v>2061</v>
      </c>
      <c r="F55" s="230">
        <f t="shared" si="27"/>
        <v>2023.1999999999998</v>
      </c>
      <c r="G55" s="230">
        <f t="shared" si="27"/>
        <v>2023.1999999999998</v>
      </c>
      <c r="H55" s="230">
        <f t="shared" si="27"/>
        <v>2023.1999999999998</v>
      </c>
      <c r="I55" s="230">
        <f>SUM(I56:I60)</f>
        <v>2023.4</v>
      </c>
      <c r="J55" s="230">
        <f aca="true" t="shared" si="28" ref="J55">SUM(J56:J60)</f>
        <v>3754.3</v>
      </c>
      <c r="K55" s="230">
        <f t="shared" si="2"/>
        <v>185.5441336364535</v>
      </c>
    </row>
    <row r="56" spans="1:11" s="328" customFormat="1" ht="31.5">
      <c r="A56" s="297" t="s">
        <v>76</v>
      </c>
      <c r="B56" s="160" t="s">
        <v>77</v>
      </c>
      <c r="C56" s="231">
        <v>386.3</v>
      </c>
      <c r="D56" s="231">
        <v>86.1</v>
      </c>
      <c r="E56" s="231">
        <v>129.1</v>
      </c>
      <c r="F56" s="231">
        <v>102.9</v>
      </c>
      <c r="G56" s="231">
        <v>102.9</v>
      </c>
      <c r="H56" s="231">
        <v>102.9</v>
      </c>
      <c r="I56" s="231">
        <v>425.2</v>
      </c>
      <c r="J56" s="231">
        <v>13.9</v>
      </c>
      <c r="K56" s="231">
        <f t="shared" si="2"/>
        <v>3.2690498588899346</v>
      </c>
    </row>
    <row r="57" spans="1:11" s="328" customFormat="1" ht="31.5" hidden="1">
      <c r="A57" s="297" t="s">
        <v>858</v>
      </c>
      <c r="B57" s="220" t="s">
        <v>859</v>
      </c>
      <c r="C57" s="231">
        <v>0</v>
      </c>
      <c r="D57" s="231">
        <v>0.5</v>
      </c>
      <c r="E57" s="231">
        <v>2.2</v>
      </c>
      <c r="F57" s="231">
        <v>0</v>
      </c>
      <c r="G57" s="231">
        <v>0</v>
      </c>
      <c r="H57" s="231">
        <v>0</v>
      </c>
      <c r="I57" s="231">
        <v>0</v>
      </c>
      <c r="J57" s="231"/>
      <c r="K57" s="231" t="e">
        <f t="shared" si="2"/>
        <v>#DIV/0!</v>
      </c>
    </row>
    <row r="58" spans="1:11" s="328" customFormat="1" ht="18.75">
      <c r="A58" s="297" t="s">
        <v>78</v>
      </c>
      <c r="B58" s="160" t="s">
        <v>79</v>
      </c>
      <c r="C58" s="231">
        <v>10.4</v>
      </c>
      <c r="D58" s="231">
        <v>55.6</v>
      </c>
      <c r="E58" s="231">
        <v>83.5</v>
      </c>
      <c r="F58" s="231">
        <v>0.2</v>
      </c>
      <c r="G58" s="231">
        <v>0.2</v>
      </c>
      <c r="H58" s="231">
        <v>0.2</v>
      </c>
      <c r="I58" s="231">
        <v>233.7</v>
      </c>
      <c r="J58" s="231">
        <v>35.8</v>
      </c>
      <c r="K58" s="231">
        <f t="shared" si="2"/>
        <v>15.318784766795035</v>
      </c>
    </row>
    <row r="59" spans="1:11" s="328" customFormat="1" ht="18.75">
      <c r="A59" s="297" t="s">
        <v>969</v>
      </c>
      <c r="B59" s="160" t="s">
        <v>970</v>
      </c>
      <c r="C59" s="231">
        <f>6725.4-2009.1</f>
        <v>4716.299999999999</v>
      </c>
      <c r="D59" s="231">
        <v>5200.8</v>
      </c>
      <c r="E59" s="231">
        <v>1846.2</v>
      </c>
      <c r="F59" s="231">
        <v>1920.1</v>
      </c>
      <c r="G59" s="231">
        <v>1920.1</v>
      </c>
      <c r="H59" s="231">
        <v>1920.1</v>
      </c>
      <c r="I59" s="231">
        <v>1329.9</v>
      </c>
      <c r="J59" s="231">
        <v>3706.3</v>
      </c>
      <c r="K59" s="231">
        <f t="shared" si="2"/>
        <v>278.69012707722385</v>
      </c>
    </row>
    <row r="60" spans="1:11" s="328" customFormat="1" ht="18.75">
      <c r="A60" s="297" t="s">
        <v>971</v>
      </c>
      <c r="B60" s="160" t="s">
        <v>972</v>
      </c>
      <c r="C60" s="231"/>
      <c r="D60" s="231"/>
      <c r="E60" s="231"/>
      <c r="F60" s="231"/>
      <c r="G60" s="231"/>
      <c r="H60" s="231"/>
      <c r="I60" s="231">
        <v>34.6</v>
      </c>
      <c r="J60" s="231">
        <v>-1.7</v>
      </c>
      <c r="K60" s="231">
        <f t="shared" si="2"/>
        <v>-4.913294797687861</v>
      </c>
    </row>
    <row r="61" spans="1:11" s="328" customFormat="1" ht="31.5">
      <c r="A61" s="158" t="s">
        <v>80</v>
      </c>
      <c r="B61" s="164" t="s">
        <v>81</v>
      </c>
      <c r="C61" s="230">
        <f>C63+C64</f>
        <v>320</v>
      </c>
      <c r="D61" s="230">
        <f aca="true" t="shared" si="29" ref="D61:I61">D63+D64</f>
        <v>2360.2</v>
      </c>
      <c r="E61" s="230">
        <f t="shared" si="29"/>
        <v>2412.9</v>
      </c>
      <c r="F61" s="230">
        <f t="shared" si="29"/>
        <v>320</v>
      </c>
      <c r="G61" s="230">
        <f t="shared" si="29"/>
        <v>340</v>
      </c>
      <c r="H61" s="230">
        <f t="shared" si="29"/>
        <v>360</v>
      </c>
      <c r="I61" s="230">
        <f t="shared" si="29"/>
        <v>707.4</v>
      </c>
      <c r="J61" s="230">
        <f aca="true" t="shared" si="30" ref="J61">J63+J64</f>
        <v>1152.6</v>
      </c>
      <c r="K61" s="230">
        <f t="shared" si="2"/>
        <v>162.93469041560644</v>
      </c>
    </row>
    <row r="62" spans="1:11" s="328" customFormat="1" ht="18.75">
      <c r="A62" s="158" t="s">
        <v>82</v>
      </c>
      <c r="B62" s="164" t="s">
        <v>83</v>
      </c>
      <c r="C62" s="230">
        <f>C63+C65</f>
        <v>320</v>
      </c>
      <c r="D62" s="230">
        <f>D63</f>
        <v>172.6</v>
      </c>
      <c r="E62" s="230">
        <f>E63+E65</f>
        <v>2412.9</v>
      </c>
      <c r="F62" s="230">
        <f>F63+F65</f>
        <v>320</v>
      </c>
      <c r="G62" s="230">
        <f>G63+G65</f>
        <v>340</v>
      </c>
      <c r="H62" s="230">
        <f>H63+H65</f>
        <v>360</v>
      </c>
      <c r="I62" s="230">
        <f>I63</f>
        <v>707.4</v>
      </c>
      <c r="J62" s="230">
        <f aca="true" t="shared" si="31" ref="J62">J63</f>
        <v>918.1</v>
      </c>
      <c r="K62" s="230">
        <f t="shared" si="2"/>
        <v>129.78512864009048</v>
      </c>
    </row>
    <row r="63" spans="1:11" s="328" customFormat="1" ht="31.5">
      <c r="A63" s="297" t="s">
        <v>84</v>
      </c>
      <c r="B63" s="160" t="s">
        <v>85</v>
      </c>
      <c r="C63" s="231">
        <v>320</v>
      </c>
      <c r="D63" s="231">
        <v>172.6</v>
      </c>
      <c r="E63" s="231">
        <v>212.9</v>
      </c>
      <c r="F63" s="231">
        <v>320</v>
      </c>
      <c r="G63" s="233">
        <v>340</v>
      </c>
      <c r="H63" s="233">
        <v>360</v>
      </c>
      <c r="I63" s="231">
        <f>300+407.4</f>
        <v>707.4</v>
      </c>
      <c r="J63" s="231">
        <v>918.1</v>
      </c>
      <c r="K63" s="231">
        <f t="shared" si="2"/>
        <v>129.78512864009048</v>
      </c>
    </row>
    <row r="64" spans="1:11" s="328" customFormat="1" ht="18.75">
      <c r="A64" s="276" t="s">
        <v>874</v>
      </c>
      <c r="B64" s="227" t="s">
        <v>875</v>
      </c>
      <c r="C64" s="230">
        <f>C65</f>
        <v>0</v>
      </c>
      <c r="D64" s="230">
        <f aca="true" t="shared" si="32" ref="D64:J64">SUM(D65)</f>
        <v>2187.6</v>
      </c>
      <c r="E64" s="230">
        <f t="shared" si="32"/>
        <v>2200</v>
      </c>
      <c r="F64" s="230">
        <f t="shared" si="32"/>
        <v>0</v>
      </c>
      <c r="G64" s="230">
        <f t="shared" si="32"/>
        <v>0</v>
      </c>
      <c r="H64" s="230">
        <f t="shared" si="32"/>
        <v>0</v>
      </c>
      <c r="I64" s="230">
        <f t="shared" si="32"/>
        <v>0</v>
      </c>
      <c r="J64" s="230">
        <f t="shared" si="32"/>
        <v>234.5</v>
      </c>
      <c r="K64" s="230">
        <v>0</v>
      </c>
    </row>
    <row r="65" spans="1:11" s="328" customFormat="1" ht="18.75">
      <c r="A65" s="221" t="s">
        <v>861</v>
      </c>
      <c r="B65" s="47" t="s">
        <v>860</v>
      </c>
      <c r="C65" s="231">
        <v>0</v>
      </c>
      <c r="D65" s="231">
        <v>2187.6</v>
      </c>
      <c r="E65" s="231">
        <v>2200</v>
      </c>
      <c r="F65" s="231">
        <v>0</v>
      </c>
      <c r="G65" s="234">
        <v>0</v>
      </c>
      <c r="H65" s="234">
        <v>0</v>
      </c>
      <c r="I65" s="231">
        <v>0</v>
      </c>
      <c r="J65" s="231">
        <v>234.5</v>
      </c>
      <c r="K65" s="230">
        <v>0</v>
      </c>
    </row>
    <row r="66" spans="1:11" s="328" customFormat="1" ht="31.5">
      <c r="A66" s="158" t="s">
        <v>86</v>
      </c>
      <c r="B66" s="164" t="s">
        <v>87</v>
      </c>
      <c r="C66" s="230">
        <f aca="true" t="shared" si="33" ref="C66:I66">SUM(C67+C69)</f>
        <v>650</v>
      </c>
      <c r="D66" s="230">
        <f t="shared" si="33"/>
        <v>145.6</v>
      </c>
      <c r="E66" s="230">
        <f t="shared" si="33"/>
        <v>754.5</v>
      </c>
      <c r="F66" s="230">
        <f t="shared" si="33"/>
        <v>250</v>
      </c>
      <c r="G66" s="230">
        <f t="shared" si="33"/>
        <v>250</v>
      </c>
      <c r="H66" s="230">
        <f t="shared" si="33"/>
        <v>250</v>
      </c>
      <c r="I66" s="230">
        <f t="shared" si="33"/>
        <v>236</v>
      </c>
      <c r="J66" s="230">
        <f aca="true" t="shared" si="34" ref="J66">SUM(J67+J69)</f>
        <v>30.6</v>
      </c>
      <c r="K66" s="230">
        <f t="shared" si="2"/>
        <v>12.966101694915256</v>
      </c>
    </row>
    <row r="67" spans="1:11" s="328" customFormat="1" ht="78.75">
      <c r="A67" s="158" t="s">
        <v>88</v>
      </c>
      <c r="B67" s="164" t="s">
        <v>89</v>
      </c>
      <c r="C67" s="230">
        <f aca="true" t="shared" si="35" ref="C67:J67">C68</f>
        <v>500</v>
      </c>
      <c r="D67" s="230">
        <f t="shared" si="35"/>
        <v>141.1</v>
      </c>
      <c r="E67" s="230">
        <f t="shared" si="35"/>
        <v>750</v>
      </c>
      <c r="F67" s="230">
        <f t="shared" si="35"/>
        <v>235</v>
      </c>
      <c r="G67" s="230">
        <f t="shared" si="35"/>
        <v>235</v>
      </c>
      <c r="H67" s="230">
        <f t="shared" si="35"/>
        <v>235</v>
      </c>
      <c r="I67" s="230">
        <f t="shared" si="35"/>
        <v>235</v>
      </c>
      <c r="J67" s="230">
        <f t="shared" si="35"/>
        <v>20</v>
      </c>
      <c r="K67" s="230">
        <f t="shared" si="2"/>
        <v>8.51063829787234</v>
      </c>
    </row>
    <row r="68" spans="1:11" s="328" customFormat="1" ht="78.75">
      <c r="A68" s="297" t="s">
        <v>90</v>
      </c>
      <c r="B68" s="160" t="s">
        <v>759</v>
      </c>
      <c r="C68" s="231">
        <v>500</v>
      </c>
      <c r="D68" s="231">
        <v>141.1</v>
      </c>
      <c r="E68" s="231">
        <v>750</v>
      </c>
      <c r="F68" s="231">
        <v>235</v>
      </c>
      <c r="G68" s="233">
        <v>235</v>
      </c>
      <c r="H68" s="233">
        <v>235</v>
      </c>
      <c r="I68" s="231">
        <v>235</v>
      </c>
      <c r="J68" s="231">
        <v>20</v>
      </c>
      <c r="K68" s="231">
        <f t="shared" si="2"/>
        <v>8.51063829787234</v>
      </c>
    </row>
    <row r="69" spans="1:11" s="328" customFormat="1" ht="31.5">
      <c r="A69" s="158" t="s">
        <v>91</v>
      </c>
      <c r="B69" s="164" t="s">
        <v>92</v>
      </c>
      <c r="C69" s="230">
        <f aca="true" t="shared" si="36" ref="C69:J69">SUM(C70)</f>
        <v>150</v>
      </c>
      <c r="D69" s="230">
        <f t="shared" si="36"/>
        <v>4.5</v>
      </c>
      <c r="E69" s="230">
        <f t="shared" si="36"/>
        <v>4.5</v>
      </c>
      <c r="F69" s="230">
        <f t="shared" si="36"/>
        <v>15</v>
      </c>
      <c r="G69" s="230">
        <f t="shared" si="36"/>
        <v>15</v>
      </c>
      <c r="H69" s="230">
        <f t="shared" si="36"/>
        <v>15</v>
      </c>
      <c r="I69" s="230">
        <f t="shared" si="36"/>
        <v>1</v>
      </c>
      <c r="J69" s="230">
        <f t="shared" si="36"/>
        <v>10.6</v>
      </c>
      <c r="K69" s="230">
        <f t="shared" si="2"/>
        <v>1060</v>
      </c>
    </row>
    <row r="70" spans="1:11" s="328" customFormat="1" ht="47.25">
      <c r="A70" s="297" t="s">
        <v>93</v>
      </c>
      <c r="B70" s="160" t="s">
        <v>94</v>
      </c>
      <c r="C70" s="231">
        <v>150</v>
      </c>
      <c r="D70" s="231">
        <v>4.5</v>
      </c>
      <c r="E70" s="231">
        <v>4.5</v>
      </c>
      <c r="F70" s="231">
        <v>15</v>
      </c>
      <c r="G70" s="233">
        <v>15</v>
      </c>
      <c r="H70" s="233">
        <v>15</v>
      </c>
      <c r="I70" s="231">
        <v>1</v>
      </c>
      <c r="J70" s="231">
        <v>10.6</v>
      </c>
      <c r="K70" s="231">
        <f t="shared" si="2"/>
        <v>1060</v>
      </c>
    </row>
    <row r="71" spans="1:11" s="328" customFormat="1" ht="18.75">
      <c r="A71" s="158" t="s">
        <v>95</v>
      </c>
      <c r="B71" s="164" t="s">
        <v>96</v>
      </c>
      <c r="C71" s="230">
        <f>C72+C77+C87+C85+C83+C75+C80</f>
        <v>2875.5</v>
      </c>
      <c r="D71" s="230">
        <f>D72+D77+D80+D87+D85+D83+D81+D75+D76</f>
        <v>1693.8000000000002</v>
      </c>
      <c r="E71" s="230">
        <f>E72+E77+E87+E85+E83+E75+E80</f>
        <v>3190.1</v>
      </c>
      <c r="F71" s="230">
        <f>F72+F77+F80+F87+F85+F83+F75+F81</f>
        <v>1993</v>
      </c>
      <c r="G71" s="230">
        <f>G72+G77+G80+G87+G85+G83+G75+G81</f>
        <v>2053</v>
      </c>
      <c r="H71" s="230">
        <f>H72+H77+H80+H87+H85+H83+H75+H81</f>
        <v>2058</v>
      </c>
      <c r="I71" s="230">
        <f>I72+I77+I80+I87+I85+I83+I75+I81</f>
        <v>1137</v>
      </c>
      <c r="J71" s="230">
        <f aca="true" t="shared" si="37" ref="J71">J72+J77+J80+J87+J85+J83+J75+J81</f>
        <v>2003.8</v>
      </c>
      <c r="K71" s="230">
        <f t="shared" si="2"/>
        <v>176.23570800351803</v>
      </c>
    </row>
    <row r="72" spans="1:11" s="328" customFormat="1" ht="31.5">
      <c r="A72" s="158" t="s">
        <v>97</v>
      </c>
      <c r="B72" s="164" t="s">
        <v>98</v>
      </c>
      <c r="C72" s="230">
        <f aca="true" t="shared" si="38" ref="C72:I72">C73+C74</f>
        <v>28</v>
      </c>
      <c r="D72" s="230">
        <f t="shared" si="38"/>
        <v>62.8</v>
      </c>
      <c r="E72" s="230">
        <f t="shared" si="38"/>
        <v>65.39999999999999</v>
      </c>
      <c r="F72" s="230">
        <f t="shared" si="38"/>
        <v>27.5</v>
      </c>
      <c r="G72" s="230">
        <f t="shared" si="38"/>
        <v>27.5</v>
      </c>
      <c r="H72" s="230">
        <f t="shared" si="38"/>
        <v>27.5</v>
      </c>
      <c r="I72" s="230">
        <f t="shared" si="38"/>
        <v>25.9</v>
      </c>
      <c r="J72" s="230">
        <f aca="true" t="shared" si="39" ref="J72">J73+J74</f>
        <v>13.899999999999999</v>
      </c>
      <c r="K72" s="230">
        <f t="shared" si="2"/>
        <v>53.66795366795366</v>
      </c>
    </row>
    <row r="73" spans="1:11" s="328" customFormat="1" ht="63">
      <c r="A73" s="297" t="s">
        <v>99</v>
      </c>
      <c r="B73" s="160" t="s">
        <v>100</v>
      </c>
      <c r="C73" s="231">
        <v>24.4</v>
      </c>
      <c r="D73" s="231">
        <v>61.8</v>
      </c>
      <c r="E73" s="231">
        <v>61.8</v>
      </c>
      <c r="F73" s="231">
        <v>25.2</v>
      </c>
      <c r="G73" s="233">
        <v>25.2</v>
      </c>
      <c r="H73" s="233">
        <v>25.2</v>
      </c>
      <c r="I73" s="231">
        <v>23.7</v>
      </c>
      <c r="J73" s="231">
        <v>11.2</v>
      </c>
      <c r="K73" s="231">
        <f t="shared" si="2"/>
        <v>47.257383966244724</v>
      </c>
    </row>
    <row r="74" spans="1:11" s="328" customFormat="1" ht="47.25">
      <c r="A74" s="297" t="s">
        <v>101</v>
      </c>
      <c r="B74" s="160" t="s">
        <v>760</v>
      </c>
      <c r="C74" s="231">
        <v>3.6</v>
      </c>
      <c r="D74" s="231">
        <v>1</v>
      </c>
      <c r="E74" s="231">
        <v>3.6</v>
      </c>
      <c r="F74" s="231">
        <v>2.3</v>
      </c>
      <c r="G74" s="233">
        <v>2.3</v>
      </c>
      <c r="H74" s="233">
        <v>2.3</v>
      </c>
      <c r="I74" s="231">
        <v>2.2</v>
      </c>
      <c r="J74" s="231">
        <v>2.7</v>
      </c>
      <c r="K74" s="231">
        <f t="shared" si="2"/>
        <v>122.72727272727273</v>
      </c>
    </row>
    <row r="75" spans="1:11" s="328" customFormat="1" ht="63">
      <c r="A75" s="276" t="s">
        <v>878</v>
      </c>
      <c r="B75" s="227" t="s">
        <v>879</v>
      </c>
      <c r="C75" s="235">
        <f>C76</f>
        <v>0</v>
      </c>
      <c r="D75" s="230">
        <v>50</v>
      </c>
      <c r="E75" s="235">
        <v>50</v>
      </c>
      <c r="F75" s="230">
        <v>127.5</v>
      </c>
      <c r="G75" s="230">
        <v>127.5</v>
      </c>
      <c r="H75" s="230">
        <v>127.5</v>
      </c>
      <c r="I75" s="230">
        <v>120.1</v>
      </c>
      <c r="J75" s="230">
        <v>0</v>
      </c>
      <c r="K75" s="230">
        <f t="shared" si="2"/>
        <v>0</v>
      </c>
    </row>
    <row r="76" spans="1:11" s="328" customFormat="1" ht="47.25" hidden="1">
      <c r="A76" s="276" t="s">
        <v>876</v>
      </c>
      <c r="B76" s="227" t="s">
        <v>877</v>
      </c>
      <c r="C76" s="235">
        <v>0</v>
      </c>
      <c r="D76" s="230">
        <v>358.7</v>
      </c>
      <c r="E76" s="235">
        <v>358.7</v>
      </c>
      <c r="F76" s="230">
        <v>0</v>
      </c>
      <c r="G76" s="235">
        <v>0</v>
      </c>
      <c r="H76" s="235">
        <v>0</v>
      </c>
      <c r="I76" s="230">
        <v>0</v>
      </c>
      <c r="J76" s="230">
        <v>0</v>
      </c>
      <c r="K76" s="230" t="e">
        <f t="shared" si="2"/>
        <v>#DIV/0!</v>
      </c>
    </row>
    <row r="77" spans="1:11" s="328" customFormat="1" ht="94.5">
      <c r="A77" s="158" t="s">
        <v>102</v>
      </c>
      <c r="B77" s="164" t="s">
        <v>103</v>
      </c>
      <c r="C77" s="230">
        <f aca="true" t="shared" si="40" ref="C77:I77">C78+C79</f>
        <v>80</v>
      </c>
      <c r="D77" s="230">
        <f t="shared" si="40"/>
        <v>5</v>
      </c>
      <c r="E77" s="230">
        <f t="shared" si="40"/>
        <v>80</v>
      </c>
      <c r="F77" s="230">
        <f t="shared" si="40"/>
        <v>45</v>
      </c>
      <c r="G77" s="230">
        <f t="shared" si="40"/>
        <v>55</v>
      </c>
      <c r="H77" s="230">
        <f t="shared" si="40"/>
        <v>60</v>
      </c>
      <c r="I77" s="230">
        <f t="shared" si="40"/>
        <v>50</v>
      </c>
      <c r="J77" s="230">
        <f aca="true" t="shared" si="41" ref="J77">J78+J79</f>
        <v>45</v>
      </c>
      <c r="K77" s="230">
        <f t="shared" si="2"/>
        <v>90</v>
      </c>
    </row>
    <row r="78" spans="1:11" s="328" customFormat="1" ht="31.5">
      <c r="A78" s="297" t="s">
        <v>104</v>
      </c>
      <c r="B78" s="160" t="s">
        <v>105</v>
      </c>
      <c r="C78" s="231">
        <v>50</v>
      </c>
      <c r="D78" s="231">
        <v>0</v>
      </c>
      <c r="E78" s="231">
        <v>50</v>
      </c>
      <c r="F78" s="231">
        <v>10</v>
      </c>
      <c r="G78" s="233">
        <v>15</v>
      </c>
      <c r="H78" s="233">
        <v>10</v>
      </c>
      <c r="I78" s="231">
        <v>10</v>
      </c>
      <c r="J78" s="231">
        <v>0</v>
      </c>
      <c r="K78" s="231">
        <f t="shared" si="2"/>
        <v>0</v>
      </c>
    </row>
    <row r="79" spans="1:11" s="328" customFormat="1" ht="18.75">
      <c r="A79" s="297" t="s">
        <v>106</v>
      </c>
      <c r="B79" s="160" t="s">
        <v>107</v>
      </c>
      <c r="C79" s="231">
        <v>30</v>
      </c>
      <c r="D79" s="231">
        <v>5</v>
      </c>
      <c r="E79" s="231">
        <v>30</v>
      </c>
      <c r="F79" s="231">
        <v>35</v>
      </c>
      <c r="G79" s="233">
        <v>40</v>
      </c>
      <c r="H79" s="233">
        <v>50</v>
      </c>
      <c r="I79" s="231">
        <v>40</v>
      </c>
      <c r="J79" s="231">
        <v>45</v>
      </c>
      <c r="K79" s="231">
        <f aca="true" t="shared" si="42" ref="K79:K143">J79/I79*100</f>
        <v>112.5</v>
      </c>
    </row>
    <row r="80" spans="1:11" s="328" customFormat="1" ht="47.25">
      <c r="A80" s="158" t="s">
        <v>108</v>
      </c>
      <c r="B80" s="164" t="s">
        <v>109</v>
      </c>
      <c r="C80" s="335">
        <v>2000</v>
      </c>
      <c r="D80" s="230">
        <v>484.8</v>
      </c>
      <c r="E80" s="335">
        <v>2000</v>
      </c>
      <c r="F80" s="230">
        <v>1200</v>
      </c>
      <c r="G80" s="230">
        <v>1200</v>
      </c>
      <c r="H80" s="230">
        <v>1200</v>
      </c>
      <c r="I80" s="230">
        <v>600</v>
      </c>
      <c r="J80" s="230">
        <v>61.2</v>
      </c>
      <c r="K80" s="230">
        <f t="shared" si="42"/>
        <v>10.200000000000001</v>
      </c>
    </row>
    <row r="81" spans="1:11" s="328" customFormat="1" ht="63">
      <c r="A81" s="9" t="s">
        <v>880</v>
      </c>
      <c r="B81" s="227" t="s">
        <v>881</v>
      </c>
      <c r="C81" s="335">
        <f>C82</f>
        <v>0</v>
      </c>
      <c r="D81" s="230">
        <f>SUM(D82)</f>
        <v>15</v>
      </c>
      <c r="E81" s="335">
        <f>E82</f>
        <v>15</v>
      </c>
      <c r="F81" s="230">
        <f>F82</f>
        <v>50</v>
      </c>
      <c r="G81" s="230">
        <f>G82</f>
        <v>50</v>
      </c>
      <c r="H81" s="230">
        <f>H82</f>
        <v>50</v>
      </c>
      <c r="I81" s="230">
        <f>I82</f>
        <v>0</v>
      </c>
      <c r="J81" s="230">
        <f aca="true" t="shared" si="43" ref="J81">J82</f>
        <v>1311.8</v>
      </c>
      <c r="K81" s="230">
        <v>0</v>
      </c>
    </row>
    <row r="82" spans="1:11" s="328" customFormat="1" ht="63">
      <c r="A82" s="10" t="s">
        <v>882</v>
      </c>
      <c r="B82" s="220" t="s">
        <v>883</v>
      </c>
      <c r="C82" s="336">
        <v>0</v>
      </c>
      <c r="D82" s="231">
        <v>15</v>
      </c>
      <c r="E82" s="336">
        <v>15</v>
      </c>
      <c r="F82" s="231">
        <v>50</v>
      </c>
      <c r="G82" s="236">
        <v>50</v>
      </c>
      <c r="H82" s="236">
        <v>50</v>
      </c>
      <c r="I82" s="231">
        <v>0</v>
      </c>
      <c r="J82" s="231">
        <v>1311.8</v>
      </c>
      <c r="K82" s="231">
        <v>0</v>
      </c>
    </row>
    <row r="83" spans="1:11" ht="31.5">
      <c r="A83" s="158" t="s">
        <v>110</v>
      </c>
      <c r="B83" s="164" t="s">
        <v>111</v>
      </c>
      <c r="C83" s="230">
        <f aca="true" t="shared" si="44" ref="C83:J83">C84</f>
        <v>5</v>
      </c>
      <c r="D83" s="230">
        <f t="shared" si="44"/>
        <v>232.2</v>
      </c>
      <c r="E83" s="230">
        <f t="shared" si="44"/>
        <v>232.2</v>
      </c>
      <c r="F83" s="230">
        <f t="shared" si="44"/>
        <v>5</v>
      </c>
      <c r="G83" s="230">
        <f t="shared" si="44"/>
        <v>5</v>
      </c>
      <c r="H83" s="230">
        <f t="shared" si="44"/>
        <v>5</v>
      </c>
      <c r="I83" s="230">
        <f t="shared" si="44"/>
        <v>5</v>
      </c>
      <c r="J83" s="230">
        <f t="shared" si="44"/>
        <v>0</v>
      </c>
      <c r="K83" s="230">
        <f t="shared" si="42"/>
        <v>0</v>
      </c>
    </row>
    <row r="84" spans="1:11" ht="31.5">
      <c r="A84" s="274" t="s">
        <v>112</v>
      </c>
      <c r="B84" s="160" t="s">
        <v>113</v>
      </c>
      <c r="C84" s="231">
        <v>5</v>
      </c>
      <c r="D84" s="231">
        <v>232.2</v>
      </c>
      <c r="E84" s="231">
        <v>232.2</v>
      </c>
      <c r="F84" s="231">
        <v>5</v>
      </c>
      <c r="G84" s="233">
        <v>5</v>
      </c>
      <c r="H84" s="233">
        <v>5</v>
      </c>
      <c r="I84" s="231">
        <v>5</v>
      </c>
      <c r="J84" s="231">
        <v>0</v>
      </c>
      <c r="K84" s="231">
        <f t="shared" si="42"/>
        <v>0</v>
      </c>
    </row>
    <row r="85" spans="1:11" ht="63">
      <c r="A85" s="158" t="s">
        <v>114</v>
      </c>
      <c r="B85" s="164" t="s">
        <v>115</v>
      </c>
      <c r="C85" s="230">
        <v>215</v>
      </c>
      <c r="D85" s="230">
        <v>14</v>
      </c>
      <c r="E85" s="230">
        <v>215</v>
      </c>
      <c r="F85" s="230">
        <v>207</v>
      </c>
      <c r="G85" s="230">
        <v>207</v>
      </c>
      <c r="H85" s="230">
        <v>207</v>
      </c>
      <c r="I85" s="230">
        <v>23</v>
      </c>
      <c r="J85" s="230">
        <v>49.5</v>
      </c>
      <c r="K85" s="230">
        <f t="shared" si="42"/>
        <v>215.2173913043478</v>
      </c>
    </row>
    <row r="86" spans="1:11" ht="31.5">
      <c r="A86" s="158" t="s">
        <v>116</v>
      </c>
      <c r="B86" s="164" t="s">
        <v>117</v>
      </c>
      <c r="C86" s="230">
        <f aca="true" t="shared" si="45" ref="C86:J86">C87</f>
        <v>547.5</v>
      </c>
      <c r="D86" s="230">
        <f t="shared" si="45"/>
        <v>471.3</v>
      </c>
      <c r="E86" s="230">
        <f t="shared" si="45"/>
        <v>547.5</v>
      </c>
      <c r="F86" s="230">
        <f t="shared" si="45"/>
        <v>331</v>
      </c>
      <c r="G86" s="230">
        <f t="shared" si="45"/>
        <v>381</v>
      </c>
      <c r="H86" s="230">
        <f t="shared" si="45"/>
        <v>381</v>
      </c>
      <c r="I86" s="230">
        <f t="shared" si="45"/>
        <v>313</v>
      </c>
      <c r="J86" s="230">
        <f t="shared" si="45"/>
        <v>522.4</v>
      </c>
      <c r="K86" s="230">
        <f t="shared" si="42"/>
        <v>166.9009584664537</v>
      </c>
    </row>
    <row r="87" spans="1:11" ht="31.5">
      <c r="A87" s="274" t="s">
        <v>118</v>
      </c>
      <c r="B87" s="160" t="s">
        <v>119</v>
      </c>
      <c r="C87" s="231">
        <v>547.5</v>
      </c>
      <c r="D87" s="231">
        <v>471.3</v>
      </c>
      <c r="E87" s="231">
        <v>547.5</v>
      </c>
      <c r="F87" s="231">
        <v>331</v>
      </c>
      <c r="G87" s="233">
        <v>381</v>
      </c>
      <c r="H87" s="233">
        <v>381</v>
      </c>
      <c r="I87" s="231">
        <v>313</v>
      </c>
      <c r="J87" s="231">
        <v>522.4</v>
      </c>
      <c r="K87" s="231">
        <f t="shared" si="42"/>
        <v>166.9009584664537</v>
      </c>
    </row>
    <row r="88" spans="1:11" ht="18.75">
      <c r="A88" s="3" t="s">
        <v>884</v>
      </c>
      <c r="B88" s="227" t="s">
        <v>885</v>
      </c>
      <c r="C88" s="231">
        <v>0</v>
      </c>
      <c r="D88" s="230">
        <f aca="true" t="shared" si="46" ref="D88:H88">SUM(D91+D89)</f>
        <v>726.764</v>
      </c>
      <c r="E88" s="230">
        <f t="shared" si="46"/>
        <v>359.4</v>
      </c>
      <c r="F88" s="230">
        <f t="shared" si="46"/>
        <v>0</v>
      </c>
      <c r="G88" s="230">
        <f t="shared" si="46"/>
        <v>0</v>
      </c>
      <c r="H88" s="230">
        <f t="shared" si="46"/>
        <v>0</v>
      </c>
      <c r="I88" s="230">
        <f>SUM(I91+I89)</f>
        <v>500</v>
      </c>
      <c r="J88" s="230">
        <f aca="true" t="shared" si="47" ref="J88">SUM(J91+J89)</f>
        <v>1928.6</v>
      </c>
      <c r="K88" s="230">
        <f t="shared" si="42"/>
        <v>385.71999999999997</v>
      </c>
    </row>
    <row r="89" spans="1:11" ht="18.75">
      <c r="A89" s="2" t="s">
        <v>886</v>
      </c>
      <c r="B89" s="227" t="s">
        <v>887</v>
      </c>
      <c r="C89" s="231">
        <v>0</v>
      </c>
      <c r="D89" s="230">
        <f aca="true" t="shared" si="48" ref="D89:J89">SUM(D90)</f>
        <v>367.375</v>
      </c>
      <c r="E89" s="230">
        <f t="shared" si="48"/>
        <v>0</v>
      </c>
      <c r="F89" s="230">
        <f t="shared" si="48"/>
        <v>0</v>
      </c>
      <c r="G89" s="230">
        <f t="shared" si="48"/>
        <v>0</v>
      </c>
      <c r="H89" s="230">
        <f t="shared" si="48"/>
        <v>0</v>
      </c>
      <c r="I89" s="230">
        <f t="shared" si="48"/>
        <v>0</v>
      </c>
      <c r="J89" s="230">
        <f t="shared" si="48"/>
        <v>716.3</v>
      </c>
      <c r="K89" s="230">
        <v>0</v>
      </c>
    </row>
    <row r="90" spans="1:11" ht="18.75">
      <c r="A90" s="2" t="s">
        <v>888</v>
      </c>
      <c r="B90" s="220" t="s">
        <v>889</v>
      </c>
      <c r="C90" s="231">
        <v>0</v>
      </c>
      <c r="D90" s="231">
        <v>367.375</v>
      </c>
      <c r="E90" s="231">
        <v>0</v>
      </c>
      <c r="F90" s="231">
        <v>0</v>
      </c>
      <c r="G90" s="233">
        <v>0</v>
      </c>
      <c r="H90" s="233">
        <v>0</v>
      </c>
      <c r="I90" s="231">
        <v>0</v>
      </c>
      <c r="J90" s="231">
        <v>716.3</v>
      </c>
      <c r="K90" s="230">
        <v>0</v>
      </c>
    </row>
    <row r="91" spans="1:11" ht="18.75">
      <c r="A91" s="3" t="s">
        <v>890</v>
      </c>
      <c r="B91" s="227" t="s">
        <v>891</v>
      </c>
      <c r="C91" s="231">
        <v>0</v>
      </c>
      <c r="D91" s="230">
        <f aca="true" t="shared" si="49" ref="D91:J91">SUM(D92)</f>
        <v>359.389</v>
      </c>
      <c r="E91" s="230">
        <f t="shared" si="49"/>
        <v>359.4</v>
      </c>
      <c r="F91" s="230">
        <f t="shared" si="49"/>
        <v>0</v>
      </c>
      <c r="G91" s="230">
        <f t="shared" si="49"/>
        <v>0</v>
      </c>
      <c r="H91" s="230">
        <f t="shared" si="49"/>
        <v>0</v>
      </c>
      <c r="I91" s="230">
        <f t="shared" si="49"/>
        <v>500</v>
      </c>
      <c r="J91" s="230">
        <f t="shared" si="49"/>
        <v>1212.3</v>
      </c>
      <c r="K91" s="230">
        <f t="shared" si="42"/>
        <v>242.45999999999998</v>
      </c>
    </row>
    <row r="92" spans="1:11" ht="18.75">
      <c r="A92" s="2" t="s">
        <v>892</v>
      </c>
      <c r="B92" s="220" t="s">
        <v>893</v>
      </c>
      <c r="C92" s="231">
        <v>0</v>
      </c>
      <c r="D92" s="231">
        <v>359.389</v>
      </c>
      <c r="E92" s="231">
        <v>359.4</v>
      </c>
      <c r="F92" s="231">
        <v>0</v>
      </c>
      <c r="G92" s="233">
        <v>0</v>
      </c>
      <c r="H92" s="233">
        <v>0</v>
      </c>
      <c r="I92" s="231">
        <v>500</v>
      </c>
      <c r="J92" s="231">
        <v>1212.3</v>
      </c>
      <c r="K92" s="231">
        <f t="shared" si="42"/>
        <v>242.45999999999998</v>
      </c>
    </row>
    <row r="93" spans="1:11" s="328" customFormat="1" ht="18.75">
      <c r="A93" s="3" t="s">
        <v>1098</v>
      </c>
      <c r="B93" s="220"/>
      <c r="C93" s="231"/>
      <c r="D93" s="231"/>
      <c r="E93" s="231"/>
      <c r="F93" s="231"/>
      <c r="G93" s="233"/>
      <c r="H93" s="233"/>
      <c r="I93" s="231">
        <v>0</v>
      </c>
      <c r="J93" s="230">
        <v>-554.7</v>
      </c>
      <c r="K93" s="231">
        <v>0</v>
      </c>
    </row>
    <row r="94" spans="1:16" ht="18.75">
      <c r="A94" s="158" t="s">
        <v>120</v>
      </c>
      <c r="B94" s="159" t="s">
        <v>121</v>
      </c>
      <c r="C94" s="230" t="e">
        <f>C95</f>
        <v>#REF!</v>
      </c>
      <c r="D94" s="230" t="e">
        <f>D95+D155</f>
        <v>#REF!</v>
      </c>
      <c r="E94" s="230" t="e">
        <f>E95</f>
        <v>#REF!</v>
      </c>
      <c r="F94" s="230" t="e">
        <f>F95</f>
        <v>#REF!</v>
      </c>
      <c r="G94" s="230" t="e">
        <f>G95</f>
        <v>#REF!</v>
      </c>
      <c r="H94" s="230" t="e">
        <f>H95</f>
        <v>#REF!</v>
      </c>
      <c r="I94" s="230">
        <f>SUM(I95+I155)</f>
        <v>420760.64999999997</v>
      </c>
      <c r="J94" s="230">
        <f>SUM(J95+J155+J163)</f>
        <v>354117.9</v>
      </c>
      <c r="K94" s="230">
        <f t="shared" si="42"/>
        <v>84.16136347350924</v>
      </c>
      <c r="L94" s="136"/>
      <c r="N94" s="267"/>
      <c r="P94" s="136"/>
    </row>
    <row r="95" spans="1:15" ht="31.5">
      <c r="A95" s="158" t="s">
        <v>122</v>
      </c>
      <c r="B95" s="159" t="s">
        <v>123</v>
      </c>
      <c r="C95" s="230" t="e">
        <f aca="true" t="shared" si="50" ref="C95:H95">C96+C101+C128+C150</f>
        <v>#REF!</v>
      </c>
      <c r="D95" s="230" t="e">
        <f t="shared" si="50"/>
        <v>#REF!</v>
      </c>
      <c r="E95" s="230" t="e">
        <f t="shared" si="50"/>
        <v>#REF!</v>
      </c>
      <c r="F95" s="230" t="e">
        <f t="shared" si="50"/>
        <v>#REF!</v>
      </c>
      <c r="G95" s="230" t="e">
        <f t="shared" si="50"/>
        <v>#REF!</v>
      </c>
      <c r="H95" s="230" t="e">
        <f t="shared" si="50"/>
        <v>#REF!</v>
      </c>
      <c r="I95" s="230">
        <f>SUM(I96+I101+I128+I150)</f>
        <v>345047.31999999995</v>
      </c>
      <c r="J95" s="230">
        <f>SUM(J96+J101+J128+J150)</f>
        <v>286641</v>
      </c>
      <c r="K95" s="230">
        <f t="shared" si="42"/>
        <v>83.07295358793108</v>
      </c>
      <c r="N95" s="267"/>
      <c r="O95" s="136"/>
    </row>
    <row r="96" spans="1:11" ht="18.75">
      <c r="A96" s="158" t="s">
        <v>1020</v>
      </c>
      <c r="B96" s="165" t="s">
        <v>124</v>
      </c>
      <c r="C96" s="230">
        <f aca="true" t="shared" si="51" ref="C96:H96">C97</f>
        <v>105360</v>
      </c>
      <c r="D96" s="230">
        <f t="shared" si="51"/>
        <v>79011</v>
      </c>
      <c r="E96" s="230">
        <f t="shared" si="51"/>
        <v>105360</v>
      </c>
      <c r="F96" s="230">
        <f t="shared" si="51"/>
        <v>115839.7</v>
      </c>
      <c r="G96" s="230">
        <f t="shared" si="51"/>
        <v>105360</v>
      </c>
      <c r="H96" s="230">
        <f t="shared" si="51"/>
        <v>105360</v>
      </c>
      <c r="I96" s="230">
        <f>I97+I100</f>
        <v>135023</v>
      </c>
      <c r="J96" s="230">
        <f aca="true" t="shared" si="52" ref="J96">J97+J100</f>
        <v>115192</v>
      </c>
      <c r="K96" s="230">
        <f t="shared" si="42"/>
        <v>85.31287262170149</v>
      </c>
    </row>
    <row r="97" spans="1:12" ht="31.5">
      <c r="A97" s="158" t="s">
        <v>1019</v>
      </c>
      <c r="B97" s="159" t="s">
        <v>125</v>
      </c>
      <c r="C97" s="230">
        <f aca="true" t="shared" si="53" ref="C97:I97">SUM(C98+C99)</f>
        <v>105360</v>
      </c>
      <c r="D97" s="230">
        <f t="shared" si="53"/>
        <v>79011</v>
      </c>
      <c r="E97" s="230">
        <f t="shared" si="53"/>
        <v>105360</v>
      </c>
      <c r="F97" s="230">
        <f t="shared" si="53"/>
        <v>115839.7</v>
      </c>
      <c r="G97" s="230">
        <f t="shared" si="53"/>
        <v>105360</v>
      </c>
      <c r="H97" s="230">
        <f t="shared" si="53"/>
        <v>105360</v>
      </c>
      <c r="I97" s="230">
        <f t="shared" si="53"/>
        <v>135023</v>
      </c>
      <c r="J97" s="230">
        <f aca="true" t="shared" si="54" ref="J97">SUM(J98+J99)</f>
        <v>90192</v>
      </c>
      <c r="K97" s="230">
        <f t="shared" si="42"/>
        <v>66.79750857261355</v>
      </c>
      <c r="L97" s="136"/>
    </row>
    <row r="98" spans="1:11" ht="94.5">
      <c r="A98" s="153" t="s">
        <v>1019</v>
      </c>
      <c r="B98" s="162" t="s">
        <v>126</v>
      </c>
      <c r="C98" s="231">
        <v>104300</v>
      </c>
      <c r="D98" s="231">
        <v>78219</v>
      </c>
      <c r="E98" s="231">
        <v>104300</v>
      </c>
      <c r="F98" s="231">
        <f>104300+28315-2567.5-18351+5224.9+38-9780.7+7561+40</f>
        <v>114779.7</v>
      </c>
      <c r="G98" s="231">
        <v>104300</v>
      </c>
      <c r="H98" s="231">
        <v>104300</v>
      </c>
      <c r="I98" s="231">
        <v>134322</v>
      </c>
      <c r="J98" s="231">
        <v>89728</v>
      </c>
      <c r="K98" s="231">
        <f t="shared" si="42"/>
        <v>66.80067300963357</v>
      </c>
    </row>
    <row r="99" spans="1:11" ht="94.5">
      <c r="A99" s="153" t="s">
        <v>1019</v>
      </c>
      <c r="B99" s="162" t="s">
        <v>127</v>
      </c>
      <c r="C99" s="231">
        <v>1060</v>
      </c>
      <c r="D99" s="231">
        <v>792</v>
      </c>
      <c r="E99" s="231">
        <v>1060</v>
      </c>
      <c r="F99" s="231">
        <v>1060</v>
      </c>
      <c r="G99" s="231">
        <v>1060</v>
      </c>
      <c r="H99" s="231">
        <v>1060</v>
      </c>
      <c r="I99" s="231">
        <v>701</v>
      </c>
      <c r="J99" s="231">
        <v>464</v>
      </c>
      <c r="K99" s="231">
        <f t="shared" si="42"/>
        <v>66.19115549215407</v>
      </c>
    </row>
    <row r="100" spans="1:11" s="264" customFormat="1" ht="31.5">
      <c r="A100" s="155" t="s">
        <v>980</v>
      </c>
      <c r="B100" s="159" t="s">
        <v>981</v>
      </c>
      <c r="C100" s="230">
        <v>105360</v>
      </c>
      <c r="D100" s="230">
        <v>79011</v>
      </c>
      <c r="E100" s="230">
        <v>105360</v>
      </c>
      <c r="F100" s="230">
        <v>115839.7</v>
      </c>
      <c r="G100" s="230">
        <v>105360</v>
      </c>
      <c r="H100" s="230">
        <v>105360</v>
      </c>
      <c r="I100" s="230">
        <v>0</v>
      </c>
      <c r="J100" s="230">
        <v>25000</v>
      </c>
      <c r="K100" s="230">
        <v>0</v>
      </c>
    </row>
    <row r="101" spans="1:15" ht="30" customHeight="1">
      <c r="A101" s="158" t="s">
        <v>1018</v>
      </c>
      <c r="B101" s="159" t="s">
        <v>128</v>
      </c>
      <c r="C101" s="230" t="e">
        <f aca="true" t="shared" si="55" ref="C101:H101">C102+C104+C108+C110</f>
        <v>#REF!</v>
      </c>
      <c r="D101" s="230" t="e">
        <f t="shared" si="55"/>
        <v>#REF!</v>
      </c>
      <c r="E101" s="230" t="e">
        <f t="shared" si="55"/>
        <v>#REF!</v>
      </c>
      <c r="F101" s="230" t="e">
        <f t="shared" si="55"/>
        <v>#REF!</v>
      </c>
      <c r="G101" s="230" t="e">
        <f t="shared" si="55"/>
        <v>#REF!</v>
      </c>
      <c r="H101" s="230" t="e">
        <f t="shared" si="55"/>
        <v>#REF!</v>
      </c>
      <c r="I101" s="230">
        <f>I102+I108+I104+I110+I106</f>
        <v>20187.620000000003</v>
      </c>
      <c r="J101" s="230">
        <f aca="true" t="shared" si="56" ref="J101">J102+J108+J104+J110+J106</f>
        <v>11503.7</v>
      </c>
      <c r="K101" s="230">
        <f t="shared" si="42"/>
        <v>56.98393371779338</v>
      </c>
      <c r="L101" s="136"/>
      <c r="M101" s="136"/>
      <c r="N101" s="267"/>
      <c r="O101" s="136"/>
    </row>
    <row r="102" spans="1:13" ht="31.5">
      <c r="A102" s="166" t="s">
        <v>957</v>
      </c>
      <c r="B102" s="159" t="s">
        <v>965</v>
      </c>
      <c r="C102" s="230">
        <f aca="true" t="shared" si="57" ref="C102:J102">SUM(C103)</f>
        <v>319</v>
      </c>
      <c r="D102" s="230">
        <f t="shared" si="57"/>
        <v>319</v>
      </c>
      <c r="E102" s="230">
        <f t="shared" si="57"/>
        <v>319</v>
      </c>
      <c r="F102" s="230">
        <f t="shared" si="57"/>
        <v>0</v>
      </c>
      <c r="G102" s="230">
        <f t="shared" si="57"/>
        <v>0</v>
      </c>
      <c r="H102" s="230">
        <f t="shared" si="57"/>
        <v>0</v>
      </c>
      <c r="I102" s="230">
        <f t="shared" si="57"/>
        <v>284.7</v>
      </c>
      <c r="J102" s="230">
        <f t="shared" si="57"/>
        <v>142.3</v>
      </c>
      <c r="K102" s="230">
        <f t="shared" si="42"/>
        <v>49.98243765367054</v>
      </c>
      <c r="M102" s="167"/>
    </row>
    <row r="103" spans="1:11" s="167" customFormat="1" ht="110.25">
      <c r="A103" s="275" t="s">
        <v>957</v>
      </c>
      <c r="B103" s="162" t="s">
        <v>944</v>
      </c>
      <c r="C103" s="231">
        <v>319</v>
      </c>
      <c r="D103" s="231">
        <v>319</v>
      </c>
      <c r="E103" s="231">
        <v>319</v>
      </c>
      <c r="F103" s="231">
        <v>0</v>
      </c>
      <c r="G103" s="231">
        <v>0</v>
      </c>
      <c r="H103" s="231">
        <v>0</v>
      </c>
      <c r="I103" s="231">
        <v>284.7</v>
      </c>
      <c r="J103" s="231">
        <v>142.3</v>
      </c>
      <c r="K103" s="231">
        <f t="shared" si="42"/>
        <v>49.98243765367054</v>
      </c>
    </row>
    <row r="104" spans="1:11" ht="31.5" hidden="1">
      <c r="A104" s="166" t="s">
        <v>761</v>
      </c>
      <c r="B104" s="159" t="s">
        <v>975</v>
      </c>
      <c r="C104" s="230">
        <f aca="true" t="shared" si="58" ref="C104:J104">SUM(C105)</f>
        <v>3.5</v>
      </c>
      <c r="D104" s="230">
        <f t="shared" si="58"/>
        <v>3.5</v>
      </c>
      <c r="E104" s="230">
        <f t="shared" si="58"/>
        <v>3.5</v>
      </c>
      <c r="F104" s="230">
        <f t="shared" si="58"/>
        <v>0</v>
      </c>
      <c r="G104" s="230">
        <f t="shared" si="58"/>
        <v>0</v>
      </c>
      <c r="H104" s="230">
        <f t="shared" si="58"/>
        <v>0</v>
      </c>
      <c r="I104" s="230">
        <f t="shared" si="58"/>
        <v>0</v>
      </c>
      <c r="J104" s="230">
        <f t="shared" si="58"/>
        <v>0</v>
      </c>
      <c r="K104" s="230" t="e">
        <f t="shared" si="42"/>
        <v>#DIV/0!</v>
      </c>
    </row>
    <row r="105" spans="1:11" s="167" customFormat="1" ht="78.75" hidden="1">
      <c r="A105" s="275" t="s">
        <v>761</v>
      </c>
      <c r="B105" s="162" t="s">
        <v>940</v>
      </c>
      <c r="C105" s="231">
        <v>3.5</v>
      </c>
      <c r="D105" s="231">
        <v>3.5</v>
      </c>
      <c r="E105" s="231">
        <v>3.5</v>
      </c>
      <c r="F105" s="231">
        <v>0</v>
      </c>
      <c r="G105" s="231">
        <v>0</v>
      </c>
      <c r="H105" s="231">
        <v>0</v>
      </c>
      <c r="I105" s="231">
        <v>0</v>
      </c>
      <c r="J105" s="231">
        <v>0</v>
      </c>
      <c r="K105" s="230" t="e">
        <f t="shared" si="42"/>
        <v>#DIV/0!</v>
      </c>
    </row>
    <row r="106" spans="1:11" s="167" customFormat="1" ht="39.75" customHeight="1">
      <c r="A106" s="166" t="s">
        <v>1048</v>
      </c>
      <c r="B106" s="165" t="s">
        <v>1049</v>
      </c>
      <c r="C106" s="231"/>
      <c r="D106" s="231"/>
      <c r="E106" s="231"/>
      <c r="F106" s="231"/>
      <c r="G106" s="231"/>
      <c r="H106" s="231"/>
      <c r="I106" s="230">
        <f>I107</f>
        <v>4483.8</v>
      </c>
      <c r="J106" s="230">
        <f aca="true" t="shared" si="59" ref="J106">J107</f>
        <v>0</v>
      </c>
      <c r="K106" s="230">
        <f t="shared" si="42"/>
        <v>0</v>
      </c>
    </row>
    <row r="107" spans="1:11" s="167" customFormat="1" ht="90" customHeight="1">
      <c r="A107" s="298" t="s">
        <v>1048</v>
      </c>
      <c r="B107" s="162" t="s">
        <v>1050</v>
      </c>
      <c r="C107" s="231"/>
      <c r="D107" s="231"/>
      <c r="E107" s="231"/>
      <c r="F107" s="231"/>
      <c r="G107" s="231"/>
      <c r="H107" s="231"/>
      <c r="I107" s="231">
        <v>4483.8</v>
      </c>
      <c r="J107" s="231">
        <v>0</v>
      </c>
      <c r="K107" s="231">
        <f t="shared" si="42"/>
        <v>0</v>
      </c>
    </row>
    <row r="108" spans="1:13" ht="47.25">
      <c r="A108" s="166" t="s">
        <v>1017</v>
      </c>
      <c r="B108" s="159" t="s">
        <v>762</v>
      </c>
      <c r="C108" s="230">
        <f aca="true" t="shared" si="60" ref="C108:J108">SUM(C109)</f>
        <v>1406.9</v>
      </c>
      <c r="D108" s="230">
        <f t="shared" si="60"/>
        <v>1406.9</v>
      </c>
      <c r="E108" s="230">
        <f t="shared" si="60"/>
        <v>1406.9</v>
      </c>
      <c r="F108" s="230">
        <f t="shared" si="60"/>
        <v>0</v>
      </c>
      <c r="G108" s="230">
        <f t="shared" si="60"/>
        <v>0</v>
      </c>
      <c r="H108" s="230">
        <f t="shared" si="60"/>
        <v>0</v>
      </c>
      <c r="I108" s="230">
        <f t="shared" si="60"/>
        <v>2114.52</v>
      </c>
      <c r="J108" s="230">
        <f t="shared" si="60"/>
        <v>2021.1</v>
      </c>
      <c r="K108" s="230">
        <f t="shared" si="42"/>
        <v>95.58197605130242</v>
      </c>
      <c r="M108" s="167"/>
    </row>
    <row r="109" spans="1:11" s="167" customFormat="1" ht="93" customHeight="1">
      <c r="A109" s="275" t="s">
        <v>1017</v>
      </c>
      <c r="B109" s="162" t="s">
        <v>1071</v>
      </c>
      <c r="C109" s="231">
        <v>1406.9</v>
      </c>
      <c r="D109" s="231">
        <v>1406.9</v>
      </c>
      <c r="E109" s="231">
        <v>1406.9</v>
      </c>
      <c r="F109" s="231">
        <v>0</v>
      </c>
      <c r="G109" s="231">
        <v>0</v>
      </c>
      <c r="H109" s="231">
        <v>0</v>
      </c>
      <c r="I109" s="231">
        <f>2114.52</f>
        <v>2114.52</v>
      </c>
      <c r="J109" s="231">
        <v>2021.1</v>
      </c>
      <c r="K109" s="231">
        <f t="shared" si="42"/>
        <v>95.58197605130242</v>
      </c>
    </row>
    <row r="110" spans="1:15" s="264" customFormat="1" ht="18.75">
      <c r="A110" s="352" t="s">
        <v>1016</v>
      </c>
      <c r="B110" s="159" t="s">
        <v>129</v>
      </c>
      <c r="C110" s="230" t="e">
        <f>SUM(C112+C113+C114+C115+C118+C119+#REF!+C120+#REF!+#REF!+#REF!+C121+#REF!+#REF!+#REF!+#REF!+#REF!+#REF!)</f>
        <v>#REF!</v>
      </c>
      <c r="D110" s="230" t="e">
        <f>SUM(D112+D113+D114+D115+D118+D119+#REF!+D120+#REF!+#REF!+#REF!+D121+#REF!+#REF!+#REF!+#REF!+#REF!+#REF!)</f>
        <v>#REF!</v>
      </c>
      <c r="E110" s="230" t="e">
        <f>SUM(E112+E113+E114+E115+E118+E119+#REF!+E120+#REF!+#REF!+#REF!+E121+#REF!+#REF!+#REF!+#REF!+#REF!+#REF!)</f>
        <v>#REF!</v>
      </c>
      <c r="F110" s="230" t="e">
        <f>SUM(F112+F113+F114+F115+F118+F119+#REF!+F120+#REF!+#REF!+#REF!+F121+#REF!+#REF!+#REF!+#REF!+#REF!+#REF!)</f>
        <v>#REF!</v>
      </c>
      <c r="G110" s="230" t="e">
        <f>SUM(G112+G113+G114+G115+G118+G119+#REF!+G120+#REF!+#REF!+#REF!+G121+#REF!+#REF!+#REF!+#REF!+#REF!+#REF!)</f>
        <v>#REF!</v>
      </c>
      <c r="H110" s="230" t="e">
        <f>SUM(H112+H113+H114+H115+H118+H119+#REF!+H120+#REF!+#REF!+#REF!+H121+#REF!+#REF!+#REF!+#REF!+#REF!+#REF!)</f>
        <v>#REF!</v>
      </c>
      <c r="I110" s="270">
        <f>SUM(I112+I113+I114+I115+I118+I119+I120+I121+I122+I123+I124+I125+I126+I127)</f>
        <v>13304.600000000002</v>
      </c>
      <c r="J110" s="270">
        <f aca="true" t="shared" si="61" ref="J110">SUM(J112+J113+J114+J115+J118+J119+J120+J121+J122+J123+J124+J125+J126+J127)</f>
        <v>9340.300000000001</v>
      </c>
      <c r="K110" s="230">
        <f t="shared" si="42"/>
        <v>70.20353862573846</v>
      </c>
      <c r="M110" s="267"/>
      <c r="O110" s="265"/>
    </row>
    <row r="111" spans="1:11" ht="18.75">
      <c r="A111" s="353"/>
      <c r="B111" s="162" t="s">
        <v>130</v>
      </c>
      <c r="C111" s="231"/>
      <c r="D111" s="231"/>
      <c r="E111" s="231"/>
      <c r="F111" s="231"/>
      <c r="G111" s="231"/>
      <c r="H111" s="231"/>
      <c r="I111" s="231"/>
      <c r="J111" s="231"/>
      <c r="K111" s="230"/>
    </row>
    <row r="112" spans="1:11" ht="126.75" customHeight="1">
      <c r="A112" s="353"/>
      <c r="B112" s="162" t="s">
        <v>1002</v>
      </c>
      <c r="C112" s="231">
        <v>18292</v>
      </c>
      <c r="D112" s="231">
        <v>13716</v>
      </c>
      <c r="E112" s="231">
        <v>18292</v>
      </c>
      <c r="F112" s="231">
        <v>18292</v>
      </c>
      <c r="G112" s="231">
        <v>18292</v>
      </c>
      <c r="H112" s="231">
        <v>18292</v>
      </c>
      <c r="I112" s="231">
        <v>7332</v>
      </c>
      <c r="J112" s="231">
        <v>4888</v>
      </c>
      <c r="K112" s="231">
        <f t="shared" si="42"/>
        <v>66.66666666666666</v>
      </c>
    </row>
    <row r="113" spans="1:11" ht="63">
      <c r="A113" s="353"/>
      <c r="B113" s="160" t="s">
        <v>1003</v>
      </c>
      <c r="C113" s="231">
        <v>177.3</v>
      </c>
      <c r="D113" s="231">
        <v>0</v>
      </c>
      <c r="E113" s="231">
        <v>177.3</v>
      </c>
      <c r="F113" s="231">
        <v>177.3</v>
      </c>
      <c r="G113" s="231">
        <v>177.3</v>
      </c>
      <c r="H113" s="231">
        <v>177.3</v>
      </c>
      <c r="I113" s="231">
        <v>69.1</v>
      </c>
      <c r="J113" s="231">
        <v>69.1</v>
      </c>
      <c r="K113" s="231">
        <f t="shared" si="42"/>
        <v>100</v>
      </c>
    </row>
    <row r="114" spans="1:15" ht="80.25" customHeight="1">
      <c r="A114" s="353"/>
      <c r="B114" s="168" t="s">
        <v>772</v>
      </c>
      <c r="C114" s="237">
        <v>1303.8</v>
      </c>
      <c r="D114" s="237">
        <v>1303.8</v>
      </c>
      <c r="E114" s="237">
        <v>1303.8</v>
      </c>
      <c r="F114" s="237">
        <v>1303.8</v>
      </c>
      <c r="G114" s="237">
        <v>1303.8</v>
      </c>
      <c r="H114" s="237">
        <v>1303.8</v>
      </c>
      <c r="I114" s="237">
        <f>2124.9+1127.4</f>
        <v>3252.3</v>
      </c>
      <c r="J114" s="237">
        <v>3252.3</v>
      </c>
      <c r="K114" s="231">
        <f t="shared" si="42"/>
        <v>100</v>
      </c>
      <c r="O114" s="136"/>
    </row>
    <row r="115" spans="1:13" ht="63">
      <c r="A115" s="353"/>
      <c r="B115" s="169" t="s">
        <v>1004</v>
      </c>
      <c r="C115" s="238">
        <f aca="true" t="shared" si="62" ref="C115:H115">SUM(C116:C117)</f>
        <v>40</v>
      </c>
      <c r="D115" s="238">
        <f t="shared" si="62"/>
        <v>20</v>
      </c>
      <c r="E115" s="238">
        <f t="shared" si="62"/>
        <v>72</v>
      </c>
      <c r="F115" s="238">
        <f t="shared" si="62"/>
        <v>72</v>
      </c>
      <c r="G115" s="238">
        <f t="shared" si="62"/>
        <v>72</v>
      </c>
      <c r="H115" s="238">
        <f t="shared" si="62"/>
        <v>72</v>
      </c>
      <c r="I115" s="238">
        <f>SUM(I116:I117)</f>
        <v>65</v>
      </c>
      <c r="J115" s="238">
        <f>SUM(J116:J117)</f>
        <v>20</v>
      </c>
      <c r="K115" s="231">
        <f t="shared" si="42"/>
        <v>30.76923076923077</v>
      </c>
      <c r="M115" s="170"/>
    </row>
    <row r="116" spans="1:18" s="170" customFormat="1" ht="94.5" customHeight="1">
      <c r="A116" s="353"/>
      <c r="B116" s="355" t="s">
        <v>1001</v>
      </c>
      <c r="C116" s="356"/>
      <c r="D116" s="239">
        <v>0</v>
      </c>
      <c r="E116" s="239">
        <v>32</v>
      </c>
      <c r="F116" s="239">
        <v>32</v>
      </c>
      <c r="G116" s="239">
        <v>32</v>
      </c>
      <c r="H116" s="239">
        <v>32</v>
      </c>
      <c r="I116" s="239">
        <v>40</v>
      </c>
      <c r="J116" s="239">
        <v>0</v>
      </c>
      <c r="K116" s="231">
        <f t="shared" si="42"/>
        <v>0</v>
      </c>
      <c r="R116" s="149"/>
    </row>
    <row r="117" spans="1:18" s="170" customFormat="1" ht="110.25">
      <c r="A117" s="353"/>
      <c r="B117" s="186" t="s">
        <v>1051</v>
      </c>
      <c r="C117" s="240">
        <v>40</v>
      </c>
      <c r="D117" s="240">
        <v>20</v>
      </c>
      <c r="E117" s="240">
        <v>40</v>
      </c>
      <c r="F117" s="240">
        <v>40</v>
      </c>
      <c r="G117" s="240">
        <v>40</v>
      </c>
      <c r="H117" s="240">
        <v>40</v>
      </c>
      <c r="I117" s="240">
        <v>25</v>
      </c>
      <c r="J117" s="240">
        <v>20</v>
      </c>
      <c r="K117" s="231">
        <f t="shared" si="42"/>
        <v>80</v>
      </c>
      <c r="R117" s="149"/>
    </row>
    <row r="118" spans="1:11" ht="78.75">
      <c r="A118" s="353"/>
      <c r="B118" s="160" t="s">
        <v>131</v>
      </c>
      <c r="C118" s="231">
        <v>1293.6</v>
      </c>
      <c r="D118" s="231">
        <v>580</v>
      </c>
      <c r="E118" s="231">
        <v>1293.6</v>
      </c>
      <c r="F118" s="231">
        <v>1293.6</v>
      </c>
      <c r="G118" s="231">
        <v>1293.6</v>
      </c>
      <c r="H118" s="231">
        <v>1293.6</v>
      </c>
      <c r="I118" s="231">
        <f>1317.5+351.1</f>
        <v>1668.6</v>
      </c>
      <c r="J118" s="231">
        <v>617</v>
      </c>
      <c r="K118" s="231">
        <f t="shared" si="42"/>
        <v>36.97710655639458</v>
      </c>
    </row>
    <row r="119" spans="1:11" ht="78.75">
      <c r="A119" s="353"/>
      <c r="B119" s="160" t="s">
        <v>1005</v>
      </c>
      <c r="C119" s="231">
        <v>450</v>
      </c>
      <c r="D119" s="231">
        <v>280</v>
      </c>
      <c r="E119" s="231">
        <v>450</v>
      </c>
      <c r="F119" s="231">
        <v>450</v>
      </c>
      <c r="G119" s="231">
        <v>450</v>
      </c>
      <c r="H119" s="231">
        <v>450</v>
      </c>
      <c r="I119" s="231">
        <v>255</v>
      </c>
      <c r="J119" s="231">
        <v>140</v>
      </c>
      <c r="K119" s="231">
        <f t="shared" si="42"/>
        <v>54.90196078431373</v>
      </c>
    </row>
    <row r="120" spans="1:11" ht="94.5">
      <c r="A120" s="353"/>
      <c r="B120" s="160" t="s">
        <v>1006</v>
      </c>
      <c r="C120" s="231">
        <v>488.7</v>
      </c>
      <c r="D120" s="231">
        <v>288.3</v>
      </c>
      <c r="E120" s="231">
        <v>488.7</v>
      </c>
      <c r="F120" s="231">
        <v>488.7</v>
      </c>
      <c r="G120" s="231">
        <v>488.7</v>
      </c>
      <c r="H120" s="231">
        <v>488.7</v>
      </c>
      <c r="I120" s="231">
        <f>488.7+8</f>
        <v>496.7</v>
      </c>
      <c r="J120" s="231">
        <v>256.5</v>
      </c>
      <c r="K120" s="231">
        <f t="shared" si="42"/>
        <v>51.64082947453191</v>
      </c>
    </row>
    <row r="121" spans="1:11" ht="94.5" hidden="1">
      <c r="A121" s="353"/>
      <c r="B121" s="160" t="s">
        <v>922</v>
      </c>
      <c r="C121" s="231">
        <v>0.5</v>
      </c>
      <c r="D121" s="231">
        <v>0.5</v>
      </c>
      <c r="E121" s="231">
        <v>0.5</v>
      </c>
      <c r="F121" s="231">
        <v>0</v>
      </c>
      <c r="G121" s="231">
        <v>0</v>
      </c>
      <c r="H121" s="231">
        <v>0</v>
      </c>
      <c r="I121" s="231">
        <v>0</v>
      </c>
      <c r="J121" s="231"/>
      <c r="K121" s="231" t="e">
        <f t="shared" si="42"/>
        <v>#DIV/0!</v>
      </c>
    </row>
    <row r="122" spans="1:11" ht="78.75" hidden="1">
      <c r="A122" s="353"/>
      <c r="B122" s="258" t="s">
        <v>931</v>
      </c>
      <c r="C122" s="231"/>
      <c r="D122" s="231"/>
      <c r="E122" s="231"/>
      <c r="F122" s="231"/>
      <c r="G122" s="231"/>
      <c r="H122" s="231"/>
      <c r="I122" s="231">
        <v>0</v>
      </c>
      <c r="J122" s="231"/>
      <c r="K122" s="231" t="e">
        <f t="shared" si="42"/>
        <v>#DIV/0!</v>
      </c>
    </row>
    <row r="123" spans="1:11" ht="94.5" hidden="1">
      <c r="A123" s="353"/>
      <c r="B123" s="258" t="s">
        <v>935</v>
      </c>
      <c r="C123" s="231"/>
      <c r="D123" s="231"/>
      <c r="E123" s="231"/>
      <c r="F123" s="231"/>
      <c r="G123" s="231"/>
      <c r="H123" s="231"/>
      <c r="I123" s="231">
        <v>0</v>
      </c>
      <c r="J123" s="231"/>
      <c r="K123" s="231" t="e">
        <f t="shared" si="42"/>
        <v>#DIV/0!</v>
      </c>
    </row>
    <row r="124" spans="1:11" s="262" customFormat="1" ht="47.25" hidden="1">
      <c r="A124" s="353"/>
      <c r="B124" s="258" t="s">
        <v>943</v>
      </c>
      <c r="C124" s="266">
        <v>0</v>
      </c>
      <c r="D124" s="266">
        <v>0</v>
      </c>
      <c r="E124" s="266">
        <v>0</v>
      </c>
      <c r="F124" s="266">
        <f>SUM(E124-D124)</f>
        <v>0</v>
      </c>
      <c r="G124" s="266">
        <f>SUM(F124-E124)</f>
        <v>0</v>
      </c>
      <c r="H124" s="266">
        <f>SUM(G124-F124)</f>
        <v>0</v>
      </c>
      <c r="I124" s="266">
        <v>0</v>
      </c>
      <c r="J124" s="266"/>
      <c r="K124" s="231" t="e">
        <f t="shared" si="42"/>
        <v>#DIV/0!</v>
      </c>
    </row>
    <row r="125" spans="1:11" s="262" customFormat="1" ht="78.75" hidden="1">
      <c r="A125" s="353"/>
      <c r="B125" s="258" t="s">
        <v>973</v>
      </c>
      <c r="C125" s="266"/>
      <c r="D125" s="266"/>
      <c r="E125" s="266"/>
      <c r="F125" s="266"/>
      <c r="G125" s="266"/>
      <c r="H125" s="266"/>
      <c r="I125" s="266">
        <v>0</v>
      </c>
      <c r="J125" s="266"/>
      <c r="K125" s="231" t="e">
        <f t="shared" si="42"/>
        <v>#DIV/0!</v>
      </c>
    </row>
    <row r="126" spans="1:11" s="262" customFormat="1" ht="142.5" customHeight="1">
      <c r="A126" s="353"/>
      <c r="B126" s="258" t="s">
        <v>974</v>
      </c>
      <c r="C126" s="266"/>
      <c r="D126" s="266"/>
      <c r="E126" s="266"/>
      <c r="F126" s="266"/>
      <c r="G126" s="266"/>
      <c r="H126" s="266"/>
      <c r="I126" s="266">
        <v>165.9</v>
      </c>
      <c r="J126" s="266">
        <v>97.4</v>
      </c>
      <c r="K126" s="231">
        <f t="shared" si="42"/>
        <v>58.71006630500302</v>
      </c>
    </row>
    <row r="127" spans="1:11" s="262" customFormat="1" ht="31.5" hidden="1">
      <c r="A127" s="354"/>
      <c r="B127" s="258" t="s">
        <v>976</v>
      </c>
      <c r="C127" s="266"/>
      <c r="D127" s="266"/>
      <c r="E127" s="266"/>
      <c r="F127" s="266"/>
      <c r="G127" s="266"/>
      <c r="H127" s="266"/>
      <c r="I127" s="266">
        <v>0</v>
      </c>
      <c r="J127" s="266">
        <v>0</v>
      </c>
      <c r="K127" s="230" t="e">
        <f t="shared" si="42"/>
        <v>#DIV/0!</v>
      </c>
    </row>
    <row r="128" spans="1:12" ht="18.75">
      <c r="A128" s="158" t="s">
        <v>1015</v>
      </c>
      <c r="B128" s="164" t="s">
        <v>132</v>
      </c>
      <c r="C128" s="230">
        <f aca="true" t="shared" si="63" ref="C128:H128">C148+C129</f>
        <v>153786.49999999997</v>
      </c>
      <c r="D128" s="230">
        <f t="shared" si="63"/>
        <v>126329.75700000001</v>
      </c>
      <c r="E128" s="230">
        <f t="shared" si="63"/>
        <v>153786.49999999997</v>
      </c>
      <c r="F128" s="230">
        <f t="shared" si="63"/>
        <v>151654.49999999997</v>
      </c>
      <c r="G128" s="230">
        <f t="shared" si="63"/>
        <v>151654.49999999997</v>
      </c>
      <c r="H128" s="230">
        <f t="shared" si="63"/>
        <v>151654.49999999997</v>
      </c>
      <c r="I128" s="230">
        <f>I148+I129+I145</f>
        <v>178510.09999999998</v>
      </c>
      <c r="J128" s="230">
        <f aca="true" t="shared" si="64" ref="J128">J148+J129+J145</f>
        <v>151750.6</v>
      </c>
      <c r="K128" s="230">
        <f t="shared" si="42"/>
        <v>85.00953167355799</v>
      </c>
      <c r="L128" s="136"/>
    </row>
    <row r="129" spans="1:11" ht="31.5">
      <c r="A129" s="158" t="s">
        <v>1014</v>
      </c>
      <c r="B129" s="164" t="s">
        <v>133</v>
      </c>
      <c r="C129" s="230">
        <f aca="true" t="shared" si="65" ref="C129:I129">C130</f>
        <v>153084.69999999998</v>
      </c>
      <c r="D129" s="230">
        <f t="shared" si="65"/>
        <v>125634.50700000001</v>
      </c>
      <c r="E129" s="230">
        <f t="shared" si="65"/>
        <v>153084.69999999998</v>
      </c>
      <c r="F129" s="230">
        <f t="shared" si="65"/>
        <v>150952.69999999998</v>
      </c>
      <c r="G129" s="230">
        <f t="shared" si="65"/>
        <v>150952.69999999998</v>
      </c>
      <c r="H129" s="230">
        <f t="shared" si="65"/>
        <v>150952.69999999998</v>
      </c>
      <c r="I129" s="230">
        <f t="shared" si="65"/>
        <v>177794.19999999998</v>
      </c>
      <c r="J129" s="230">
        <f>J130</f>
        <v>151039.9</v>
      </c>
      <c r="K129" s="230">
        <f t="shared" si="42"/>
        <v>84.95209630010429</v>
      </c>
    </row>
    <row r="130" spans="1:11" ht="31.5">
      <c r="A130" s="352" t="s">
        <v>1013</v>
      </c>
      <c r="B130" s="160" t="s">
        <v>134</v>
      </c>
      <c r="C130" s="231">
        <f aca="true" t="shared" si="66" ref="C130:I130">SUM(C132+C133+C134+C135+C136+C137+C138+C141+C142+C143+C144)</f>
        <v>153084.69999999998</v>
      </c>
      <c r="D130" s="231">
        <f t="shared" si="66"/>
        <v>125634.50700000001</v>
      </c>
      <c r="E130" s="231">
        <f t="shared" si="66"/>
        <v>153084.69999999998</v>
      </c>
      <c r="F130" s="231">
        <f t="shared" si="66"/>
        <v>150952.69999999998</v>
      </c>
      <c r="G130" s="231">
        <f t="shared" si="66"/>
        <v>150952.69999999998</v>
      </c>
      <c r="H130" s="231">
        <f t="shared" si="66"/>
        <v>150952.69999999998</v>
      </c>
      <c r="I130" s="231">
        <f t="shared" si="66"/>
        <v>177794.19999999998</v>
      </c>
      <c r="J130" s="231">
        <f>SUM(J132+J133+J134+J135+J136+J137+J138+J141+J142+J143+J144+J147)</f>
        <v>151039.9</v>
      </c>
      <c r="K130" s="230">
        <f t="shared" si="42"/>
        <v>84.95209630010429</v>
      </c>
    </row>
    <row r="131" spans="1:11" ht="18.75">
      <c r="A131" s="353"/>
      <c r="B131" s="160" t="s">
        <v>135</v>
      </c>
      <c r="C131" s="231"/>
      <c r="D131" s="231"/>
      <c r="E131" s="231"/>
      <c r="F131" s="231"/>
      <c r="G131" s="231"/>
      <c r="H131" s="231"/>
      <c r="I131" s="231"/>
      <c r="J131" s="231"/>
      <c r="K131" s="230"/>
    </row>
    <row r="132" spans="1:11" ht="110.25">
      <c r="A132" s="353"/>
      <c r="B132" s="168" t="s">
        <v>773</v>
      </c>
      <c r="C132" s="238">
        <v>79753.6</v>
      </c>
      <c r="D132" s="238">
        <v>66712.5</v>
      </c>
      <c r="E132" s="238">
        <v>79753.6</v>
      </c>
      <c r="F132" s="238">
        <v>79753.6</v>
      </c>
      <c r="G132" s="238">
        <v>79753.6</v>
      </c>
      <c r="H132" s="238">
        <v>79753.6</v>
      </c>
      <c r="I132" s="238">
        <f>92921.9-359.1</f>
        <v>92562.79999999999</v>
      </c>
      <c r="J132" s="238">
        <v>82772</v>
      </c>
      <c r="K132" s="231">
        <f t="shared" si="42"/>
        <v>89.42253259408749</v>
      </c>
    </row>
    <row r="133" spans="1:11" ht="78.75">
      <c r="A133" s="353"/>
      <c r="B133" s="160" t="s">
        <v>136</v>
      </c>
      <c r="C133" s="231">
        <f>58518.6-2198.6</f>
        <v>56320</v>
      </c>
      <c r="D133" s="231">
        <v>46863</v>
      </c>
      <c r="E133" s="231">
        <f>58518.6-2198.6</f>
        <v>56320</v>
      </c>
      <c r="F133" s="231">
        <f>58518.6-2198.6</f>
        <v>56320</v>
      </c>
      <c r="G133" s="231">
        <f>58518.6-2198.6</f>
        <v>56320</v>
      </c>
      <c r="H133" s="231">
        <f>58518.6-2198.6</f>
        <v>56320</v>
      </c>
      <c r="I133" s="231">
        <v>70227.1</v>
      </c>
      <c r="J133" s="231">
        <v>57624.7</v>
      </c>
      <c r="K133" s="231">
        <f t="shared" si="42"/>
        <v>82.05479081437221</v>
      </c>
    </row>
    <row r="134" spans="1:11" ht="110.25">
      <c r="A134" s="353"/>
      <c r="B134" s="160" t="s">
        <v>763</v>
      </c>
      <c r="C134" s="231">
        <v>4932.5</v>
      </c>
      <c r="D134" s="231">
        <v>3043.057</v>
      </c>
      <c r="E134" s="231">
        <v>4932.5</v>
      </c>
      <c r="F134" s="231">
        <v>4932.5</v>
      </c>
      <c r="G134" s="231">
        <v>4932.5</v>
      </c>
      <c r="H134" s="231">
        <v>4932.5</v>
      </c>
      <c r="I134" s="231">
        <v>5112</v>
      </c>
      <c r="J134" s="231">
        <v>3433.5</v>
      </c>
      <c r="K134" s="231">
        <f t="shared" si="42"/>
        <v>67.16549295774648</v>
      </c>
    </row>
    <row r="135" spans="1:11" ht="110.25">
      <c r="A135" s="353"/>
      <c r="B135" s="160" t="s">
        <v>764</v>
      </c>
      <c r="C135" s="231">
        <v>1507.8</v>
      </c>
      <c r="D135" s="231">
        <v>1075.1</v>
      </c>
      <c r="E135" s="231">
        <v>1507.8</v>
      </c>
      <c r="F135" s="231">
        <v>1507.8</v>
      </c>
      <c r="G135" s="231">
        <v>1507.8</v>
      </c>
      <c r="H135" s="231">
        <v>1507.8</v>
      </c>
      <c r="I135" s="231">
        <f>1477.3-386</f>
        <v>1091.3</v>
      </c>
      <c r="J135" s="231">
        <v>947.4</v>
      </c>
      <c r="K135" s="231">
        <f t="shared" si="42"/>
        <v>86.81389168881151</v>
      </c>
    </row>
    <row r="136" spans="1:11" ht="110.25">
      <c r="A136" s="353"/>
      <c r="B136" s="160" t="s">
        <v>137</v>
      </c>
      <c r="C136" s="231">
        <v>1752.9</v>
      </c>
      <c r="D136" s="231">
        <v>1279.5</v>
      </c>
      <c r="E136" s="231">
        <v>1752.9</v>
      </c>
      <c r="F136" s="231">
        <v>1752.9</v>
      </c>
      <c r="G136" s="231">
        <v>1752.9</v>
      </c>
      <c r="H136" s="231">
        <v>1752.9</v>
      </c>
      <c r="I136" s="231">
        <v>1333.1</v>
      </c>
      <c r="J136" s="231">
        <v>1179.2</v>
      </c>
      <c r="K136" s="231">
        <f t="shared" si="42"/>
        <v>88.45547970894908</v>
      </c>
    </row>
    <row r="137" spans="1:11" ht="110.25">
      <c r="A137" s="353"/>
      <c r="B137" s="160" t="s">
        <v>138</v>
      </c>
      <c r="C137" s="231">
        <v>1281.4</v>
      </c>
      <c r="D137" s="231">
        <v>838.6</v>
      </c>
      <c r="E137" s="231">
        <v>1281.4</v>
      </c>
      <c r="F137" s="231">
        <v>1281.4</v>
      </c>
      <c r="G137" s="231">
        <v>1281.4</v>
      </c>
      <c r="H137" s="231">
        <v>1281.4</v>
      </c>
      <c r="I137" s="231">
        <f>1326.4-425.1</f>
        <v>901.3000000000001</v>
      </c>
      <c r="J137" s="231">
        <v>369.4</v>
      </c>
      <c r="K137" s="231">
        <f t="shared" si="42"/>
        <v>40.98524353711305</v>
      </c>
    </row>
    <row r="138" spans="1:11" ht="47.25">
      <c r="A138" s="353"/>
      <c r="B138" s="160" t="s">
        <v>139</v>
      </c>
      <c r="C138" s="231">
        <f aca="true" t="shared" si="67" ref="C138:I138">SUM(C139:C140)</f>
        <v>3148.5</v>
      </c>
      <c r="D138" s="231">
        <f t="shared" si="67"/>
        <v>2267.6</v>
      </c>
      <c r="E138" s="231">
        <f t="shared" si="67"/>
        <v>3148.5</v>
      </c>
      <c r="F138" s="231">
        <f t="shared" si="67"/>
        <v>3148.5</v>
      </c>
      <c r="G138" s="231">
        <f t="shared" si="67"/>
        <v>3148.5</v>
      </c>
      <c r="H138" s="231">
        <f t="shared" si="67"/>
        <v>3148.5</v>
      </c>
      <c r="I138" s="231">
        <f t="shared" si="67"/>
        <v>3263.9</v>
      </c>
      <c r="J138" s="231">
        <f aca="true" t="shared" si="68" ref="J138">SUM(J139:J140)</f>
        <v>2145.9</v>
      </c>
      <c r="K138" s="231">
        <f t="shared" si="42"/>
        <v>65.74649958638439</v>
      </c>
    </row>
    <row r="139" spans="1:11" ht="31.5">
      <c r="A139" s="353"/>
      <c r="B139" s="171" t="s">
        <v>765</v>
      </c>
      <c r="C139" s="240">
        <v>2510</v>
      </c>
      <c r="D139" s="240">
        <v>1832.3</v>
      </c>
      <c r="E139" s="240">
        <v>2510</v>
      </c>
      <c r="F139" s="240">
        <v>2510</v>
      </c>
      <c r="G139" s="240">
        <v>2510</v>
      </c>
      <c r="H139" s="240">
        <v>2510</v>
      </c>
      <c r="I139" s="240">
        <v>2545.3</v>
      </c>
      <c r="J139" s="240">
        <v>1760</v>
      </c>
      <c r="K139" s="231">
        <f t="shared" si="42"/>
        <v>69.14705535693238</v>
      </c>
    </row>
    <row r="140" spans="1:11" ht="31.5">
      <c r="A140" s="353"/>
      <c r="B140" s="171" t="s">
        <v>766</v>
      </c>
      <c r="C140" s="240">
        <v>638.5</v>
      </c>
      <c r="D140" s="240">
        <v>435.3</v>
      </c>
      <c r="E140" s="240">
        <v>638.5</v>
      </c>
      <c r="F140" s="240">
        <v>638.5</v>
      </c>
      <c r="G140" s="240">
        <v>638.5</v>
      </c>
      <c r="H140" s="240">
        <v>638.5</v>
      </c>
      <c r="I140" s="240">
        <v>718.6</v>
      </c>
      <c r="J140" s="240">
        <v>385.9</v>
      </c>
      <c r="K140" s="231">
        <f t="shared" si="42"/>
        <v>53.70164208182576</v>
      </c>
    </row>
    <row r="141" spans="1:11" ht="126">
      <c r="A141" s="353"/>
      <c r="B141" s="160" t="s">
        <v>1007</v>
      </c>
      <c r="C141" s="231">
        <v>263.3</v>
      </c>
      <c r="D141" s="231">
        <v>123.8</v>
      </c>
      <c r="E141" s="231">
        <v>263.3</v>
      </c>
      <c r="F141" s="231">
        <v>263.3</v>
      </c>
      <c r="G141" s="231">
        <v>263.3</v>
      </c>
      <c r="H141" s="231">
        <v>263.3</v>
      </c>
      <c r="I141" s="231">
        <v>273.7</v>
      </c>
      <c r="J141" s="231">
        <v>183.9</v>
      </c>
      <c r="K141" s="231">
        <f t="shared" si="42"/>
        <v>67.19035440263063</v>
      </c>
    </row>
    <row r="142" spans="1:11" ht="126">
      <c r="A142" s="353"/>
      <c r="B142" s="160" t="s">
        <v>140</v>
      </c>
      <c r="C142" s="231">
        <v>886.5</v>
      </c>
      <c r="D142" s="231">
        <v>623.2</v>
      </c>
      <c r="E142" s="231">
        <v>886.5</v>
      </c>
      <c r="F142" s="231">
        <v>886.5</v>
      </c>
      <c r="G142" s="231">
        <v>886.5</v>
      </c>
      <c r="H142" s="231">
        <v>886.5</v>
      </c>
      <c r="I142" s="231">
        <v>946.8</v>
      </c>
      <c r="J142" s="231">
        <v>734.5</v>
      </c>
      <c r="K142" s="231">
        <f t="shared" si="42"/>
        <v>77.57710181664554</v>
      </c>
    </row>
    <row r="143" spans="1:11" ht="47.25">
      <c r="A143" s="353"/>
      <c r="B143" s="160" t="s">
        <v>141</v>
      </c>
      <c r="C143" s="231">
        <v>1106.2</v>
      </c>
      <c r="D143" s="231">
        <v>676.15</v>
      </c>
      <c r="E143" s="231">
        <v>1106.2</v>
      </c>
      <c r="F143" s="231">
        <v>1106.2</v>
      </c>
      <c r="G143" s="231">
        <v>1106.2</v>
      </c>
      <c r="H143" s="231">
        <v>1106.2</v>
      </c>
      <c r="I143" s="231">
        <v>1106.2</v>
      </c>
      <c r="J143" s="231">
        <v>695.5</v>
      </c>
      <c r="K143" s="231">
        <f t="shared" si="42"/>
        <v>62.87289821008859</v>
      </c>
    </row>
    <row r="144" spans="1:11" ht="32.25" customHeight="1">
      <c r="A144" s="353"/>
      <c r="B144" s="160" t="s">
        <v>767</v>
      </c>
      <c r="C144" s="231">
        <v>2132</v>
      </c>
      <c r="D144" s="231">
        <v>2132</v>
      </c>
      <c r="E144" s="231">
        <v>2132</v>
      </c>
      <c r="F144" s="231">
        <v>0</v>
      </c>
      <c r="G144" s="231">
        <v>0</v>
      </c>
      <c r="H144" s="231">
        <v>0</v>
      </c>
      <c r="I144" s="231">
        <v>976</v>
      </c>
      <c r="J144" s="231">
        <v>244</v>
      </c>
      <c r="K144" s="231">
        <f aca="true" t="shared" si="69" ref="K144:K166">J144/I144*100</f>
        <v>25</v>
      </c>
    </row>
    <row r="145" spans="1:11" ht="32.25" customHeight="1" hidden="1">
      <c r="A145" s="353"/>
      <c r="B145" s="164" t="s">
        <v>912</v>
      </c>
      <c r="C145" s="230"/>
      <c r="D145" s="230"/>
      <c r="E145" s="230"/>
      <c r="F145" s="230"/>
      <c r="G145" s="230"/>
      <c r="H145" s="230"/>
      <c r="I145" s="230">
        <f>I146</f>
        <v>0</v>
      </c>
      <c r="J145" s="230">
        <f aca="true" t="shared" si="70" ref="J145">J146</f>
        <v>0</v>
      </c>
      <c r="K145" s="231" t="e">
        <f t="shared" si="69"/>
        <v>#DIV/0!</v>
      </c>
    </row>
    <row r="146" spans="1:11" ht="32.25" customHeight="1" hidden="1">
      <c r="A146" s="353"/>
      <c r="B146" s="160" t="s">
        <v>911</v>
      </c>
      <c r="C146" s="231"/>
      <c r="D146" s="231"/>
      <c r="E146" s="231"/>
      <c r="F146" s="231"/>
      <c r="G146" s="231"/>
      <c r="H146" s="231"/>
      <c r="I146" s="231">
        <v>0</v>
      </c>
      <c r="J146" s="231">
        <v>0</v>
      </c>
      <c r="K146" s="231" t="e">
        <f t="shared" si="69"/>
        <v>#DIV/0!</v>
      </c>
    </row>
    <row r="147" spans="1:11" ht="32.25" customHeight="1">
      <c r="A147" s="354"/>
      <c r="B147" s="160" t="s">
        <v>1097</v>
      </c>
      <c r="C147" s="320"/>
      <c r="D147" s="231"/>
      <c r="E147" s="231"/>
      <c r="F147" s="231"/>
      <c r="G147" s="231"/>
      <c r="H147" s="231"/>
      <c r="I147" s="231">
        <v>0</v>
      </c>
      <c r="J147" s="231">
        <v>709.9</v>
      </c>
      <c r="K147" s="231">
        <v>0</v>
      </c>
    </row>
    <row r="148" spans="1:11" ht="31.5">
      <c r="A148" s="158" t="s">
        <v>1012</v>
      </c>
      <c r="B148" s="164" t="s">
        <v>142</v>
      </c>
      <c r="C148" s="230">
        <f aca="true" t="shared" si="71" ref="C148:J148">C149</f>
        <v>701.8</v>
      </c>
      <c r="D148" s="230">
        <f t="shared" si="71"/>
        <v>695.25</v>
      </c>
      <c r="E148" s="230">
        <f t="shared" si="71"/>
        <v>701.8</v>
      </c>
      <c r="F148" s="230">
        <f t="shared" si="71"/>
        <v>701.8</v>
      </c>
      <c r="G148" s="230">
        <f t="shared" si="71"/>
        <v>701.8</v>
      </c>
      <c r="H148" s="230">
        <f t="shared" si="71"/>
        <v>701.8</v>
      </c>
      <c r="I148" s="230">
        <f t="shared" si="71"/>
        <v>715.9</v>
      </c>
      <c r="J148" s="230">
        <f t="shared" si="71"/>
        <v>710.7</v>
      </c>
      <c r="K148" s="230">
        <f t="shared" si="69"/>
        <v>99.2736415700517</v>
      </c>
    </row>
    <row r="149" spans="1:11" ht="31.5">
      <c r="A149" s="274" t="s">
        <v>1011</v>
      </c>
      <c r="B149" s="160" t="s">
        <v>143</v>
      </c>
      <c r="C149" s="231">
        <v>701.8</v>
      </c>
      <c r="D149" s="231">
        <v>695.25</v>
      </c>
      <c r="E149" s="231">
        <v>701.8</v>
      </c>
      <c r="F149" s="231">
        <v>701.8</v>
      </c>
      <c r="G149" s="231">
        <v>701.8</v>
      </c>
      <c r="H149" s="231">
        <v>701.8</v>
      </c>
      <c r="I149" s="231">
        <v>715.9</v>
      </c>
      <c r="J149" s="231">
        <v>710.7</v>
      </c>
      <c r="K149" s="231">
        <f t="shared" si="69"/>
        <v>99.2736415700517</v>
      </c>
    </row>
    <row r="150" spans="1:11" ht="18.75">
      <c r="A150" s="158" t="s">
        <v>1010</v>
      </c>
      <c r="B150" s="164" t="s">
        <v>144</v>
      </c>
      <c r="C150" s="230" t="e">
        <f>SUM(#REF!+C151)</f>
        <v>#REF!</v>
      </c>
      <c r="D150" s="230" t="e">
        <f>SUM(#REF!+D151)</f>
        <v>#REF!</v>
      </c>
      <c r="E150" s="230" t="e">
        <f>SUM(#REF!+E151)</f>
        <v>#REF!</v>
      </c>
      <c r="F150" s="230" t="e">
        <f>SUM(#REF!+F151)</f>
        <v>#REF!</v>
      </c>
      <c r="G150" s="230" t="e">
        <f>SUM(#REF!+G151)</f>
        <v>#REF!</v>
      </c>
      <c r="H150" s="230" t="e">
        <f>SUM(#REF!+H151)</f>
        <v>#REF!</v>
      </c>
      <c r="I150" s="230">
        <f>SUM(I151)</f>
        <v>11326.6</v>
      </c>
      <c r="J150" s="230">
        <f aca="true" t="shared" si="72" ref="J150">SUM(J151)</f>
        <v>8194.7</v>
      </c>
      <c r="K150" s="230">
        <f t="shared" si="69"/>
        <v>72.34916038352198</v>
      </c>
    </row>
    <row r="151" spans="1:11" ht="18.75">
      <c r="A151" s="158" t="s">
        <v>1009</v>
      </c>
      <c r="B151" s="164" t="s">
        <v>145</v>
      </c>
      <c r="C151" s="230">
        <f aca="true" t="shared" si="73" ref="C151:H151">SUM(C152:C153)</f>
        <v>10920.8</v>
      </c>
      <c r="D151" s="230">
        <f t="shared" si="73"/>
        <v>7284.7</v>
      </c>
      <c r="E151" s="230">
        <f t="shared" si="73"/>
        <v>10920.8</v>
      </c>
      <c r="F151" s="230">
        <f t="shared" si="73"/>
        <v>10920.8</v>
      </c>
      <c r="G151" s="230">
        <f t="shared" si="73"/>
        <v>10920.8</v>
      </c>
      <c r="H151" s="230">
        <f t="shared" si="73"/>
        <v>10920.8</v>
      </c>
      <c r="I151" s="230">
        <f>SUM(I152:I154)</f>
        <v>11326.6</v>
      </c>
      <c r="J151" s="230">
        <f aca="true" t="shared" si="74" ref="J151">SUM(J152:J154)</f>
        <v>8194.7</v>
      </c>
      <c r="K151" s="230">
        <f t="shared" si="69"/>
        <v>72.34916038352198</v>
      </c>
    </row>
    <row r="152" spans="1:11" ht="110.25">
      <c r="A152" s="352" t="s">
        <v>1021</v>
      </c>
      <c r="B152" s="172" t="s">
        <v>937</v>
      </c>
      <c r="C152" s="241">
        <v>9227.5</v>
      </c>
      <c r="D152" s="241">
        <v>6274.7</v>
      </c>
      <c r="E152" s="241">
        <v>9227.5</v>
      </c>
      <c r="F152" s="241">
        <v>9227.5</v>
      </c>
      <c r="G152" s="241">
        <v>9227.5</v>
      </c>
      <c r="H152" s="241">
        <v>9227.5</v>
      </c>
      <c r="I152" s="241">
        <f>9652.9-813.5</f>
        <v>8839.4</v>
      </c>
      <c r="J152" s="241">
        <v>6467.6</v>
      </c>
      <c r="K152" s="231">
        <f t="shared" si="69"/>
        <v>73.16786207208634</v>
      </c>
    </row>
    <row r="153" spans="1:11" ht="126">
      <c r="A153" s="353"/>
      <c r="B153" s="172" t="s">
        <v>938</v>
      </c>
      <c r="C153" s="241">
        <v>1693.3</v>
      </c>
      <c r="D153" s="241">
        <v>1010</v>
      </c>
      <c r="E153" s="241">
        <v>1693.3</v>
      </c>
      <c r="F153" s="241">
        <v>1693.3</v>
      </c>
      <c r="G153" s="241">
        <v>1693.3</v>
      </c>
      <c r="H153" s="241">
        <v>1693.3</v>
      </c>
      <c r="I153" s="241">
        <v>1673.7</v>
      </c>
      <c r="J153" s="241">
        <v>1152.5</v>
      </c>
      <c r="K153" s="231">
        <f t="shared" si="69"/>
        <v>68.85941327597538</v>
      </c>
    </row>
    <row r="154" spans="1:11" ht="110.25">
      <c r="A154" s="354"/>
      <c r="B154" s="172" t="s">
        <v>1059</v>
      </c>
      <c r="C154" s="241"/>
      <c r="D154" s="241"/>
      <c r="E154" s="241"/>
      <c r="F154" s="241"/>
      <c r="G154" s="241"/>
      <c r="H154" s="241"/>
      <c r="I154" s="241">
        <v>813.5</v>
      </c>
      <c r="J154" s="241">
        <v>574.6</v>
      </c>
      <c r="K154" s="231">
        <f t="shared" si="69"/>
        <v>70.63306699446835</v>
      </c>
    </row>
    <row r="155" spans="1:11" ht="18.75">
      <c r="A155" s="20" t="s">
        <v>923</v>
      </c>
      <c r="B155" s="259" t="s">
        <v>924</v>
      </c>
      <c r="C155" s="260">
        <v>0</v>
      </c>
      <c r="D155" s="260">
        <f>SUM(D159)</f>
        <v>-1324.9</v>
      </c>
      <c r="E155" s="260">
        <f>SUM(E159)</f>
        <v>-1324.9</v>
      </c>
      <c r="F155" s="260">
        <f>SUM(F159)</f>
        <v>0</v>
      </c>
      <c r="G155" s="260">
        <f>SUM(G159)</f>
        <v>0</v>
      </c>
      <c r="H155" s="260">
        <f>SUM(H159)</f>
        <v>0</v>
      </c>
      <c r="I155" s="260">
        <f>SUM(I156)</f>
        <v>75713.33</v>
      </c>
      <c r="J155" s="260">
        <f aca="true" t="shared" si="75" ref="J155:J156">SUM(J156)</f>
        <v>68466</v>
      </c>
      <c r="K155" s="230">
        <f t="shared" si="69"/>
        <v>90.42793389222214</v>
      </c>
    </row>
    <row r="156" spans="1:11" ht="18.75">
      <c r="A156" s="20" t="s">
        <v>925</v>
      </c>
      <c r="B156" s="259" t="s">
        <v>926</v>
      </c>
      <c r="C156" s="260"/>
      <c r="D156" s="260"/>
      <c r="E156" s="260"/>
      <c r="F156" s="260"/>
      <c r="G156" s="260"/>
      <c r="H156" s="260"/>
      <c r="I156" s="260">
        <f>SUM(I157)</f>
        <v>75713.33</v>
      </c>
      <c r="J156" s="260">
        <f t="shared" si="75"/>
        <v>68466</v>
      </c>
      <c r="K156" s="230">
        <f t="shared" si="69"/>
        <v>90.42793389222214</v>
      </c>
    </row>
    <row r="157" spans="1:11" ht="18.75">
      <c r="A157" s="349" t="s">
        <v>1072</v>
      </c>
      <c r="B157" s="263" t="s">
        <v>926</v>
      </c>
      <c r="C157" s="260"/>
      <c r="D157" s="260"/>
      <c r="E157" s="260"/>
      <c r="F157" s="260"/>
      <c r="G157" s="260"/>
      <c r="H157" s="260"/>
      <c r="I157" s="260">
        <f>SUM(I159:I162)</f>
        <v>75713.33</v>
      </c>
      <c r="J157" s="260">
        <f aca="true" t="shared" si="76" ref="J157">SUM(J159:J162)</f>
        <v>68466</v>
      </c>
      <c r="K157" s="230">
        <f t="shared" si="69"/>
        <v>90.42793389222214</v>
      </c>
    </row>
    <row r="158" spans="1:11" ht="18.75">
      <c r="A158" s="350"/>
      <c r="B158" s="263" t="s">
        <v>130</v>
      </c>
      <c r="C158" s="260"/>
      <c r="D158" s="260"/>
      <c r="E158" s="260"/>
      <c r="F158" s="260"/>
      <c r="G158" s="260"/>
      <c r="H158" s="260"/>
      <c r="I158" s="260"/>
      <c r="J158" s="260"/>
      <c r="K158" s="230"/>
    </row>
    <row r="159" spans="1:11" ht="94.5">
      <c r="A159" s="350"/>
      <c r="B159" s="261" t="s">
        <v>1062</v>
      </c>
      <c r="C159" s="241">
        <v>0</v>
      </c>
      <c r="D159" s="241">
        <v>-1324.9</v>
      </c>
      <c r="E159" s="241">
        <v>-1324.9</v>
      </c>
      <c r="F159" s="241">
        <v>0</v>
      </c>
      <c r="G159" s="241">
        <v>0</v>
      </c>
      <c r="H159" s="241">
        <v>0</v>
      </c>
      <c r="I159" s="241">
        <v>20500</v>
      </c>
      <c r="J159" s="241">
        <v>19245.9</v>
      </c>
      <c r="K159" s="231">
        <f t="shared" si="69"/>
        <v>93.88243902439025</v>
      </c>
    </row>
    <row r="160" spans="1:11" ht="78.75">
      <c r="A160" s="350"/>
      <c r="B160" s="261" t="s">
        <v>1063</v>
      </c>
      <c r="C160" s="241"/>
      <c r="D160" s="241"/>
      <c r="E160" s="241"/>
      <c r="F160" s="241"/>
      <c r="G160" s="241"/>
      <c r="H160" s="241"/>
      <c r="I160" s="241">
        <v>55213.33</v>
      </c>
      <c r="J160" s="241">
        <v>49220.1</v>
      </c>
      <c r="K160" s="231">
        <f t="shared" si="69"/>
        <v>89.14532052314178</v>
      </c>
    </row>
    <row r="161" spans="1:11" ht="63" hidden="1">
      <c r="A161" s="350"/>
      <c r="B161" s="261" t="s">
        <v>954</v>
      </c>
      <c r="C161" s="241">
        <v>0</v>
      </c>
      <c r="D161" s="241">
        <v>-1324.9</v>
      </c>
      <c r="E161" s="241">
        <v>-1324.9</v>
      </c>
      <c r="F161" s="241">
        <v>0</v>
      </c>
      <c r="G161" s="241">
        <v>0</v>
      </c>
      <c r="H161" s="241">
        <v>0</v>
      </c>
      <c r="I161" s="241">
        <v>0</v>
      </c>
      <c r="J161" s="241">
        <v>0</v>
      </c>
      <c r="K161" s="230" t="e">
        <f t="shared" si="69"/>
        <v>#DIV/0!</v>
      </c>
    </row>
    <row r="162" spans="1:11" ht="78.75" hidden="1">
      <c r="A162" s="351"/>
      <c r="B162" s="261" t="s">
        <v>953</v>
      </c>
      <c r="C162" s="241">
        <v>0</v>
      </c>
      <c r="D162" s="241">
        <v>-1324.9</v>
      </c>
      <c r="E162" s="241">
        <v>-1324.9</v>
      </c>
      <c r="F162" s="241">
        <v>0</v>
      </c>
      <c r="G162" s="241">
        <v>0</v>
      </c>
      <c r="H162" s="241">
        <v>0</v>
      </c>
      <c r="I162" s="241">
        <v>0</v>
      </c>
      <c r="J162" s="241">
        <v>0</v>
      </c>
      <c r="K162" s="230" t="e">
        <f t="shared" si="69"/>
        <v>#DIV/0!</v>
      </c>
    </row>
    <row r="163" spans="1:11" ht="31.5">
      <c r="A163" s="323" t="s">
        <v>1099</v>
      </c>
      <c r="B163" s="324" t="s">
        <v>1100</v>
      </c>
      <c r="C163" s="241"/>
      <c r="D163" s="241"/>
      <c r="E163" s="241"/>
      <c r="F163" s="241"/>
      <c r="G163" s="241"/>
      <c r="H163" s="241"/>
      <c r="I163" s="241">
        <v>0</v>
      </c>
      <c r="J163" s="260">
        <f>J164+J165</f>
        <v>-989.0999999999999</v>
      </c>
      <c r="K163" s="230" t="s">
        <v>1101</v>
      </c>
    </row>
    <row r="164" spans="1:11" ht="41.25" customHeight="1">
      <c r="A164" s="322" t="s">
        <v>1103</v>
      </c>
      <c r="B164" s="261" t="s">
        <v>1105</v>
      </c>
      <c r="C164" s="241"/>
      <c r="D164" s="241"/>
      <c r="E164" s="241"/>
      <c r="F164" s="241"/>
      <c r="G164" s="241"/>
      <c r="H164" s="241"/>
      <c r="I164" s="241">
        <v>0</v>
      </c>
      <c r="J164" s="241">
        <v>-100.8</v>
      </c>
      <c r="K164" s="230" t="s">
        <v>1101</v>
      </c>
    </row>
    <row r="165" spans="1:11" ht="54" customHeight="1">
      <c r="A165" s="322" t="s">
        <v>1102</v>
      </c>
      <c r="B165" s="261" t="s">
        <v>1104</v>
      </c>
      <c r="C165" s="241"/>
      <c r="D165" s="241"/>
      <c r="E165" s="241"/>
      <c r="F165" s="241"/>
      <c r="G165" s="241"/>
      <c r="H165" s="241"/>
      <c r="I165" s="241">
        <v>0</v>
      </c>
      <c r="J165" s="241">
        <v>-888.3</v>
      </c>
      <c r="K165" s="230" t="s">
        <v>1101</v>
      </c>
    </row>
    <row r="166" spans="1:18" ht="18.75">
      <c r="A166" s="274"/>
      <c r="B166" s="251" t="s">
        <v>146</v>
      </c>
      <c r="C166" s="230" t="e">
        <f aca="true" t="shared" si="77" ref="C166:H166">SUM(C94+C12+C155)</f>
        <v>#REF!</v>
      </c>
      <c r="D166" s="230" t="e">
        <f t="shared" si="77"/>
        <v>#REF!</v>
      </c>
      <c r="E166" s="230" t="e">
        <f t="shared" si="77"/>
        <v>#REF!</v>
      </c>
      <c r="F166" s="230" t="e">
        <f t="shared" si="77"/>
        <v>#REF!</v>
      </c>
      <c r="G166" s="230" t="e">
        <f t="shared" si="77"/>
        <v>#REF!</v>
      </c>
      <c r="H166" s="230" t="e">
        <f t="shared" si="77"/>
        <v>#REF!</v>
      </c>
      <c r="I166" s="230">
        <f>SUM(I12+I94)</f>
        <v>715443.3400000001</v>
      </c>
      <c r="J166" s="230">
        <f aca="true" t="shared" si="78" ref="J166">SUM(J12+J94)</f>
        <v>580637.5312399999</v>
      </c>
      <c r="K166" s="230">
        <f t="shared" si="69"/>
        <v>81.15772399810163</v>
      </c>
      <c r="M166" s="267"/>
      <c r="N166" s="136"/>
      <c r="R166" s="136"/>
    </row>
    <row r="168" ht="15">
      <c r="J168" s="319">
        <v>580637.5</v>
      </c>
    </row>
    <row r="169" ht="15">
      <c r="J169" s="319">
        <f>J168-J166</f>
        <v>-0.031239999923855066</v>
      </c>
    </row>
  </sheetData>
  <mergeCells count="7">
    <mergeCell ref="A7:K7"/>
    <mergeCell ref="A8:K8"/>
    <mergeCell ref="A157:A162"/>
    <mergeCell ref="A110:A127"/>
    <mergeCell ref="B116:C116"/>
    <mergeCell ref="A152:A154"/>
    <mergeCell ref="A130:A147"/>
  </mergeCells>
  <printOptions/>
  <pageMargins left="0.2362204724409449" right="0.03937007874015748" top="0.5511811023622047" bottom="0.5511811023622047" header="0.31496062992125984" footer="0.31496062992125984"/>
  <pageSetup fitToHeight="6" fitToWidth="1" horizontalDpi="600" verticalDpi="600" orientation="portrait" paperSize="9" scale="65" r:id="rId1"/>
  <ignoredErrors>
    <ignoredError sqref="I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BreakPreview" zoomScaleSheetLayoutView="100" workbookViewId="0" topLeftCell="A1">
      <selection activeCell="J5" sqref="J5:K5"/>
    </sheetView>
  </sheetViews>
  <sheetFormatPr defaultColWidth="9.140625" defaultRowHeight="15"/>
  <cols>
    <col min="1" max="1" width="80.7109375" style="0" customWidth="1"/>
    <col min="2" max="2" width="4.57421875" style="0" customWidth="1"/>
    <col min="3" max="3" width="6.140625" style="0" customWidth="1"/>
    <col min="4" max="4" width="13.8515625" style="0" hidden="1" customWidth="1"/>
    <col min="5" max="5" width="16.00390625" style="0" hidden="1" customWidth="1"/>
    <col min="6" max="6" width="11.421875" style="0" hidden="1" customWidth="1"/>
    <col min="7" max="7" width="12.421875" style="0" hidden="1" customWidth="1"/>
    <col min="8" max="8" width="13.28125" style="0" hidden="1" customWidth="1"/>
    <col min="9" max="9" width="13.140625" style="0" customWidth="1"/>
    <col min="10" max="10" width="14.7109375" style="299" customWidth="1"/>
    <col min="11" max="11" width="13.140625" style="299" customWidth="1"/>
  </cols>
  <sheetData>
    <row r="1" spans="1:11" ht="18.75">
      <c r="A1" s="12"/>
      <c r="B1" s="299"/>
      <c r="C1" s="12"/>
      <c r="D1" s="299"/>
      <c r="E1" s="299"/>
      <c r="F1" s="299"/>
      <c r="G1" s="299"/>
      <c r="H1" s="299"/>
      <c r="I1" s="254"/>
      <c r="J1" s="360" t="s">
        <v>1109</v>
      </c>
      <c r="K1" s="360"/>
    </row>
    <row r="2" spans="1:11" ht="18.75">
      <c r="A2" s="12"/>
      <c r="B2" s="299"/>
      <c r="C2" s="12"/>
      <c r="D2" s="299"/>
      <c r="E2" s="299"/>
      <c r="F2" s="299"/>
      <c r="G2" s="299"/>
      <c r="H2" s="299"/>
      <c r="I2" s="254"/>
      <c r="J2" s="360" t="s">
        <v>1108</v>
      </c>
      <c r="K2" s="360"/>
    </row>
    <row r="3" spans="1:11" ht="18.75">
      <c r="A3" s="12"/>
      <c r="B3" s="311"/>
      <c r="C3" s="12"/>
      <c r="D3" s="299"/>
      <c r="E3" s="299"/>
      <c r="F3" s="299"/>
      <c r="G3" s="299"/>
      <c r="H3" s="299"/>
      <c r="I3" s="254"/>
      <c r="J3" s="361" t="s">
        <v>1106</v>
      </c>
      <c r="K3" s="361"/>
    </row>
    <row r="4" spans="1:11" s="299" customFormat="1" ht="18.75">
      <c r="A4" s="12"/>
      <c r="B4" s="327"/>
      <c r="C4" s="12"/>
      <c r="I4" s="326"/>
      <c r="J4" s="361" t="s">
        <v>1107</v>
      </c>
      <c r="K4" s="361"/>
    </row>
    <row r="5" spans="1:11" s="299" customFormat="1" ht="18.75">
      <c r="A5" s="12"/>
      <c r="B5" s="327"/>
      <c r="C5" s="12"/>
      <c r="I5" s="326"/>
      <c r="J5" s="361" t="s">
        <v>1115</v>
      </c>
      <c r="K5" s="361"/>
    </row>
    <row r="6" spans="1:11" s="299" customFormat="1" ht="18.75">
      <c r="A6" s="12"/>
      <c r="B6" s="327"/>
      <c r="C6" s="12"/>
      <c r="I6" s="326"/>
      <c r="J6" s="338"/>
      <c r="K6" s="338"/>
    </row>
    <row r="7" spans="1:11" ht="16.5">
      <c r="A7" s="359" t="s">
        <v>1079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</row>
    <row r="8" spans="1:11" ht="16.5">
      <c r="A8" s="359" t="s">
        <v>734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</row>
    <row r="9" spans="1:11" ht="16.5">
      <c r="A9" s="359" t="s">
        <v>1081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</row>
    <row r="10" spans="1:9" ht="15.75">
      <c r="A10" s="357"/>
      <c r="B10" s="358"/>
      <c r="C10" s="358"/>
      <c r="D10" s="358"/>
      <c r="E10" s="299"/>
      <c r="F10" s="299"/>
      <c r="G10" s="299"/>
      <c r="H10" s="299"/>
      <c r="I10" s="299"/>
    </row>
    <row r="11" spans="1:11" ht="66" customHeight="1">
      <c r="A11" s="110" t="s">
        <v>735</v>
      </c>
      <c r="B11" s="110" t="s">
        <v>736</v>
      </c>
      <c r="C11" s="110" t="s">
        <v>737</v>
      </c>
      <c r="D11" s="77" t="s">
        <v>4</v>
      </c>
      <c r="E11" s="216" t="s">
        <v>852</v>
      </c>
      <c r="F11" s="228" t="s">
        <v>856</v>
      </c>
      <c r="G11" s="216" t="s">
        <v>853</v>
      </c>
      <c r="H11" s="216" t="s">
        <v>854</v>
      </c>
      <c r="I11" s="310" t="s">
        <v>1080</v>
      </c>
      <c r="J11" s="310" t="s">
        <v>1078</v>
      </c>
      <c r="K11" s="310" t="s">
        <v>1075</v>
      </c>
    </row>
    <row r="12" spans="1:11" ht="15.75">
      <c r="A12" s="49" t="s">
        <v>156</v>
      </c>
      <c r="B12" s="25" t="s">
        <v>157</v>
      </c>
      <c r="C12" s="111"/>
      <c r="D12" s="112" t="e">
        <f aca="true" t="shared" si="0" ref="D12:I12">D13+D14+D15+D16+D18</f>
        <v>#REF!</v>
      </c>
      <c r="E12" s="112" t="e">
        <f t="shared" si="0"/>
        <v>#REF!</v>
      </c>
      <c r="F12" s="112" t="e">
        <f t="shared" si="0"/>
        <v>#REF!</v>
      </c>
      <c r="G12" s="112" t="e">
        <f t="shared" si="0"/>
        <v>#REF!</v>
      </c>
      <c r="H12" s="112" t="e">
        <f t="shared" si="0"/>
        <v>#REF!</v>
      </c>
      <c r="I12" s="112">
        <f t="shared" si="0"/>
        <v>155567.09999999998</v>
      </c>
      <c r="J12" s="112">
        <f aca="true" t="shared" si="1" ref="J12">J13+J14+J15+J16+J18</f>
        <v>93829.6</v>
      </c>
      <c r="K12" s="112">
        <f>J12/I12*100</f>
        <v>60.31455237000627</v>
      </c>
    </row>
    <row r="13" spans="1:11" ht="31.5">
      <c r="A13" s="33" t="s">
        <v>615</v>
      </c>
      <c r="B13" s="21" t="s">
        <v>157</v>
      </c>
      <c r="C13" s="21" t="s">
        <v>252</v>
      </c>
      <c r="D13" s="28" t="e">
        <f>'ПРил.№3 Рд,пр, ЦС,ВР'!F13</f>
        <v>#REF!</v>
      </c>
      <c r="E13" s="28" t="e">
        <f>'ПРил.№3 Рд,пр, ЦС,ВР'!G13</f>
        <v>#REF!</v>
      </c>
      <c r="F13" s="28" t="e">
        <f>'ПРил.№3 Рд,пр, ЦС,ВР'!H13</f>
        <v>#REF!</v>
      </c>
      <c r="G13" s="28" t="e">
        <f>'ПРил.№3 Рд,пр, ЦС,ВР'!I13</f>
        <v>#REF!</v>
      </c>
      <c r="H13" s="28" t="e">
        <f>'ПРил.№3 Рд,пр, ЦС,ВР'!J13</f>
        <v>#REF!</v>
      </c>
      <c r="I13" s="28">
        <f>'ПРил.№3 Рд,пр, ЦС,ВР'!K13</f>
        <v>4330.8</v>
      </c>
      <c r="J13" s="28">
        <f>'ПРил.№3 Рд,пр, ЦС,ВР'!L13</f>
        <v>2623.4</v>
      </c>
      <c r="K13" s="313">
        <f aca="true" t="shared" si="2" ref="K13:K52">J13/I13*100</f>
        <v>60.57541331855546</v>
      </c>
    </row>
    <row r="14" spans="1:11" ht="47.25">
      <c r="A14" s="33" t="s">
        <v>618</v>
      </c>
      <c r="B14" s="21" t="s">
        <v>157</v>
      </c>
      <c r="C14" s="21" t="s">
        <v>254</v>
      </c>
      <c r="D14" s="28" t="e">
        <f>'ПРил.№3 Рд,пр, ЦС,ВР'!F21</f>
        <v>#REF!</v>
      </c>
      <c r="E14" s="28" t="e">
        <f>'ПРил.№3 Рд,пр, ЦС,ВР'!G21</f>
        <v>#REF!</v>
      </c>
      <c r="F14" s="28" t="e">
        <f>'ПРил.№3 Рд,пр, ЦС,ВР'!H21</f>
        <v>#REF!</v>
      </c>
      <c r="G14" s="28" t="e">
        <f>'ПРил.№3 Рд,пр, ЦС,ВР'!I21</f>
        <v>#REF!</v>
      </c>
      <c r="H14" s="28" t="e">
        <f>'ПРил.№3 Рд,пр, ЦС,ВР'!J21</f>
        <v>#REF!</v>
      </c>
      <c r="I14" s="28">
        <f>'ПРил.№3 Рд,пр, ЦС,ВР'!K21</f>
        <v>1116</v>
      </c>
      <c r="J14" s="28">
        <f>'ПРил.№3 Рд,пр, ЦС,ВР'!L21</f>
        <v>875.3000000000001</v>
      </c>
      <c r="K14" s="313">
        <f t="shared" si="2"/>
        <v>78.43189964157706</v>
      </c>
    </row>
    <row r="15" spans="1:11" ht="47.25">
      <c r="A15" s="26" t="s">
        <v>188</v>
      </c>
      <c r="B15" s="21" t="s">
        <v>157</v>
      </c>
      <c r="C15" s="21" t="s">
        <v>189</v>
      </c>
      <c r="D15" s="28" t="e">
        <f>'ПРил.№3 Рд,пр, ЦС,ВР'!F31</f>
        <v>#REF!</v>
      </c>
      <c r="E15" s="28" t="e">
        <f>'ПРил.№3 Рд,пр, ЦС,ВР'!G31</f>
        <v>#REF!</v>
      </c>
      <c r="F15" s="28" t="e">
        <f>'ПРил.№3 Рд,пр, ЦС,ВР'!H31</f>
        <v>#REF!</v>
      </c>
      <c r="G15" s="28" t="e">
        <f>'ПРил.№3 Рд,пр, ЦС,ВР'!I31</f>
        <v>#REF!</v>
      </c>
      <c r="H15" s="28" t="e">
        <f>'ПРил.№3 Рд,пр, ЦС,ВР'!J31</f>
        <v>#REF!</v>
      </c>
      <c r="I15" s="28">
        <f>'ПРил.№3 Рд,пр, ЦС,ВР'!K31</f>
        <v>63586.69999999999</v>
      </c>
      <c r="J15" s="28">
        <f>'ПРил.№3 Рд,пр, ЦС,ВР'!L31</f>
        <v>43543.1</v>
      </c>
      <c r="K15" s="313">
        <f t="shared" si="2"/>
        <v>68.478313861232</v>
      </c>
    </row>
    <row r="16" spans="1:11" ht="31.5">
      <c r="A16" s="26" t="s">
        <v>158</v>
      </c>
      <c r="B16" s="21" t="s">
        <v>157</v>
      </c>
      <c r="C16" s="21" t="s">
        <v>159</v>
      </c>
      <c r="D16" s="28" t="e">
        <f>'ПРил.№3 Рд,пр, ЦС,ВР'!F61</f>
        <v>#REF!</v>
      </c>
      <c r="E16" s="28" t="e">
        <f>'ПРил.№3 Рд,пр, ЦС,ВР'!G61</f>
        <v>#REF!</v>
      </c>
      <c r="F16" s="28" t="e">
        <f>'ПРил.№3 Рд,пр, ЦС,ВР'!H61</f>
        <v>#REF!</v>
      </c>
      <c r="G16" s="28" t="e">
        <f>'ПРил.№3 Рд,пр, ЦС,ВР'!I61</f>
        <v>#REF!</v>
      </c>
      <c r="H16" s="28" t="e">
        <f>'ПРил.№3 Рд,пр, ЦС,ВР'!J61</f>
        <v>#REF!</v>
      </c>
      <c r="I16" s="28">
        <f>'ПРил.№3 Рд,пр, ЦС,ВР'!K61</f>
        <v>19264.8</v>
      </c>
      <c r="J16" s="28">
        <f>'ПРил.№3 Рд,пр, ЦС,ВР'!L61</f>
        <v>9775.9</v>
      </c>
      <c r="K16" s="313">
        <f t="shared" si="2"/>
        <v>50.744881857065735</v>
      </c>
    </row>
    <row r="17" spans="1:11" ht="15.75" hidden="1">
      <c r="A17" s="26" t="s">
        <v>738</v>
      </c>
      <c r="B17" s="21" t="s">
        <v>157</v>
      </c>
      <c r="C17" s="21" t="s">
        <v>531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313" t="e">
        <f t="shared" si="2"/>
        <v>#DIV/0!</v>
      </c>
    </row>
    <row r="18" spans="1:11" ht="15.75">
      <c r="A18" s="113" t="s">
        <v>178</v>
      </c>
      <c r="B18" s="21" t="s">
        <v>157</v>
      </c>
      <c r="C18" s="21" t="s">
        <v>179</v>
      </c>
      <c r="D18" s="28" t="e">
        <f>'ПРил.№3 Рд,пр, ЦС,ВР'!F79</f>
        <v>#REF!</v>
      </c>
      <c r="E18" s="28" t="e">
        <f>'ПРил.№3 Рд,пр, ЦС,ВР'!G79</f>
        <v>#REF!</v>
      </c>
      <c r="F18" s="28" t="e">
        <f>'ПРил.№3 Рд,пр, ЦС,ВР'!H79</f>
        <v>#REF!</v>
      </c>
      <c r="G18" s="28" t="e">
        <f>'ПРил.№3 Рд,пр, ЦС,ВР'!I79</f>
        <v>#REF!</v>
      </c>
      <c r="H18" s="28" t="e">
        <f>'ПРил.№3 Рд,пр, ЦС,ВР'!J79</f>
        <v>#REF!</v>
      </c>
      <c r="I18" s="28">
        <f>'ПРил.№3 Рд,пр, ЦС,ВР'!K79</f>
        <v>67268.8</v>
      </c>
      <c r="J18" s="28">
        <f>'ПРил.№3 Рд,пр, ЦС,ВР'!L79</f>
        <v>37011.9</v>
      </c>
      <c r="K18" s="313">
        <f t="shared" si="2"/>
        <v>55.02090122017934</v>
      </c>
    </row>
    <row r="19" spans="1:11" ht="15.75" hidden="1">
      <c r="A19" s="20" t="s">
        <v>251</v>
      </c>
      <c r="B19" s="25" t="s">
        <v>252</v>
      </c>
      <c r="C19" s="21"/>
      <c r="D19" s="46" t="e">
        <f aca="true" t="shared" si="3" ref="D19:J19">D20</f>
        <v>#REF!</v>
      </c>
      <c r="E19" s="46" t="e">
        <f t="shared" si="3"/>
        <v>#REF!</v>
      </c>
      <c r="F19" s="46" t="e">
        <f t="shared" si="3"/>
        <v>#REF!</v>
      </c>
      <c r="G19" s="46" t="e">
        <f t="shared" si="3"/>
        <v>#REF!</v>
      </c>
      <c r="H19" s="46" t="e">
        <f t="shared" si="3"/>
        <v>#REF!</v>
      </c>
      <c r="I19" s="46">
        <f t="shared" si="3"/>
        <v>0</v>
      </c>
      <c r="J19" s="46">
        <f t="shared" si="3"/>
        <v>0</v>
      </c>
      <c r="K19" s="112" t="e">
        <f t="shared" si="2"/>
        <v>#DIV/0!</v>
      </c>
    </row>
    <row r="20" spans="1:11" ht="15.75" hidden="1">
      <c r="A20" s="26" t="s">
        <v>257</v>
      </c>
      <c r="B20" s="21" t="s">
        <v>252</v>
      </c>
      <c r="C20" s="21" t="s">
        <v>258</v>
      </c>
      <c r="D20" s="28" t="e">
        <f>'ПРил.№3 Рд,пр, ЦС,ВР'!F214</f>
        <v>#REF!</v>
      </c>
      <c r="E20" s="28" t="e">
        <f>'ПРил.№3 Рд,пр, ЦС,ВР'!G214</f>
        <v>#REF!</v>
      </c>
      <c r="F20" s="28" t="e">
        <f>'ПРил.№3 Рд,пр, ЦС,ВР'!H214</f>
        <v>#REF!</v>
      </c>
      <c r="G20" s="28" t="e">
        <f>'ПРил.№3 Рд,пр, ЦС,ВР'!I214</f>
        <v>#REF!</v>
      </c>
      <c r="H20" s="28" t="e">
        <f>'ПРил.№3 Рд,пр, ЦС,ВР'!J214</f>
        <v>#REF!</v>
      </c>
      <c r="I20" s="28">
        <f>'ПРил.№3 Рд,пр, ЦС,ВР'!K214</f>
        <v>0</v>
      </c>
      <c r="J20" s="28">
        <f>'ПРил.№3 Рд,пр, ЦС,ВР'!L214</f>
        <v>0</v>
      </c>
      <c r="K20" s="112" t="e">
        <f t="shared" si="2"/>
        <v>#DIV/0!</v>
      </c>
    </row>
    <row r="21" spans="1:11" ht="18" customHeight="1">
      <c r="A21" s="36" t="s">
        <v>261</v>
      </c>
      <c r="B21" s="25" t="s">
        <v>254</v>
      </c>
      <c r="C21" s="25"/>
      <c r="D21" s="46" t="e">
        <f aca="true" t="shared" si="4" ref="D21:J21">D22</f>
        <v>#REF!</v>
      </c>
      <c r="E21" s="46" t="e">
        <f t="shared" si="4"/>
        <v>#REF!</v>
      </c>
      <c r="F21" s="46" t="e">
        <f t="shared" si="4"/>
        <v>#REF!</v>
      </c>
      <c r="G21" s="46" t="e">
        <f t="shared" si="4"/>
        <v>#REF!</v>
      </c>
      <c r="H21" s="46" t="e">
        <f t="shared" si="4"/>
        <v>#REF!</v>
      </c>
      <c r="I21" s="46">
        <f t="shared" si="4"/>
        <v>8633.1</v>
      </c>
      <c r="J21" s="46">
        <f t="shared" si="4"/>
        <v>5719.1</v>
      </c>
      <c r="K21" s="112">
        <f t="shared" si="2"/>
        <v>66.24619198202268</v>
      </c>
    </row>
    <row r="22" spans="1:11" ht="31.5">
      <c r="A22" s="33" t="s">
        <v>262</v>
      </c>
      <c r="B22" s="21" t="s">
        <v>254</v>
      </c>
      <c r="C22" s="21" t="s">
        <v>258</v>
      </c>
      <c r="D22" s="28" t="e">
        <f>'ПРил.№3 Рд,пр, ЦС,ВР'!F225</f>
        <v>#REF!</v>
      </c>
      <c r="E22" s="28" t="e">
        <f>'ПРил.№3 Рд,пр, ЦС,ВР'!G225</f>
        <v>#REF!</v>
      </c>
      <c r="F22" s="28" t="e">
        <f>'ПРил.№3 Рд,пр, ЦС,ВР'!H225</f>
        <v>#REF!</v>
      </c>
      <c r="G22" s="28" t="e">
        <f>'ПРил.№3 Рд,пр, ЦС,ВР'!I225</f>
        <v>#REF!</v>
      </c>
      <c r="H22" s="28" t="e">
        <f>'ПРил.№3 Рд,пр, ЦС,ВР'!J225</f>
        <v>#REF!</v>
      </c>
      <c r="I22" s="28">
        <f>'ПРил.№3 Рд,пр, ЦС,ВР'!K225</f>
        <v>8633.1</v>
      </c>
      <c r="J22" s="28">
        <f>'ПРил.№3 Рд,пр, ЦС,ВР'!L225</f>
        <v>5719.1</v>
      </c>
      <c r="K22" s="313">
        <f t="shared" si="2"/>
        <v>66.24619198202268</v>
      </c>
    </row>
    <row r="23" spans="1:11" ht="15.75">
      <c r="A23" s="49" t="s">
        <v>271</v>
      </c>
      <c r="B23" s="25" t="s">
        <v>189</v>
      </c>
      <c r="C23" s="25"/>
      <c r="D23" s="46" t="e">
        <f aca="true" t="shared" si="5" ref="D23:I23">D24+D25+D26+D27</f>
        <v>#REF!</v>
      </c>
      <c r="E23" s="46" t="e">
        <f t="shared" si="5"/>
        <v>#REF!</v>
      </c>
      <c r="F23" s="46" t="e">
        <f t="shared" si="5"/>
        <v>#REF!</v>
      </c>
      <c r="G23" s="46" t="e">
        <f t="shared" si="5"/>
        <v>#REF!</v>
      </c>
      <c r="H23" s="46" t="e">
        <f t="shared" si="5"/>
        <v>#REF!</v>
      </c>
      <c r="I23" s="46">
        <f t="shared" si="5"/>
        <v>10461.5</v>
      </c>
      <c r="J23" s="46">
        <f aca="true" t="shared" si="6" ref="J23">J24+J25+J26+J27</f>
        <v>3464.8</v>
      </c>
      <c r="K23" s="112">
        <f t="shared" si="2"/>
        <v>33.119533527696795</v>
      </c>
    </row>
    <row r="24" spans="1:11" ht="15.75">
      <c r="A24" s="114" t="s">
        <v>272</v>
      </c>
      <c r="B24" s="21" t="s">
        <v>189</v>
      </c>
      <c r="C24" s="21" t="s">
        <v>273</v>
      </c>
      <c r="D24" s="28" t="e">
        <f>'ПРил.№3 Рд,пр, ЦС,ВР'!F243</f>
        <v>#REF!</v>
      </c>
      <c r="E24" s="28" t="e">
        <f>'ПРил.№3 Рд,пр, ЦС,ВР'!G243</f>
        <v>#REF!</v>
      </c>
      <c r="F24" s="28" t="e">
        <f>'ПРил.№3 Рд,пр, ЦС,ВР'!H243</f>
        <v>#REF!</v>
      </c>
      <c r="G24" s="28" t="e">
        <f>'ПРил.№3 Рд,пр, ЦС,ВР'!I243</f>
        <v>#REF!</v>
      </c>
      <c r="H24" s="28" t="e">
        <f>'ПРил.№3 Рд,пр, ЦС,ВР'!J243</f>
        <v>#REF!</v>
      </c>
      <c r="I24" s="28">
        <f>'ПРил.№3 Рд,пр, ЦС,ВР'!K243</f>
        <v>355</v>
      </c>
      <c r="J24" s="28">
        <f>'ПРил.№3 Рд,пр, ЦС,ВР'!L243</f>
        <v>182</v>
      </c>
      <c r="K24" s="313">
        <f t="shared" si="2"/>
        <v>51.267605633802816</v>
      </c>
    </row>
    <row r="25" spans="1:11" ht="15.75">
      <c r="A25" s="113" t="s">
        <v>545</v>
      </c>
      <c r="B25" s="21" t="s">
        <v>189</v>
      </c>
      <c r="C25" s="21" t="s">
        <v>338</v>
      </c>
      <c r="D25" s="28" t="e">
        <f>'ПРил.№3 Рд,пр, ЦС,ВР'!F259</f>
        <v>#REF!</v>
      </c>
      <c r="E25" s="28" t="e">
        <f>'ПРил.№3 Рд,пр, ЦС,ВР'!G259</f>
        <v>#REF!</v>
      </c>
      <c r="F25" s="28" t="e">
        <f>'ПРил.№3 Рд,пр, ЦС,ВР'!H259</f>
        <v>#REF!</v>
      </c>
      <c r="G25" s="28" t="e">
        <f>'ПРил.№3 Рд,пр, ЦС,ВР'!I259</f>
        <v>#REF!</v>
      </c>
      <c r="H25" s="28" t="e">
        <f>'ПРил.№3 Рд,пр, ЦС,ВР'!J259</f>
        <v>#REF!</v>
      </c>
      <c r="I25" s="28">
        <f>'ПРил.№3 Рд,пр, ЦС,ВР'!K259</f>
        <v>3258.3</v>
      </c>
      <c r="J25" s="28">
        <f>'ПРил.№3 Рд,пр, ЦС,ВР'!L259</f>
        <v>2136</v>
      </c>
      <c r="K25" s="313">
        <f t="shared" si="2"/>
        <v>65.55565785839241</v>
      </c>
    </row>
    <row r="26" spans="1:11" ht="15.75">
      <c r="A26" s="113" t="s">
        <v>548</v>
      </c>
      <c r="B26" s="21" t="s">
        <v>189</v>
      </c>
      <c r="C26" s="21" t="s">
        <v>258</v>
      </c>
      <c r="D26" s="28" t="e">
        <f>'ПРил.№3 Рд,пр, ЦС,ВР'!F265</f>
        <v>#REF!</v>
      </c>
      <c r="E26" s="28" t="e">
        <f>'ПРил.№3 Рд,пр, ЦС,ВР'!G265</f>
        <v>#REF!</v>
      </c>
      <c r="F26" s="28" t="e">
        <f>'ПРил.№3 Рд,пр, ЦС,ВР'!H265</f>
        <v>#REF!</v>
      </c>
      <c r="G26" s="28" t="e">
        <f>'ПРил.№3 Рд,пр, ЦС,ВР'!I265</f>
        <v>#REF!</v>
      </c>
      <c r="H26" s="28" t="e">
        <f>'ПРил.№3 Рд,пр, ЦС,ВР'!J265</f>
        <v>#REF!</v>
      </c>
      <c r="I26" s="28">
        <f>'ПРил.№3 Рд,пр, ЦС,ВР'!K265</f>
        <v>5926.9</v>
      </c>
      <c r="J26" s="28">
        <f>'ПРил.№3 Рд,пр, ЦС,ВР'!L265</f>
        <v>815.9</v>
      </c>
      <c r="K26" s="313">
        <f t="shared" si="2"/>
        <v>13.766049705579647</v>
      </c>
    </row>
    <row r="27" spans="1:11" ht="15.75">
      <c r="A27" s="115" t="s">
        <v>276</v>
      </c>
      <c r="B27" s="21" t="s">
        <v>189</v>
      </c>
      <c r="C27" s="21" t="s">
        <v>277</v>
      </c>
      <c r="D27" s="28" t="e">
        <f>'ПРил.№3 Рд,пр, ЦС,ВР'!F272</f>
        <v>#REF!</v>
      </c>
      <c r="E27" s="28" t="e">
        <f>'ПРил.№3 Рд,пр, ЦС,ВР'!G272</f>
        <v>#REF!</v>
      </c>
      <c r="F27" s="28" t="e">
        <f>'ПРил.№3 Рд,пр, ЦС,ВР'!H272</f>
        <v>#REF!</v>
      </c>
      <c r="G27" s="28" t="e">
        <f>'ПРил.№3 Рд,пр, ЦС,ВР'!I272</f>
        <v>#REF!</v>
      </c>
      <c r="H27" s="28" t="e">
        <f>'ПРил.№3 Рд,пр, ЦС,ВР'!J272</f>
        <v>#REF!</v>
      </c>
      <c r="I27" s="28">
        <f>'ПРил.№3 Рд,пр, ЦС,ВР'!K272</f>
        <v>921.3</v>
      </c>
      <c r="J27" s="28">
        <f>'ПРил.№3 Рд,пр, ЦС,ВР'!L272</f>
        <v>330.9</v>
      </c>
      <c r="K27" s="313">
        <f t="shared" si="2"/>
        <v>35.91663953109736</v>
      </c>
    </row>
    <row r="28" spans="1:11" ht="15.75">
      <c r="A28" s="49" t="s">
        <v>430</v>
      </c>
      <c r="B28" s="25" t="s">
        <v>273</v>
      </c>
      <c r="C28" s="25"/>
      <c r="D28" s="46" t="e">
        <f aca="true" t="shared" si="7" ref="D28:I28">SUM(D29:D32)</f>
        <v>#REF!</v>
      </c>
      <c r="E28" s="46" t="e">
        <f t="shared" si="7"/>
        <v>#REF!</v>
      </c>
      <c r="F28" s="46" t="e">
        <f t="shared" si="7"/>
        <v>#REF!</v>
      </c>
      <c r="G28" s="46" t="e">
        <f t="shared" si="7"/>
        <v>#REF!</v>
      </c>
      <c r="H28" s="46" t="e">
        <f t="shared" si="7"/>
        <v>#REF!</v>
      </c>
      <c r="I28" s="46">
        <f t="shared" si="7"/>
        <v>134730.72</v>
      </c>
      <c r="J28" s="46">
        <f aca="true" t="shared" si="8" ref="J28">SUM(J29:J32)</f>
        <v>110569.8</v>
      </c>
      <c r="K28" s="112">
        <f t="shared" si="2"/>
        <v>82.06725236827948</v>
      </c>
    </row>
    <row r="29" spans="1:11" ht="15.75">
      <c r="A29" s="114" t="s">
        <v>431</v>
      </c>
      <c r="B29" s="21" t="s">
        <v>273</v>
      </c>
      <c r="C29" s="21" t="s">
        <v>157</v>
      </c>
      <c r="D29" s="28" t="e">
        <f>'ПРил.№3 Рд,пр, ЦС,ВР'!F296</f>
        <v>#REF!</v>
      </c>
      <c r="E29" s="28" t="e">
        <f>'ПРил.№3 Рд,пр, ЦС,ВР'!G296</f>
        <v>#REF!</v>
      </c>
      <c r="F29" s="28" t="e">
        <f>'ПРил.№3 Рд,пр, ЦС,ВР'!H296</f>
        <v>#REF!</v>
      </c>
      <c r="G29" s="28" t="e">
        <f>'ПРил.№3 Рд,пр, ЦС,ВР'!I296</f>
        <v>#REF!</v>
      </c>
      <c r="H29" s="28" t="e">
        <f>'ПРил.№3 Рд,пр, ЦС,ВР'!J296</f>
        <v>#REF!</v>
      </c>
      <c r="I29" s="28">
        <f>'ПРил.№3 Рд,пр, ЦС,ВР'!K296</f>
        <v>7279.5</v>
      </c>
      <c r="J29" s="28">
        <f>'ПРил.№3 Рд,пр, ЦС,ВР'!L296</f>
        <v>4229.099999999999</v>
      </c>
      <c r="K29" s="313">
        <f t="shared" si="2"/>
        <v>58.09602307850813</v>
      </c>
    </row>
    <row r="30" spans="1:11" ht="15.75">
      <c r="A30" s="114" t="s">
        <v>557</v>
      </c>
      <c r="B30" s="21" t="s">
        <v>273</v>
      </c>
      <c r="C30" s="21" t="s">
        <v>252</v>
      </c>
      <c r="D30" s="28" t="e">
        <f>'ПРил.№3 Рд,пр, ЦС,ВР'!F315</f>
        <v>#REF!</v>
      </c>
      <c r="E30" s="28" t="e">
        <f>'ПРил.№3 Рд,пр, ЦС,ВР'!G315</f>
        <v>#REF!</v>
      </c>
      <c r="F30" s="28" t="e">
        <f>'ПРил.№3 Рд,пр, ЦС,ВР'!H315</f>
        <v>#REF!</v>
      </c>
      <c r="G30" s="28" t="e">
        <f>'ПРил.№3 Рд,пр, ЦС,ВР'!I315</f>
        <v>#REF!</v>
      </c>
      <c r="H30" s="28" t="e">
        <f>'ПРил.№3 Рд,пр, ЦС,ВР'!J315</f>
        <v>#REF!</v>
      </c>
      <c r="I30" s="28">
        <f>'ПРил.№3 Рд,пр, ЦС,ВР'!K315</f>
        <v>91382.03</v>
      </c>
      <c r="J30" s="28">
        <f>'ПРил.№3 Рд,пр, ЦС,ВР'!L315</f>
        <v>79536.59999999999</v>
      </c>
      <c r="K30" s="313">
        <f t="shared" si="2"/>
        <v>87.03746239824174</v>
      </c>
    </row>
    <row r="31" spans="1:11" ht="15.75">
      <c r="A31" s="113" t="s">
        <v>581</v>
      </c>
      <c r="B31" s="21" t="s">
        <v>273</v>
      </c>
      <c r="C31" s="21" t="s">
        <v>254</v>
      </c>
      <c r="D31" s="28" t="e">
        <f>'ПРил.№3 Рд,пр, ЦС,ВР'!F385</f>
        <v>#REF!</v>
      </c>
      <c r="E31" s="28" t="e">
        <f>'ПРил.№3 Рд,пр, ЦС,ВР'!G385</f>
        <v>#REF!</v>
      </c>
      <c r="F31" s="28" t="e">
        <f>'ПРил.№3 Рд,пр, ЦС,ВР'!H385</f>
        <v>#REF!</v>
      </c>
      <c r="G31" s="28" t="e">
        <f>'ПРил.№3 Рд,пр, ЦС,ВР'!I385</f>
        <v>#REF!</v>
      </c>
      <c r="H31" s="28" t="e">
        <f>'ПРил.№3 Рд,пр, ЦС,ВР'!J385</f>
        <v>#REF!</v>
      </c>
      <c r="I31" s="28">
        <f>'ПРил.№3 Рд,пр, ЦС,ВР'!K385</f>
        <v>7181.889999999999</v>
      </c>
      <c r="J31" s="28">
        <f>'ПРил.№3 Рд,пр, ЦС,ВР'!L385</f>
        <v>4304.1</v>
      </c>
      <c r="K31" s="313">
        <f t="shared" si="2"/>
        <v>59.92990703004364</v>
      </c>
    </row>
    <row r="32" spans="1:11" ht="15.75">
      <c r="A32" s="26" t="s">
        <v>609</v>
      </c>
      <c r="B32" s="21" t="s">
        <v>273</v>
      </c>
      <c r="C32" s="21" t="s">
        <v>273</v>
      </c>
      <c r="D32" s="28" t="e">
        <f>'ПРил.№3 Рд,пр, ЦС,ВР'!F447</f>
        <v>#REF!</v>
      </c>
      <c r="E32" s="28" t="e">
        <f>'ПРил.№3 Рд,пр, ЦС,ВР'!G447</f>
        <v>#REF!</v>
      </c>
      <c r="F32" s="28" t="e">
        <f>'ПРил.№3 Рд,пр, ЦС,ВР'!H447</f>
        <v>#REF!</v>
      </c>
      <c r="G32" s="28" t="e">
        <f>'ПРил.№3 Рд,пр, ЦС,ВР'!I447</f>
        <v>#REF!</v>
      </c>
      <c r="H32" s="28" t="e">
        <f>'ПРил.№3 Рд,пр, ЦС,ВР'!J447</f>
        <v>#REF!</v>
      </c>
      <c r="I32" s="28">
        <f>'ПРил.№3 Рд,пр, ЦС,ВР'!K447</f>
        <v>28887.300000000003</v>
      </c>
      <c r="J32" s="28">
        <f>'ПРил.№3 Рд,пр, ЦС,ВР'!L447</f>
        <v>22500</v>
      </c>
      <c r="K32" s="313">
        <f t="shared" si="2"/>
        <v>77.88889927407546</v>
      </c>
    </row>
    <row r="33" spans="1:11" ht="15.75">
      <c r="A33" s="49" t="s">
        <v>302</v>
      </c>
      <c r="B33" s="25" t="s">
        <v>303</v>
      </c>
      <c r="C33" s="25"/>
      <c r="D33" s="46" t="e">
        <f aca="true" t="shared" si="9" ref="D33:I33">SUM(D34:D38)</f>
        <v>#REF!</v>
      </c>
      <c r="E33" s="46" t="e">
        <f t="shared" si="9"/>
        <v>#REF!</v>
      </c>
      <c r="F33" s="46" t="e">
        <f t="shared" si="9"/>
        <v>#REF!</v>
      </c>
      <c r="G33" s="46" t="e">
        <f t="shared" si="9"/>
        <v>#REF!</v>
      </c>
      <c r="H33" s="46" t="e">
        <f t="shared" si="9"/>
        <v>#REF!</v>
      </c>
      <c r="I33" s="46">
        <f t="shared" si="9"/>
        <v>317918.79999999993</v>
      </c>
      <c r="J33" s="46">
        <f aca="true" t="shared" si="10" ref="J33">SUM(J34:J38)</f>
        <v>251861.59999999998</v>
      </c>
      <c r="K33" s="112">
        <f t="shared" si="2"/>
        <v>79.22199001757683</v>
      </c>
    </row>
    <row r="34" spans="1:11" ht="15.75">
      <c r="A34" s="113" t="s">
        <v>444</v>
      </c>
      <c r="B34" s="21" t="s">
        <v>303</v>
      </c>
      <c r="C34" s="21" t="s">
        <v>157</v>
      </c>
      <c r="D34" s="28" t="e">
        <f>'ПРил.№3 Рд,пр, ЦС,ВР'!F470</f>
        <v>#REF!</v>
      </c>
      <c r="E34" s="28" t="e">
        <f>'ПРил.№3 Рд,пр, ЦС,ВР'!G470</f>
        <v>#REF!</v>
      </c>
      <c r="F34" s="28" t="e">
        <f>'ПРил.№3 Рд,пр, ЦС,ВР'!H470</f>
        <v>#REF!</v>
      </c>
      <c r="G34" s="28" t="e">
        <f>'ПРил.№3 Рд,пр, ЦС,ВР'!I470</f>
        <v>#REF!</v>
      </c>
      <c r="H34" s="28" t="e">
        <f>'ПРил.№3 Рд,пр, ЦС,ВР'!J470</f>
        <v>#REF!</v>
      </c>
      <c r="I34" s="28">
        <f>'ПРил.№3 Рд,пр, ЦС,ВР'!K470</f>
        <v>98625.7</v>
      </c>
      <c r="J34" s="28">
        <f>'ПРил.№3 Рд,пр, ЦС,ВР'!L470</f>
        <v>78070</v>
      </c>
      <c r="K34" s="313">
        <f t="shared" si="2"/>
        <v>79.15786656013594</v>
      </c>
    </row>
    <row r="35" spans="1:11" ht="15.75">
      <c r="A35" s="113" t="s">
        <v>465</v>
      </c>
      <c r="B35" s="21" t="s">
        <v>303</v>
      </c>
      <c r="C35" s="21" t="s">
        <v>252</v>
      </c>
      <c r="D35" s="28" t="e">
        <f>'ПРил.№3 Рд,пр, ЦС,ВР'!F529</f>
        <v>#REF!</v>
      </c>
      <c r="E35" s="28" t="e">
        <f>'ПРил.№3 Рд,пр, ЦС,ВР'!G529</f>
        <v>#REF!</v>
      </c>
      <c r="F35" s="28" t="e">
        <f>'ПРил.№3 Рд,пр, ЦС,ВР'!H529</f>
        <v>#REF!</v>
      </c>
      <c r="G35" s="28" t="e">
        <f>'ПРил.№3 Рд,пр, ЦС,ВР'!I529</f>
        <v>#REF!</v>
      </c>
      <c r="H35" s="28" t="e">
        <f>'ПРил.№3 Рд,пр, ЦС,ВР'!J529</f>
        <v>#REF!</v>
      </c>
      <c r="I35" s="28">
        <f>'ПРил.№3 Рд,пр, ЦС,ВР'!K529</f>
        <v>141314.1</v>
      </c>
      <c r="J35" s="28">
        <f>'ПРил.№3 Рд,пр, ЦС,ВР'!L529</f>
        <v>116946.50000000001</v>
      </c>
      <c r="K35" s="313">
        <f t="shared" si="2"/>
        <v>82.75642699490002</v>
      </c>
    </row>
    <row r="36" spans="1:11" ht="15.75">
      <c r="A36" s="113" t="s">
        <v>304</v>
      </c>
      <c r="B36" s="21" t="s">
        <v>303</v>
      </c>
      <c r="C36" s="21" t="s">
        <v>254</v>
      </c>
      <c r="D36" s="28" t="e">
        <f>'ПРил.№3 Рд,пр, ЦС,ВР'!F618</f>
        <v>#REF!</v>
      </c>
      <c r="E36" s="28" t="e">
        <f>'ПРил.№3 Рд,пр, ЦС,ВР'!G618</f>
        <v>#REF!</v>
      </c>
      <c r="F36" s="28" t="e">
        <f>'ПРил.№3 Рд,пр, ЦС,ВР'!H618</f>
        <v>#REF!</v>
      </c>
      <c r="G36" s="28" t="e">
        <f>'ПРил.№3 Рд,пр, ЦС,ВР'!I618</f>
        <v>#REF!</v>
      </c>
      <c r="H36" s="28" t="e">
        <f>'ПРил.№3 Рд,пр, ЦС,ВР'!J618</f>
        <v>#REF!</v>
      </c>
      <c r="I36" s="28">
        <f>'ПРил.№3 Рд,пр, ЦС,ВР'!K618</f>
        <v>50122.899999999994</v>
      </c>
      <c r="J36" s="28">
        <f>'ПРил.№3 Рд,пр, ЦС,ВР'!L618</f>
        <v>35723.4</v>
      </c>
      <c r="K36" s="313">
        <f t="shared" si="2"/>
        <v>71.27161437187395</v>
      </c>
    </row>
    <row r="37" spans="1:11" ht="15.75">
      <c r="A37" s="113" t="s">
        <v>506</v>
      </c>
      <c r="B37" s="21" t="s">
        <v>303</v>
      </c>
      <c r="C37" s="21" t="s">
        <v>303</v>
      </c>
      <c r="D37" s="28" t="e">
        <f>'ПРил.№3 Рд,пр, ЦС,ВР'!F715</f>
        <v>#REF!</v>
      </c>
      <c r="E37" s="28" t="e">
        <f>'ПРил.№3 Рд,пр, ЦС,ВР'!G715</f>
        <v>#REF!</v>
      </c>
      <c r="F37" s="28" t="e">
        <f>'ПРил.№3 Рд,пр, ЦС,ВР'!H715</f>
        <v>#REF!</v>
      </c>
      <c r="G37" s="28" t="e">
        <f>'ПРил.№3 Рд,пр, ЦС,ВР'!I715</f>
        <v>#REF!</v>
      </c>
      <c r="H37" s="28" t="e">
        <f>'ПРил.№3 Рд,пр, ЦС,ВР'!J715</f>
        <v>#REF!</v>
      </c>
      <c r="I37" s="28">
        <f>'ПРил.№3 Рд,пр, ЦС,ВР'!K715</f>
        <v>7836.3</v>
      </c>
      <c r="J37" s="28">
        <f>'ПРил.№3 Рд,пр, ЦС,ВР'!L715</f>
        <v>7457.400000000001</v>
      </c>
      <c r="K37" s="313">
        <f t="shared" si="2"/>
        <v>95.16480992305041</v>
      </c>
    </row>
    <row r="38" spans="1:11" ht="15.75">
      <c r="A38" s="113" t="s">
        <v>334</v>
      </c>
      <c r="B38" s="21" t="s">
        <v>303</v>
      </c>
      <c r="C38" s="21" t="s">
        <v>258</v>
      </c>
      <c r="D38" s="28" t="e">
        <f>'ПРил.№3 Рд,пр, ЦС,ВР'!F738</f>
        <v>#REF!</v>
      </c>
      <c r="E38" s="28" t="e">
        <f>'ПРил.№3 Рд,пр, ЦС,ВР'!G738</f>
        <v>#REF!</v>
      </c>
      <c r="F38" s="28" t="e">
        <f>'ПРил.№3 Рд,пр, ЦС,ВР'!H738</f>
        <v>#REF!</v>
      </c>
      <c r="G38" s="28" t="e">
        <f>'ПРил.№3 Рд,пр, ЦС,ВР'!I738</f>
        <v>#REF!</v>
      </c>
      <c r="H38" s="28" t="e">
        <f>'ПРил.№3 Рд,пр, ЦС,ВР'!J738</f>
        <v>#REF!</v>
      </c>
      <c r="I38" s="28">
        <f>'ПРил.№3 Рд,пр, ЦС,ВР'!K738</f>
        <v>20019.8</v>
      </c>
      <c r="J38" s="28">
        <f>'ПРил.№3 Рд,пр, ЦС,ВР'!L738</f>
        <v>13664.3</v>
      </c>
      <c r="K38" s="313">
        <f t="shared" si="2"/>
        <v>68.25392861067543</v>
      </c>
    </row>
    <row r="39" spans="1:11" ht="15.75">
      <c r="A39" s="116" t="s">
        <v>337</v>
      </c>
      <c r="B39" s="25" t="s">
        <v>338</v>
      </c>
      <c r="C39" s="21"/>
      <c r="D39" s="46" t="e">
        <f aca="true" t="shared" si="11" ref="D39:I39">D40+D41</f>
        <v>#REF!</v>
      </c>
      <c r="E39" s="46" t="e">
        <f t="shared" si="11"/>
        <v>#REF!</v>
      </c>
      <c r="F39" s="46" t="e">
        <f t="shared" si="11"/>
        <v>#REF!</v>
      </c>
      <c r="G39" s="46" t="e">
        <f t="shared" si="11"/>
        <v>#REF!</v>
      </c>
      <c r="H39" s="46" t="e">
        <f t="shared" si="11"/>
        <v>#REF!</v>
      </c>
      <c r="I39" s="46">
        <f t="shared" si="11"/>
        <v>66866.1</v>
      </c>
      <c r="J39" s="46">
        <f aca="true" t="shared" si="12" ref="J39">J40+J41</f>
        <v>47125.7</v>
      </c>
      <c r="K39" s="112">
        <f t="shared" si="2"/>
        <v>70.4777159128467</v>
      </c>
    </row>
    <row r="40" spans="1:11" ht="15.75">
      <c r="A40" s="115" t="s">
        <v>339</v>
      </c>
      <c r="B40" s="21" t="s">
        <v>338</v>
      </c>
      <c r="C40" s="21" t="s">
        <v>157</v>
      </c>
      <c r="D40" s="28" t="e">
        <f>'ПРил.№3 Рд,пр, ЦС,ВР'!F771</f>
        <v>#REF!</v>
      </c>
      <c r="E40" s="28" t="e">
        <f>'ПРил.№3 Рд,пр, ЦС,ВР'!G771</f>
        <v>#REF!</v>
      </c>
      <c r="F40" s="28" t="e">
        <f>'ПРил.№3 Рд,пр, ЦС,ВР'!H771</f>
        <v>#REF!</v>
      </c>
      <c r="G40" s="28" t="e">
        <f>'ПРил.№3 Рд,пр, ЦС,ВР'!I771</f>
        <v>#REF!</v>
      </c>
      <c r="H40" s="28" t="e">
        <f>'ПРил.№3 Рд,пр, ЦС,ВР'!J771</f>
        <v>#REF!</v>
      </c>
      <c r="I40" s="28">
        <f>'ПРил.№3 Рд,пр, ЦС,ВР'!K771</f>
        <v>48003</v>
      </c>
      <c r="J40" s="28">
        <f>'ПРил.№3 Рд,пр, ЦС,ВР'!L771</f>
        <v>34334.6</v>
      </c>
      <c r="K40" s="313">
        <f t="shared" si="2"/>
        <v>71.52594629502322</v>
      </c>
    </row>
    <row r="41" spans="1:11" ht="15.75">
      <c r="A41" s="115" t="s">
        <v>372</v>
      </c>
      <c r="B41" s="21" t="s">
        <v>338</v>
      </c>
      <c r="C41" s="21" t="s">
        <v>189</v>
      </c>
      <c r="D41" s="28" t="e">
        <f>'ПРил.№3 Рд,пр, ЦС,ВР'!F829</f>
        <v>#REF!</v>
      </c>
      <c r="E41" s="28" t="e">
        <f>'ПРил.№3 Рд,пр, ЦС,ВР'!G829</f>
        <v>#REF!</v>
      </c>
      <c r="F41" s="28" t="e">
        <f>'ПРил.№3 Рд,пр, ЦС,ВР'!H829</f>
        <v>#REF!</v>
      </c>
      <c r="G41" s="28" t="e">
        <f>'ПРил.№3 Рд,пр, ЦС,ВР'!I829</f>
        <v>#REF!</v>
      </c>
      <c r="H41" s="28" t="e">
        <f>'ПРил.№3 Рд,пр, ЦС,ВР'!J829</f>
        <v>#REF!</v>
      </c>
      <c r="I41" s="28">
        <f>'ПРил.№3 Рд,пр, ЦС,ВР'!K829</f>
        <v>18863.1</v>
      </c>
      <c r="J41" s="28">
        <f>'ПРил.№3 Рд,пр, ЦС,ВР'!L829</f>
        <v>12791.099999999999</v>
      </c>
      <c r="K41" s="313">
        <f t="shared" si="2"/>
        <v>67.8101690602287</v>
      </c>
    </row>
    <row r="42" spans="1:11" ht="15.75">
      <c r="A42" s="49" t="s">
        <v>282</v>
      </c>
      <c r="B42" s="25" t="s">
        <v>283</v>
      </c>
      <c r="C42" s="25"/>
      <c r="D42" s="46" t="e">
        <f aca="true" t="shared" si="13" ref="D42:I42">D43+D44+D45+D46</f>
        <v>#REF!</v>
      </c>
      <c r="E42" s="46" t="e">
        <f t="shared" si="13"/>
        <v>#REF!</v>
      </c>
      <c r="F42" s="46" t="e">
        <f t="shared" si="13"/>
        <v>#REF!</v>
      </c>
      <c r="G42" s="46" t="e">
        <f t="shared" si="13"/>
        <v>#REF!</v>
      </c>
      <c r="H42" s="46" t="e">
        <f t="shared" si="13"/>
        <v>#REF!</v>
      </c>
      <c r="I42" s="46">
        <f t="shared" si="13"/>
        <v>14804.4</v>
      </c>
      <c r="J42" s="46">
        <f aca="true" t="shared" si="14" ref="J42">J43+J44+J45+J46</f>
        <v>10036.699999999999</v>
      </c>
      <c r="K42" s="112">
        <f t="shared" si="2"/>
        <v>67.79538515576449</v>
      </c>
    </row>
    <row r="43" spans="1:11" ht="15.75">
      <c r="A43" s="113" t="s">
        <v>284</v>
      </c>
      <c r="B43" s="21" t="s">
        <v>283</v>
      </c>
      <c r="C43" s="21" t="s">
        <v>157</v>
      </c>
      <c r="D43" s="28" t="e">
        <f>'ПРил.№3 Рд,пр, ЦС,ВР'!F865</f>
        <v>#REF!</v>
      </c>
      <c r="E43" s="28" t="e">
        <f>'ПРил.№3 Рд,пр, ЦС,ВР'!G865</f>
        <v>#REF!</v>
      </c>
      <c r="F43" s="28" t="e">
        <f>'ПРил.№3 Рд,пр, ЦС,ВР'!H865</f>
        <v>#REF!</v>
      </c>
      <c r="G43" s="28" t="e">
        <f>'ПРил.№3 Рд,пр, ЦС,ВР'!I865</f>
        <v>#REF!</v>
      </c>
      <c r="H43" s="28" t="e">
        <f>'ПРил.№3 Рд,пр, ЦС,ВР'!J865</f>
        <v>#REF!</v>
      </c>
      <c r="I43" s="28">
        <f>'ПРил.№3 Рд,пр, ЦС,ВР'!K865</f>
        <v>9066.4</v>
      </c>
      <c r="J43" s="28">
        <f>'ПРил.№3 Рд,пр, ЦС,ВР'!L865</f>
        <v>7144.7</v>
      </c>
      <c r="K43" s="313">
        <f t="shared" si="2"/>
        <v>78.80415600458836</v>
      </c>
    </row>
    <row r="44" spans="1:11" ht="15.75">
      <c r="A44" s="26" t="s">
        <v>291</v>
      </c>
      <c r="B44" s="21" t="s">
        <v>283</v>
      </c>
      <c r="C44" s="21" t="s">
        <v>254</v>
      </c>
      <c r="D44" s="28" t="e">
        <f>'ПРил.№3 Рд,пр, ЦС,ВР'!F871</f>
        <v>#REF!</v>
      </c>
      <c r="E44" s="28" t="e">
        <f>'ПРил.№3 Рд,пр, ЦС,ВР'!G871</f>
        <v>#REF!</v>
      </c>
      <c r="F44" s="28" t="e">
        <f>'ПРил.№3 Рд,пр, ЦС,ВР'!H871</f>
        <v>#REF!</v>
      </c>
      <c r="G44" s="28" t="e">
        <f>'ПРил.№3 Рд,пр, ЦС,ВР'!I871</f>
        <v>#REF!</v>
      </c>
      <c r="H44" s="28" t="e">
        <f>'ПРил.№3 Рд,пр, ЦС,ВР'!J871</f>
        <v>#REF!</v>
      </c>
      <c r="I44" s="28">
        <f>'ПРил.№3 Рд,пр, ЦС,ВР'!K871</f>
        <v>2387</v>
      </c>
      <c r="J44" s="28">
        <f>'ПРил.№3 Рд,пр, ЦС,ВР'!L871</f>
        <v>1227.6</v>
      </c>
      <c r="K44" s="313">
        <f t="shared" si="2"/>
        <v>51.42857142857142</v>
      </c>
    </row>
    <row r="45" spans="1:11" ht="15.75" hidden="1">
      <c r="A45" s="115" t="s">
        <v>440</v>
      </c>
      <c r="B45" s="21" t="s">
        <v>283</v>
      </c>
      <c r="C45" s="21" t="s">
        <v>189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f>'ПРил.№3 Рд,пр, ЦС,ВР'!K949</f>
        <v>0</v>
      </c>
      <c r="J45" s="28">
        <f>'ПРил.№3 Рд,пр, ЦС,ВР'!L949</f>
        <v>0</v>
      </c>
      <c r="K45" s="313" t="e">
        <f t="shared" si="2"/>
        <v>#DIV/0!</v>
      </c>
    </row>
    <row r="46" spans="1:11" ht="15.75">
      <c r="A46" s="26" t="s">
        <v>297</v>
      </c>
      <c r="B46" s="21" t="s">
        <v>283</v>
      </c>
      <c r="C46" s="21" t="s">
        <v>159</v>
      </c>
      <c r="D46" s="28" t="e">
        <f>'ПРил.№3 Рд,пр, ЦС,ВР'!F957</f>
        <v>#REF!</v>
      </c>
      <c r="E46" s="28" t="e">
        <f>'ПРил.№3 Рд,пр, ЦС,ВР'!G957</f>
        <v>#REF!</v>
      </c>
      <c r="F46" s="28" t="e">
        <f>'ПРил.№3 Рд,пр, ЦС,ВР'!H957</f>
        <v>#REF!</v>
      </c>
      <c r="G46" s="28" t="e">
        <f>'ПРил.№3 Рд,пр, ЦС,ВР'!I957</f>
        <v>#REF!</v>
      </c>
      <c r="H46" s="28" t="e">
        <f>'ПРил.№3 Рд,пр, ЦС,ВР'!J957</f>
        <v>#REF!</v>
      </c>
      <c r="I46" s="28">
        <f>'ПРил.№3 Рд,пр, ЦС,ВР'!K957</f>
        <v>3351</v>
      </c>
      <c r="J46" s="28">
        <f>'ПРил.№3 Рд,пр, ЦС,ВР'!L957</f>
        <v>1664.3999999999999</v>
      </c>
      <c r="K46" s="313">
        <f t="shared" si="2"/>
        <v>49.66875559534467</v>
      </c>
    </row>
    <row r="47" spans="1:11" ht="15.75">
      <c r="A47" s="116" t="s">
        <v>530</v>
      </c>
      <c r="B47" s="25" t="s">
        <v>531</v>
      </c>
      <c r="C47" s="21"/>
      <c r="D47" s="46" t="e">
        <f aca="true" t="shared" si="15" ref="D47:I47">D48+D49</f>
        <v>#REF!</v>
      </c>
      <c r="E47" s="46" t="e">
        <f t="shared" si="15"/>
        <v>#REF!</v>
      </c>
      <c r="F47" s="46" t="e">
        <f t="shared" si="15"/>
        <v>#REF!</v>
      </c>
      <c r="G47" s="46" t="e">
        <f t="shared" si="15"/>
        <v>#REF!</v>
      </c>
      <c r="H47" s="46" t="e">
        <f t="shared" si="15"/>
        <v>#REF!</v>
      </c>
      <c r="I47" s="46">
        <f t="shared" si="15"/>
        <v>58883.3</v>
      </c>
      <c r="J47" s="46">
        <f aca="true" t="shared" si="16" ref="J47">J48+J49</f>
        <v>42714.49999999999</v>
      </c>
      <c r="K47" s="112">
        <f t="shared" si="2"/>
        <v>72.54094114969777</v>
      </c>
    </row>
    <row r="48" spans="1:11" ht="15.75">
      <c r="A48" s="115" t="s">
        <v>532</v>
      </c>
      <c r="B48" s="21" t="s">
        <v>531</v>
      </c>
      <c r="C48" s="21" t="s">
        <v>157</v>
      </c>
      <c r="D48" s="28" t="e">
        <f>'ПРил.№3 Рд,пр, ЦС,ВР'!F974</f>
        <v>#REF!</v>
      </c>
      <c r="E48" s="28" t="e">
        <f>'ПРил.№3 Рд,пр, ЦС,ВР'!G974</f>
        <v>#REF!</v>
      </c>
      <c r="F48" s="28" t="e">
        <f>'ПРил.№3 Рд,пр, ЦС,ВР'!H974</f>
        <v>#REF!</v>
      </c>
      <c r="G48" s="28" t="e">
        <f>'ПРил.№3 Рд,пр, ЦС,ВР'!I974</f>
        <v>#REF!</v>
      </c>
      <c r="H48" s="28" t="e">
        <f>'ПРил.№3 Рд,пр, ЦС,ВР'!J974</f>
        <v>#REF!</v>
      </c>
      <c r="I48" s="28">
        <f>'ПРил.№3 Рд,пр, ЦС,ВР'!K974</f>
        <v>46657.7</v>
      </c>
      <c r="J48" s="28">
        <f>'ПРил.№3 Рд,пр, ЦС,ВР'!L974</f>
        <v>34097.399999999994</v>
      </c>
      <c r="K48" s="313">
        <f t="shared" si="2"/>
        <v>73.07989892343599</v>
      </c>
    </row>
    <row r="49" spans="1:11" ht="15.75">
      <c r="A49" s="115" t="s">
        <v>540</v>
      </c>
      <c r="B49" s="21" t="s">
        <v>531</v>
      </c>
      <c r="C49" s="21" t="s">
        <v>273</v>
      </c>
      <c r="D49" s="28" t="e">
        <f>'ПРил.№3 Рд,пр, ЦС,ВР'!F1026</f>
        <v>#REF!</v>
      </c>
      <c r="E49" s="28" t="e">
        <f>'ПРил.№3 Рд,пр, ЦС,ВР'!G1026</f>
        <v>#REF!</v>
      </c>
      <c r="F49" s="28" t="e">
        <f>'ПРил.№3 Рд,пр, ЦС,ВР'!H1026</f>
        <v>#REF!</v>
      </c>
      <c r="G49" s="28" t="e">
        <f>'ПРил.№3 Рд,пр, ЦС,ВР'!I1026</f>
        <v>#REF!</v>
      </c>
      <c r="H49" s="28" t="e">
        <f>'ПРил.№3 Рд,пр, ЦС,ВР'!J1026</f>
        <v>#REF!</v>
      </c>
      <c r="I49" s="28">
        <f>'ПРил.№3 Рд,пр, ЦС,ВР'!K1026</f>
        <v>12225.600000000002</v>
      </c>
      <c r="J49" s="28">
        <f>'ПРил.№3 Рд,пр, ЦС,ВР'!L1026</f>
        <v>8617.1</v>
      </c>
      <c r="K49" s="313">
        <f t="shared" si="2"/>
        <v>70.48406622169871</v>
      </c>
    </row>
    <row r="50" spans="1:11" ht="15.75">
      <c r="A50" s="20" t="s">
        <v>622</v>
      </c>
      <c r="B50" s="25" t="s">
        <v>277</v>
      </c>
      <c r="C50" s="21"/>
      <c r="D50" s="46" t="e">
        <f aca="true" t="shared" si="17" ref="D50:J50">D51</f>
        <v>#REF!</v>
      </c>
      <c r="E50" s="46" t="e">
        <f t="shared" si="17"/>
        <v>#REF!</v>
      </c>
      <c r="F50" s="46" t="e">
        <f t="shared" si="17"/>
        <v>#REF!</v>
      </c>
      <c r="G50" s="46" t="e">
        <f t="shared" si="17"/>
        <v>#REF!</v>
      </c>
      <c r="H50" s="46" t="e">
        <f t="shared" si="17"/>
        <v>#REF!</v>
      </c>
      <c r="I50" s="46">
        <f t="shared" si="17"/>
        <v>7450.900000000001</v>
      </c>
      <c r="J50" s="46">
        <f t="shared" si="17"/>
        <v>6289.5</v>
      </c>
      <c r="K50" s="112">
        <f t="shared" si="2"/>
        <v>84.41262129407185</v>
      </c>
    </row>
    <row r="51" spans="1:11" ht="15.75">
      <c r="A51" s="33" t="s">
        <v>623</v>
      </c>
      <c r="B51" s="21" t="s">
        <v>277</v>
      </c>
      <c r="C51" s="21" t="s">
        <v>252</v>
      </c>
      <c r="D51" s="28" t="e">
        <f>'ПРил.№3 Рд,пр, ЦС,ВР'!F1050</f>
        <v>#REF!</v>
      </c>
      <c r="E51" s="28" t="e">
        <f>'ПРил.№3 Рд,пр, ЦС,ВР'!G1050</f>
        <v>#REF!</v>
      </c>
      <c r="F51" s="28" t="e">
        <f>'ПРил.№3 Рд,пр, ЦС,ВР'!H1050</f>
        <v>#REF!</v>
      </c>
      <c r="G51" s="28" t="e">
        <f>'ПРил.№3 Рд,пр, ЦС,ВР'!I1050</f>
        <v>#REF!</v>
      </c>
      <c r="H51" s="28" t="e">
        <f>'ПРил.№3 Рд,пр, ЦС,ВР'!J1050</f>
        <v>#REF!</v>
      </c>
      <c r="I51" s="28">
        <f>'ПРил.№3 Рд,пр, ЦС,ВР'!K1050</f>
        <v>7450.900000000001</v>
      </c>
      <c r="J51" s="28">
        <f>'ПРил.№3 Рд,пр, ЦС,ВР'!L1050</f>
        <v>6289.5</v>
      </c>
      <c r="K51" s="313">
        <f t="shared" si="2"/>
        <v>84.41262129407185</v>
      </c>
    </row>
    <row r="52" spans="1:11" ht="15.75">
      <c r="A52" s="111" t="s">
        <v>739</v>
      </c>
      <c r="B52" s="25"/>
      <c r="C52" s="25"/>
      <c r="D52" s="46" t="e">
        <f aca="true" t="shared" si="18" ref="D52:I52">D12+D21+D23+D28+D33+D39+D42+D47+D50+D19</f>
        <v>#REF!</v>
      </c>
      <c r="E52" s="46" t="e">
        <f t="shared" si="18"/>
        <v>#REF!</v>
      </c>
      <c r="F52" s="46" t="e">
        <f t="shared" si="18"/>
        <v>#REF!</v>
      </c>
      <c r="G52" s="46" t="e">
        <f t="shared" si="18"/>
        <v>#REF!</v>
      </c>
      <c r="H52" s="46" t="e">
        <f t="shared" si="18"/>
        <v>#REF!</v>
      </c>
      <c r="I52" s="46">
        <f t="shared" si="18"/>
        <v>775315.92</v>
      </c>
      <c r="J52" s="46">
        <f aca="true" t="shared" si="19" ref="J52">J12+J21+J23+J28+J33+J39+J42+J47+J50+J19</f>
        <v>571611.3</v>
      </c>
      <c r="K52" s="112">
        <f t="shared" si="2"/>
        <v>73.72624310358545</v>
      </c>
    </row>
    <row r="53" spans="4:11" ht="15" hidden="1"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>
        <f>'Прил.№4 ведомств.'!G1290</f>
        <v>775315.92</v>
      </c>
      <c r="J53" s="299">
        <f>'Прил.№4 ведомств.'!H1290</f>
        <v>571611.2999999999</v>
      </c>
      <c r="K53" s="299">
        <f>'Прил.№4 ведомств.'!I1290</f>
        <v>73.72624310358543</v>
      </c>
    </row>
    <row r="54" spans="4:11" ht="15" hidden="1">
      <c r="D54" s="23" t="e">
        <f aca="true" t="shared" si="20" ref="D54:I54">D53-D52</f>
        <v>#REF!</v>
      </c>
      <c r="E54" s="23" t="e">
        <f t="shared" si="20"/>
        <v>#REF!</v>
      </c>
      <c r="F54" s="23" t="e">
        <f t="shared" si="20"/>
        <v>#REF!</v>
      </c>
      <c r="G54" s="23" t="e">
        <f t="shared" si="20"/>
        <v>#REF!</v>
      </c>
      <c r="H54" s="23" t="e">
        <f t="shared" si="20"/>
        <v>#REF!</v>
      </c>
      <c r="I54" s="23">
        <f t="shared" si="20"/>
        <v>0</v>
      </c>
      <c r="J54" s="23">
        <f aca="true" t="shared" si="21" ref="J54:K54">J53-J52</f>
        <v>0</v>
      </c>
      <c r="K54" s="23">
        <f t="shared" si="21"/>
        <v>0</v>
      </c>
    </row>
    <row r="56" spans="9:11" ht="15">
      <c r="I56" s="23"/>
      <c r="J56" s="23"/>
      <c r="K56" s="23"/>
    </row>
  </sheetData>
  <mergeCells count="9">
    <mergeCell ref="A10:D10"/>
    <mergeCell ref="A7:K7"/>
    <mergeCell ref="A8:K8"/>
    <mergeCell ref="A9:K9"/>
    <mergeCell ref="J1:K1"/>
    <mergeCell ref="J2:K2"/>
    <mergeCell ref="J3:K3"/>
    <mergeCell ref="J4:K4"/>
    <mergeCell ref="J5:K5"/>
  </mergeCells>
  <printOptions/>
  <pageMargins left="0.25" right="0.25" top="0.75" bottom="0.75" header="0.3" footer="0.3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8"/>
  <sheetViews>
    <sheetView view="pageBreakPreview" zoomScaleSheetLayoutView="100" workbookViewId="0" topLeftCell="A1">
      <selection activeCell="K5" sqref="K5"/>
    </sheetView>
  </sheetViews>
  <sheetFormatPr defaultColWidth="9.140625" defaultRowHeight="15"/>
  <cols>
    <col min="1" max="1" width="52.28125" style="0" customWidth="1"/>
    <col min="2" max="2" width="5.8515625" style="0" customWidth="1"/>
    <col min="3" max="3" width="5.421875" style="0" customWidth="1"/>
    <col min="4" max="4" width="15.8515625" style="0" customWidth="1"/>
    <col min="5" max="5" width="7.140625" style="0" customWidth="1"/>
    <col min="6" max="6" width="11.7109375" style="0" hidden="1" customWidth="1"/>
    <col min="7" max="7" width="12.00390625" style="0" hidden="1" customWidth="1"/>
    <col min="8" max="8" width="10.8515625" style="0" hidden="1" customWidth="1"/>
    <col min="9" max="9" width="12.28125" style="0" hidden="1" customWidth="1"/>
    <col min="10" max="10" width="11.7109375" style="0" hidden="1" customWidth="1"/>
    <col min="11" max="11" width="14.28125" style="0" customWidth="1"/>
    <col min="12" max="13" width="14.8515625" style="299" customWidth="1"/>
  </cols>
  <sheetData>
    <row r="1" spans="1:13" ht="18.75">
      <c r="A1" s="58"/>
      <c r="B1" s="29"/>
      <c r="C1" s="29"/>
      <c r="D1" s="299"/>
      <c r="E1" s="299"/>
      <c r="F1" s="29"/>
      <c r="G1" s="299"/>
      <c r="H1" s="299"/>
      <c r="I1" s="299"/>
      <c r="J1" s="299"/>
      <c r="K1" s="254"/>
      <c r="L1" s="360" t="s">
        <v>1114</v>
      </c>
      <c r="M1" s="360"/>
    </row>
    <row r="2" spans="1:13" ht="18.75">
      <c r="A2" s="58"/>
      <c r="B2" s="29"/>
      <c r="C2" s="29"/>
      <c r="D2" s="299"/>
      <c r="E2" s="299"/>
      <c r="F2" s="60"/>
      <c r="G2" s="299"/>
      <c r="H2" s="299"/>
      <c r="I2" s="299"/>
      <c r="J2" s="299"/>
      <c r="K2" s="254"/>
      <c r="L2" s="360" t="s">
        <v>1113</v>
      </c>
      <c r="M2" s="360"/>
    </row>
    <row r="3" spans="1:13" ht="18.75">
      <c r="A3" s="58"/>
      <c r="B3" s="29"/>
      <c r="C3" s="29"/>
      <c r="D3" s="299"/>
      <c r="E3" s="254"/>
      <c r="F3" s="60"/>
      <c r="G3" s="299"/>
      <c r="H3" s="299"/>
      <c r="I3" s="299"/>
      <c r="J3" s="299"/>
      <c r="K3" s="299"/>
      <c r="L3" s="361" t="s">
        <v>1112</v>
      </c>
      <c r="M3" s="361"/>
    </row>
    <row r="4" spans="1:13" s="299" customFormat="1" ht="18.75">
      <c r="A4" s="58"/>
      <c r="B4" s="29"/>
      <c r="C4" s="29"/>
      <c r="E4" s="326"/>
      <c r="F4" s="60"/>
      <c r="L4" s="361" t="s">
        <v>1111</v>
      </c>
      <c r="M4" s="361"/>
    </row>
    <row r="5" spans="1:13" s="299" customFormat="1" ht="18.75">
      <c r="A5" s="58"/>
      <c r="B5" s="29"/>
      <c r="C5" s="29"/>
      <c r="E5" s="326"/>
      <c r="F5" s="60"/>
      <c r="L5" s="361" t="s">
        <v>1110</v>
      </c>
      <c r="M5" s="361"/>
    </row>
    <row r="6" spans="1:11" ht="15">
      <c r="A6" s="58"/>
      <c r="B6" s="29"/>
      <c r="C6" s="29"/>
      <c r="D6" s="29"/>
      <c r="E6" s="29"/>
      <c r="F6" s="58"/>
      <c r="G6" s="299"/>
      <c r="H6" s="299"/>
      <c r="I6" s="299"/>
      <c r="J6" s="299"/>
      <c r="K6" s="299"/>
    </row>
    <row r="7" spans="1:13" ht="63.75" customHeight="1">
      <c r="A7" s="364" t="s">
        <v>1082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</row>
    <row r="8" spans="1:13" ht="15.75">
      <c r="A8" s="58"/>
      <c r="B8" s="29"/>
      <c r="C8" s="29"/>
      <c r="D8" s="29"/>
      <c r="E8" s="29"/>
      <c r="F8" s="61" t="s">
        <v>1</v>
      </c>
      <c r="K8" s="244"/>
      <c r="L8" s="244"/>
      <c r="M8" s="244"/>
    </row>
    <row r="9" spans="1:13" ht="30" customHeight="1">
      <c r="A9" s="367" t="s">
        <v>632</v>
      </c>
      <c r="B9" s="369" t="s">
        <v>151</v>
      </c>
      <c r="C9" s="369" t="s">
        <v>152</v>
      </c>
      <c r="D9" s="369" t="s">
        <v>153</v>
      </c>
      <c r="E9" s="369" t="s">
        <v>154</v>
      </c>
      <c r="F9" s="365" t="s">
        <v>4</v>
      </c>
      <c r="G9" s="365" t="s">
        <v>852</v>
      </c>
      <c r="H9" s="365" t="s">
        <v>856</v>
      </c>
      <c r="I9" s="365" t="s">
        <v>853</v>
      </c>
      <c r="J9" s="365" t="s">
        <v>854</v>
      </c>
      <c r="K9" s="362" t="s">
        <v>1074</v>
      </c>
      <c r="L9" s="362" t="s">
        <v>1086</v>
      </c>
      <c r="M9" s="362" t="s">
        <v>1075</v>
      </c>
    </row>
    <row r="10" spans="1:13" ht="36" customHeight="1">
      <c r="A10" s="368"/>
      <c r="B10" s="370"/>
      <c r="C10" s="370"/>
      <c r="D10" s="370"/>
      <c r="E10" s="370"/>
      <c r="F10" s="366"/>
      <c r="G10" s="366"/>
      <c r="H10" s="366"/>
      <c r="I10" s="366"/>
      <c r="J10" s="366"/>
      <c r="K10" s="363"/>
      <c r="L10" s="363"/>
      <c r="M10" s="363"/>
    </row>
    <row r="11" spans="1:13" ht="15.75">
      <c r="A11" s="6">
        <v>1</v>
      </c>
      <c r="B11" s="2">
        <v>2</v>
      </c>
      <c r="C11" s="2">
        <v>3</v>
      </c>
      <c r="D11" s="2">
        <v>4</v>
      </c>
      <c r="E11" s="2">
        <v>5</v>
      </c>
      <c r="F11" s="62">
        <v>6</v>
      </c>
      <c r="G11" s="62">
        <v>7</v>
      </c>
      <c r="H11" s="62">
        <v>6</v>
      </c>
      <c r="I11" s="62">
        <v>9</v>
      </c>
      <c r="J11" s="62">
        <v>10</v>
      </c>
      <c r="K11" s="62">
        <v>6</v>
      </c>
      <c r="L11" s="62">
        <v>7</v>
      </c>
      <c r="M11" s="62">
        <v>8</v>
      </c>
    </row>
    <row r="12" spans="1:13" ht="15.75">
      <c r="A12" s="43" t="s">
        <v>156</v>
      </c>
      <c r="B12" s="8" t="s">
        <v>157</v>
      </c>
      <c r="C12" s="8"/>
      <c r="D12" s="8"/>
      <c r="E12" s="8"/>
      <c r="F12" s="4" t="e">
        <f aca="true" t="shared" si="0" ref="F12:K12">F13+F21+F31+F61+F79</f>
        <v>#REF!</v>
      </c>
      <c r="G12" s="4" t="e">
        <f t="shared" si="0"/>
        <v>#REF!</v>
      </c>
      <c r="H12" s="4" t="e">
        <f t="shared" si="0"/>
        <v>#REF!</v>
      </c>
      <c r="I12" s="4" t="e">
        <f t="shared" si="0"/>
        <v>#REF!</v>
      </c>
      <c r="J12" s="4" t="e">
        <f t="shared" si="0"/>
        <v>#REF!</v>
      </c>
      <c r="K12" s="4">
        <f t="shared" si="0"/>
        <v>155567.09999999998</v>
      </c>
      <c r="L12" s="4">
        <f aca="true" t="shared" si="1" ref="L12">L13+L21+L31+L61+L79</f>
        <v>93829.6</v>
      </c>
      <c r="M12" s="4">
        <f>L12/K12*100</f>
        <v>60.31455237000627</v>
      </c>
    </row>
    <row r="13" spans="1:13" ht="47.25">
      <c r="A13" s="43" t="s">
        <v>615</v>
      </c>
      <c r="B13" s="8" t="s">
        <v>157</v>
      </c>
      <c r="C13" s="8" t="s">
        <v>252</v>
      </c>
      <c r="D13" s="8"/>
      <c r="E13" s="8"/>
      <c r="F13" s="4" t="e">
        <f>F14</f>
        <v>#REF!</v>
      </c>
      <c r="G13" s="4" t="e">
        <f aca="true" t="shared" si="2" ref="G13:L15">G14</f>
        <v>#REF!</v>
      </c>
      <c r="H13" s="4" t="e">
        <f t="shared" si="2"/>
        <v>#REF!</v>
      </c>
      <c r="I13" s="4" t="e">
        <f t="shared" si="2"/>
        <v>#REF!</v>
      </c>
      <c r="J13" s="4" t="e">
        <f t="shared" si="2"/>
        <v>#REF!</v>
      </c>
      <c r="K13" s="4">
        <f t="shared" si="2"/>
        <v>4330.8</v>
      </c>
      <c r="L13" s="4">
        <f t="shared" si="2"/>
        <v>2623.4</v>
      </c>
      <c r="M13" s="4">
        <f>L13/K13*100</f>
        <v>60.57541331855546</v>
      </c>
    </row>
    <row r="14" spans="1:13" ht="15.75">
      <c r="A14" s="31" t="s">
        <v>160</v>
      </c>
      <c r="B14" s="42" t="s">
        <v>157</v>
      </c>
      <c r="C14" s="42" t="s">
        <v>252</v>
      </c>
      <c r="D14" s="42" t="s">
        <v>161</v>
      </c>
      <c r="E14" s="42"/>
      <c r="F14" s="7" t="e">
        <f>F15</f>
        <v>#REF!</v>
      </c>
      <c r="G14" s="7" t="e">
        <f t="shared" si="2"/>
        <v>#REF!</v>
      </c>
      <c r="H14" s="7" t="e">
        <f t="shared" si="2"/>
        <v>#REF!</v>
      </c>
      <c r="I14" s="7" t="e">
        <f t="shared" si="2"/>
        <v>#REF!</v>
      </c>
      <c r="J14" s="7" t="e">
        <f t="shared" si="2"/>
        <v>#REF!</v>
      </c>
      <c r="K14" s="7">
        <f t="shared" si="2"/>
        <v>4330.8</v>
      </c>
      <c r="L14" s="7">
        <f t="shared" si="2"/>
        <v>2623.4</v>
      </c>
      <c r="M14" s="7">
        <f aca="true" t="shared" si="3" ref="M14:M77">L14/K14*100</f>
        <v>60.57541331855546</v>
      </c>
    </row>
    <row r="15" spans="1:13" ht="31.5">
      <c r="A15" s="31" t="s">
        <v>162</v>
      </c>
      <c r="B15" s="42" t="s">
        <v>157</v>
      </c>
      <c r="C15" s="42" t="s">
        <v>252</v>
      </c>
      <c r="D15" s="42" t="s">
        <v>163</v>
      </c>
      <c r="E15" s="42"/>
      <c r="F15" s="7" t="e">
        <f>F16</f>
        <v>#REF!</v>
      </c>
      <c r="G15" s="7" t="e">
        <f t="shared" si="2"/>
        <v>#REF!</v>
      </c>
      <c r="H15" s="7" t="e">
        <f t="shared" si="2"/>
        <v>#REF!</v>
      </c>
      <c r="I15" s="7" t="e">
        <f t="shared" si="2"/>
        <v>#REF!</v>
      </c>
      <c r="J15" s="7" t="e">
        <f t="shared" si="2"/>
        <v>#REF!</v>
      </c>
      <c r="K15" s="7">
        <f t="shared" si="2"/>
        <v>4330.8</v>
      </c>
      <c r="L15" s="7">
        <f t="shared" si="2"/>
        <v>2623.4</v>
      </c>
      <c r="M15" s="7">
        <f t="shared" si="3"/>
        <v>60.57541331855546</v>
      </c>
    </row>
    <row r="16" spans="1:13" ht="31.5">
      <c r="A16" s="31" t="s">
        <v>616</v>
      </c>
      <c r="B16" s="42" t="s">
        <v>157</v>
      </c>
      <c r="C16" s="42" t="s">
        <v>252</v>
      </c>
      <c r="D16" s="42" t="s">
        <v>617</v>
      </c>
      <c r="E16" s="42"/>
      <c r="F16" s="7" t="e">
        <f aca="true" t="shared" si="4" ref="F16:K16">F17+F19</f>
        <v>#REF!</v>
      </c>
      <c r="G16" s="7" t="e">
        <f t="shared" si="4"/>
        <v>#REF!</v>
      </c>
      <c r="H16" s="7" t="e">
        <f t="shared" si="4"/>
        <v>#REF!</v>
      </c>
      <c r="I16" s="7" t="e">
        <f t="shared" si="4"/>
        <v>#REF!</v>
      </c>
      <c r="J16" s="7" t="e">
        <f t="shared" si="4"/>
        <v>#REF!</v>
      </c>
      <c r="K16" s="7">
        <f t="shared" si="4"/>
        <v>4330.8</v>
      </c>
      <c r="L16" s="7">
        <f aca="true" t="shared" si="5" ref="L16">L17+L19</f>
        <v>2623.4</v>
      </c>
      <c r="M16" s="7">
        <f t="shared" si="3"/>
        <v>60.57541331855546</v>
      </c>
    </row>
    <row r="17" spans="1:13" ht="78.75">
      <c r="A17" s="31" t="s">
        <v>166</v>
      </c>
      <c r="B17" s="42" t="s">
        <v>157</v>
      </c>
      <c r="C17" s="42" t="s">
        <v>252</v>
      </c>
      <c r="D17" s="42" t="s">
        <v>617</v>
      </c>
      <c r="E17" s="42" t="s">
        <v>167</v>
      </c>
      <c r="F17" s="63" t="e">
        <f aca="true" t="shared" si="6" ref="F17:L17">F18</f>
        <v>#REF!</v>
      </c>
      <c r="G17" s="63" t="e">
        <f t="shared" si="6"/>
        <v>#REF!</v>
      </c>
      <c r="H17" s="63" t="e">
        <f t="shared" si="6"/>
        <v>#REF!</v>
      </c>
      <c r="I17" s="63" t="e">
        <f t="shared" si="6"/>
        <v>#REF!</v>
      </c>
      <c r="J17" s="63" t="e">
        <f t="shared" si="6"/>
        <v>#REF!</v>
      </c>
      <c r="K17" s="63">
        <f t="shared" si="6"/>
        <v>4309.8</v>
      </c>
      <c r="L17" s="63">
        <f t="shared" si="6"/>
        <v>2623.4</v>
      </c>
      <c r="M17" s="7">
        <f t="shared" si="3"/>
        <v>60.87057404055872</v>
      </c>
    </row>
    <row r="18" spans="1:13" ht="31.5">
      <c r="A18" s="31" t="s">
        <v>168</v>
      </c>
      <c r="B18" s="42" t="s">
        <v>157</v>
      </c>
      <c r="C18" s="42" t="s">
        <v>252</v>
      </c>
      <c r="D18" s="42" t="s">
        <v>617</v>
      </c>
      <c r="E18" s="42" t="s">
        <v>169</v>
      </c>
      <c r="F18" s="63" t="e">
        <f>#REF!</f>
        <v>#REF!</v>
      </c>
      <c r="G18" s="63" t="e">
        <f>#REF!</f>
        <v>#REF!</v>
      </c>
      <c r="H18" s="63" t="e">
        <f>#REF!</f>
        <v>#REF!</v>
      </c>
      <c r="I18" s="63" t="e">
        <f>#REF!</f>
        <v>#REF!</v>
      </c>
      <c r="J18" s="63" t="e">
        <f>#REF!</f>
        <v>#REF!</v>
      </c>
      <c r="K18" s="63">
        <f>'Прил.№4 ведомств.'!G1237</f>
        <v>4309.8</v>
      </c>
      <c r="L18" s="63">
        <f>'Прил.№4 ведомств.'!H1237</f>
        <v>2623.4</v>
      </c>
      <c r="M18" s="7">
        <f t="shared" si="3"/>
        <v>60.87057404055872</v>
      </c>
    </row>
    <row r="19" spans="1:13" ht="31.5">
      <c r="A19" s="31" t="s">
        <v>170</v>
      </c>
      <c r="B19" s="42" t="s">
        <v>157</v>
      </c>
      <c r="C19" s="42" t="s">
        <v>252</v>
      </c>
      <c r="D19" s="42" t="s">
        <v>617</v>
      </c>
      <c r="E19" s="42" t="s">
        <v>171</v>
      </c>
      <c r="F19" s="30" t="e">
        <f aca="true" t="shared" si="7" ref="F19:L19">F20</f>
        <v>#REF!</v>
      </c>
      <c r="G19" s="30" t="e">
        <f t="shared" si="7"/>
        <v>#REF!</v>
      </c>
      <c r="H19" s="30" t="e">
        <f t="shared" si="7"/>
        <v>#REF!</v>
      </c>
      <c r="I19" s="30" t="e">
        <f t="shared" si="7"/>
        <v>#REF!</v>
      </c>
      <c r="J19" s="30" t="e">
        <f t="shared" si="7"/>
        <v>#REF!</v>
      </c>
      <c r="K19" s="30">
        <f t="shared" si="7"/>
        <v>21</v>
      </c>
      <c r="L19" s="30">
        <f t="shared" si="7"/>
        <v>0</v>
      </c>
      <c r="M19" s="7">
        <f t="shared" si="3"/>
        <v>0</v>
      </c>
    </row>
    <row r="20" spans="1:13" ht="47.25">
      <c r="A20" s="31" t="s">
        <v>172</v>
      </c>
      <c r="B20" s="42" t="s">
        <v>157</v>
      </c>
      <c r="C20" s="42" t="s">
        <v>252</v>
      </c>
      <c r="D20" s="42" t="s">
        <v>617</v>
      </c>
      <c r="E20" s="42" t="s">
        <v>173</v>
      </c>
      <c r="F20" s="30" t="e">
        <f>#REF!</f>
        <v>#REF!</v>
      </c>
      <c r="G20" s="30" t="e">
        <f>#REF!</f>
        <v>#REF!</v>
      </c>
      <c r="H20" s="30" t="e">
        <f>#REF!</f>
        <v>#REF!</v>
      </c>
      <c r="I20" s="30" t="e">
        <f>#REF!</f>
        <v>#REF!</v>
      </c>
      <c r="J20" s="30" t="e">
        <f>#REF!</f>
        <v>#REF!</v>
      </c>
      <c r="K20" s="30">
        <f>'Прил.№4 ведомств.'!G1239</f>
        <v>21</v>
      </c>
      <c r="L20" s="30">
        <f>'Прил.№4 ведомств.'!H1239</f>
        <v>0</v>
      </c>
      <c r="M20" s="7">
        <f t="shared" si="3"/>
        <v>0</v>
      </c>
    </row>
    <row r="21" spans="1:13" ht="63">
      <c r="A21" s="43" t="s">
        <v>618</v>
      </c>
      <c r="B21" s="8" t="s">
        <v>157</v>
      </c>
      <c r="C21" s="8" t="s">
        <v>254</v>
      </c>
      <c r="D21" s="8"/>
      <c r="E21" s="8"/>
      <c r="F21" s="4" t="e">
        <f>F22</f>
        <v>#REF!</v>
      </c>
      <c r="G21" s="4" t="e">
        <f aca="true" t="shared" si="8" ref="G21:L23">G22</f>
        <v>#REF!</v>
      </c>
      <c r="H21" s="4" t="e">
        <f t="shared" si="8"/>
        <v>#REF!</v>
      </c>
      <c r="I21" s="4" t="e">
        <f t="shared" si="8"/>
        <v>#REF!</v>
      </c>
      <c r="J21" s="4" t="e">
        <f t="shared" si="8"/>
        <v>#REF!</v>
      </c>
      <c r="K21" s="4">
        <f t="shared" si="8"/>
        <v>1116</v>
      </c>
      <c r="L21" s="4">
        <f t="shared" si="8"/>
        <v>875.3000000000001</v>
      </c>
      <c r="M21" s="4">
        <f t="shared" si="3"/>
        <v>78.43189964157706</v>
      </c>
    </row>
    <row r="22" spans="1:13" ht="15.75">
      <c r="A22" s="31" t="s">
        <v>160</v>
      </c>
      <c r="B22" s="42" t="s">
        <v>157</v>
      </c>
      <c r="C22" s="42" t="s">
        <v>254</v>
      </c>
      <c r="D22" s="42" t="s">
        <v>161</v>
      </c>
      <c r="E22" s="8"/>
      <c r="F22" s="7" t="e">
        <f>F23</f>
        <v>#REF!</v>
      </c>
      <c r="G22" s="7" t="e">
        <f t="shared" si="8"/>
        <v>#REF!</v>
      </c>
      <c r="H22" s="7" t="e">
        <f t="shared" si="8"/>
        <v>#REF!</v>
      </c>
      <c r="I22" s="7" t="e">
        <f t="shared" si="8"/>
        <v>#REF!</v>
      </c>
      <c r="J22" s="7" t="e">
        <f t="shared" si="8"/>
        <v>#REF!</v>
      </c>
      <c r="K22" s="7">
        <f t="shared" si="8"/>
        <v>1116</v>
      </c>
      <c r="L22" s="7">
        <f t="shared" si="8"/>
        <v>875.3000000000001</v>
      </c>
      <c r="M22" s="7">
        <f t="shared" si="3"/>
        <v>78.43189964157706</v>
      </c>
    </row>
    <row r="23" spans="1:13" ht="31.5">
      <c r="A23" s="31" t="s">
        <v>162</v>
      </c>
      <c r="B23" s="42" t="s">
        <v>157</v>
      </c>
      <c r="C23" s="42" t="s">
        <v>254</v>
      </c>
      <c r="D23" s="42" t="s">
        <v>163</v>
      </c>
      <c r="E23" s="8"/>
      <c r="F23" s="7" t="e">
        <f>F24</f>
        <v>#REF!</v>
      </c>
      <c r="G23" s="7" t="e">
        <f t="shared" si="8"/>
        <v>#REF!</v>
      </c>
      <c r="H23" s="7" t="e">
        <f t="shared" si="8"/>
        <v>#REF!</v>
      </c>
      <c r="I23" s="7" t="e">
        <f t="shared" si="8"/>
        <v>#REF!</v>
      </c>
      <c r="J23" s="7" t="e">
        <f t="shared" si="8"/>
        <v>#REF!</v>
      </c>
      <c r="K23" s="7">
        <f t="shared" si="8"/>
        <v>1116</v>
      </c>
      <c r="L23" s="7">
        <f t="shared" si="8"/>
        <v>875.3000000000001</v>
      </c>
      <c r="M23" s="7">
        <f t="shared" si="3"/>
        <v>78.43189964157706</v>
      </c>
    </row>
    <row r="24" spans="1:13" ht="47.25">
      <c r="A24" s="31" t="s">
        <v>619</v>
      </c>
      <c r="B24" s="42" t="s">
        <v>157</v>
      </c>
      <c r="C24" s="42" t="s">
        <v>254</v>
      </c>
      <c r="D24" s="42" t="s">
        <v>620</v>
      </c>
      <c r="E24" s="42"/>
      <c r="F24" s="7" t="e">
        <f aca="true" t="shared" si="9" ref="F24:K24">F25+F27</f>
        <v>#REF!</v>
      </c>
      <c r="G24" s="7" t="e">
        <f t="shared" si="9"/>
        <v>#REF!</v>
      </c>
      <c r="H24" s="7" t="e">
        <f t="shared" si="9"/>
        <v>#REF!</v>
      </c>
      <c r="I24" s="7" t="e">
        <f t="shared" si="9"/>
        <v>#REF!</v>
      </c>
      <c r="J24" s="7" t="e">
        <f t="shared" si="9"/>
        <v>#REF!</v>
      </c>
      <c r="K24" s="7">
        <f t="shared" si="9"/>
        <v>1116</v>
      </c>
      <c r="L24" s="7">
        <f aca="true" t="shared" si="10" ref="L24">L25+L27</f>
        <v>875.3000000000001</v>
      </c>
      <c r="M24" s="7">
        <f t="shared" si="3"/>
        <v>78.43189964157706</v>
      </c>
    </row>
    <row r="25" spans="1:13" ht="78.75">
      <c r="A25" s="31" t="s">
        <v>166</v>
      </c>
      <c r="B25" s="42" t="s">
        <v>157</v>
      </c>
      <c r="C25" s="42" t="s">
        <v>254</v>
      </c>
      <c r="D25" s="42" t="s">
        <v>620</v>
      </c>
      <c r="E25" s="42" t="s">
        <v>167</v>
      </c>
      <c r="F25" s="63" t="e">
        <f aca="true" t="shared" si="11" ref="F25:L25">F26</f>
        <v>#REF!</v>
      </c>
      <c r="G25" s="63" t="e">
        <f t="shared" si="11"/>
        <v>#REF!</v>
      </c>
      <c r="H25" s="63" t="e">
        <f t="shared" si="11"/>
        <v>#REF!</v>
      </c>
      <c r="I25" s="63" t="e">
        <f t="shared" si="11"/>
        <v>#REF!</v>
      </c>
      <c r="J25" s="63" t="e">
        <f t="shared" si="11"/>
        <v>#REF!</v>
      </c>
      <c r="K25" s="63">
        <f t="shared" si="11"/>
        <v>1023</v>
      </c>
      <c r="L25" s="63">
        <f t="shared" si="11"/>
        <v>806.7</v>
      </c>
      <c r="M25" s="7">
        <f t="shared" si="3"/>
        <v>78.85630498533725</v>
      </c>
    </row>
    <row r="26" spans="1:13" ht="31.5">
      <c r="A26" s="31" t="s">
        <v>168</v>
      </c>
      <c r="B26" s="42" t="s">
        <v>157</v>
      </c>
      <c r="C26" s="42" t="s">
        <v>254</v>
      </c>
      <c r="D26" s="42" t="s">
        <v>620</v>
      </c>
      <c r="E26" s="42" t="s">
        <v>169</v>
      </c>
      <c r="F26" s="63" t="e">
        <f>#REF!</f>
        <v>#REF!</v>
      </c>
      <c r="G26" s="63" t="e">
        <f>#REF!</f>
        <v>#REF!</v>
      </c>
      <c r="H26" s="63" t="e">
        <f>#REF!</f>
        <v>#REF!</v>
      </c>
      <c r="I26" s="63" t="e">
        <f>#REF!</f>
        <v>#REF!</v>
      </c>
      <c r="J26" s="63" t="e">
        <f>#REF!</f>
        <v>#REF!</v>
      </c>
      <c r="K26" s="63">
        <f>'Прил.№4 ведомств.'!G1245</f>
        <v>1023</v>
      </c>
      <c r="L26" s="63">
        <f>'Прил.№4 ведомств.'!H1245</f>
        <v>806.7</v>
      </c>
      <c r="M26" s="7">
        <f t="shared" si="3"/>
        <v>78.85630498533725</v>
      </c>
    </row>
    <row r="27" spans="1:13" ht="31.5">
      <c r="A27" s="31" t="s">
        <v>170</v>
      </c>
      <c r="B27" s="42" t="s">
        <v>157</v>
      </c>
      <c r="C27" s="42" t="s">
        <v>254</v>
      </c>
      <c r="D27" s="42" t="s">
        <v>620</v>
      </c>
      <c r="E27" s="42" t="s">
        <v>171</v>
      </c>
      <c r="F27" s="7" t="e">
        <f aca="true" t="shared" si="12" ref="F27:L27">F28</f>
        <v>#REF!</v>
      </c>
      <c r="G27" s="7" t="e">
        <f t="shared" si="12"/>
        <v>#REF!</v>
      </c>
      <c r="H27" s="7" t="e">
        <f t="shared" si="12"/>
        <v>#REF!</v>
      </c>
      <c r="I27" s="7" t="e">
        <f t="shared" si="12"/>
        <v>#REF!</v>
      </c>
      <c r="J27" s="7" t="e">
        <f t="shared" si="12"/>
        <v>#REF!</v>
      </c>
      <c r="K27" s="7">
        <f t="shared" si="12"/>
        <v>93</v>
      </c>
      <c r="L27" s="7">
        <f t="shared" si="12"/>
        <v>68.6</v>
      </c>
      <c r="M27" s="7">
        <f t="shared" si="3"/>
        <v>73.76344086021504</v>
      </c>
    </row>
    <row r="28" spans="1:13" ht="47.25">
      <c r="A28" s="31" t="s">
        <v>172</v>
      </c>
      <c r="B28" s="42" t="s">
        <v>157</v>
      </c>
      <c r="C28" s="42" t="s">
        <v>254</v>
      </c>
      <c r="D28" s="42" t="s">
        <v>620</v>
      </c>
      <c r="E28" s="42" t="s">
        <v>173</v>
      </c>
      <c r="F28" s="7" t="e">
        <f>#REF!</f>
        <v>#REF!</v>
      </c>
      <c r="G28" s="7" t="e">
        <f>#REF!</f>
        <v>#REF!</v>
      </c>
      <c r="H28" s="7" t="e">
        <f>#REF!</f>
        <v>#REF!</v>
      </c>
      <c r="I28" s="7" t="e">
        <f>#REF!</f>
        <v>#REF!</v>
      </c>
      <c r="J28" s="7" t="e">
        <f>#REF!</f>
        <v>#REF!</v>
      </c>
      <c r="K28" s="7">
        <f>'Прил.№4 ведомств.'!G1247</f>
        <v>93</v>
      </c>
      <c r="L28" s="7">
        <f>'Прил.№4 ведомств.'!H1247</f>
        <v>68.6</v>
      </c>
      <c r="M28" s="7">
        <f t="shared" si="3"/>
        <v>73.76344086021504</v>
      </c>
    </row>
    <row r="29" spans="1:13" ht="15.75" customHeight="1" hidden="1">
      <c r="A29" s="31" t="s">
        <v>174</v>
      </c>
      <c r="B29" s="42" t="s">
        <v>157</v>
      </c>
      <c r="C29" s="42" t="s">
        <v>254</v>
      </c>
      <c r="D29" s="42" t="s">
        <v>620</v>
      </c>
      <c r="E29" s="42" t="s">
        <v>184</v>
      </c>
      <c r="F29" s="7">
        <f aca="true" t="shared" si="13" ref="F29:L29">F30</f>
        <v>0</v>
      </c>
      <c r="G29" s="7">
        <f t="shared" si="13"/>
        <v>0</v>
      </c>
      <c r="H29" s="7">
        <f t="shared" si="13"/>
        <v>0</v>
      </c>
      <c r="I29" s="7">
        <f t="shared" si="13"/>
        <v>0</v>
      </c>
      <c r="J29" s="7">
        <f t="shared" si="13"/>
        <v>0</v>
      </c>
      <c r="K29" s="7">
        <f t="shared" si="13"/>
        <v>0</v>
      </c>
      <c r="L29" s="7">
        <f t="shared" si="13"/>
        <v>0</v>
      </c>
      <c r="M29" s="4" t="e">
        <f t="shared" si="3"/>
        <v>#DIV/0!</v>
      </c>
    </row>
    <row r="30" spans="1:13" ht="15.75" customHeight="1" hidden="1">
      <c r="A30" s="31" t="s">
        <v>176</v>
      </c>
      <c r="B30" s="42" t="s">
        <v>157</v>
      </c>
      <c r="C30" s="42" t="s">
        <v>254</v>
      </c>
      <c r="D30" s="42" t="s">
        <v>620</v>
      </c>
      <c r="E30" s="42" t="s">
        <v>177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4" t="e">
        <f t="shared" si="3"/>
        <v>#DIV/0!</v>
      </c>
    </row>
    <row r="31" spans="1:13" ht="70.5" customHeight="1">
      <c r="A31" s="43" t="s">
        <v>188</v>
      </c>
      <c r="B31" s="8" t="s">
        <v>157</v>
      </c>
      <c r="C31" s="8" t="s">
        <v>189</v>
      </c>
      <c r="D31" s="8"/>
      <c r="E31" s="8"/>
      <c r="F31" s="4" t="e">
        <f aca="true" t="shared" si="14" ref="F31:L31">F32</f>
        <v>#REF!</v>
      </c>
      <c r="G31" s="4" t="e">
        <f t="shared" si="14"/>
        <v>#REF!</v>
      </c>
      <c r="H31" s="4" t="e">
        <f t="shared" si="14"/>
        <v>#REF!</v>
      </c>
      <c r="I31" s="4" t="e">
        <f t="shared" si="14"/>
        <v>#REF!</v>
      </c>
      <c r="J31" s="4" t="e">
        <f t="shared" si="14"/>
        <v>#REF!</v>
      </c>
      <c r="K31" s="4">
        <f t="shared" si="14"/>
        <v>63586.69999999999</v>
      </c>
      <c r="L31" s="4">
        <f t="shared" si="14"/>
        <v>43543.1</v>
      </c>
      <c r="M31" s="4">
        <f t="shared" si="3"/>
        <v>68.478313861232</v>
      </c>
    </row>
    <row r="32" spans="1:13" ht="15.75">
      <c r="A32" s="31" t="s">
        <v>160</v>
      </c>
      <c r="B32" s="42" t="s">
        <v>157</v>
      </c>
      <c r="C32" s="42" t="s">
        <v>189</v>
      </c>
      <c r="D32" s="42" t="s">
        <v>161</v>
      </c>
      <c r="E32" s="42"/>
      <c r="F32" s="7" t="e">
        <f aca="true" t="shared" si="15" ref="F32:K32">F33+F55</f>
        <v>#REF!</v>
      </c>
      <c r="G32" s="7" t="e">
        <f t="shared" si="15"/>
        <v>#REF!</v>
      </c>
      <c r="H32" s="7" t="e">
        <f t="shared" si="15"/>
        <v>#REF!</v>
      </c>
      <c r="I32" s="7" t="e">
        <f t="shared" si="15"/>
        <v>#REF!</v>
      </c>
      <c r="J32" s="7" t="e">
        <f t="shared" si="15"/>
        <v>#REF!</v>
      </c>
      <c r="K32" s="7">
        <f t="shared" si="15"/>
        <v>63586.69999999999</v>
      </c>
      <c r="L32" s="7">
        <f aca="true" t="shared" si="16" ref="L32">L33+L55</f>
        <v>43543.1</v>
      </c>
      <c r="M32" s="7">
        <f t="shared" si="3"/>
        <v>68.478313861232</v>
      </c>
    </row>
    <row r="33" spans="1:13" ht="31.5">
      <c r="A33" s="31" t="s">
        <v>162</v>
      </c>
      <c r="B33" s="42" t="s">
        <v>157</v>
      </c>
      <c r="C33" s="42" t="s">
        <v>189</v>
      </c>
      <c r="D33" s="42" t="s">
        <v>163</v>
      </c>
      <c r="E33" s="42"/>
      <c r="F33" s="7" t="e">
        <f>F34+F44</f>
        <v>#REF!</v>
      </c>
      <c r="G33" s="7" t="e">
        <f>G34+G44</f>
        <v>#REF!</v>
      </c>
      <c r="H33" s="7" t="e">
        <f>H34+H44</f>
        <v>#REF!</v>
      </c>
      <c r="I33" s="7" t="e">
        <f>I34+I44</f>
        <v>#REF!</v>
      </c>
      <c r="J33" s="7" t="e">
        <f>J34+J44</f>
        <v>#REF!</v>
      </c>
      <c r="K33" s="7">
        <f>K34+K44+K50+K47</f>
        <v>63586.69999999999</v>
      </c>
      <c r="L33" s="7">
        <f aca="true" t="shared" si="17" ref="L33">L34+L44+L50+L47</f>
        <v>43543.1</v>
      </c>
      <c r="M33" s="7">
        <f t="shared" si="3"/>
        <v>68.478313861232</v>
      </c>
    </row>
    <row r="34" spans="1:13" ht="47.25">
      <c r="A34" s="31" t="s">
        <v>164</v>
      </c>
      <c r="B34" s="42" t="s">
        <v>157</v>
      </c>
      <c r="C34" s="42" t="s">
        <v>189</v>
      </c>
      <c r="D34" s="42" t="s">
        <v>165</v>
      </c>
      <c r="E34" s="42"/>
      <c r="F34" s="7" t="e">
        <f aca="true" t="shared" si="18" ref="F34:J34">F35+F37+F41</f>
        <v>#REF!</v>
      </c>
      <c r="G34" s="7" t="e">
        <f t="shared" si="18"/>
        <v>#REF!</v>
      </c>
      <c r="H34" s="7" t="e">
        <f t="shared" si="18"/>
        <v>#REF!</v>
      </c>
      <c r="I34" s="7" t="e">
        <f t="shared" si="18"/>
        <v>#REF!</v>
      </c>
      <c r="J34" s="7" t="e">
        <f t="shared" si="18"/>
        <v>#REF!</v>
      </c>
      <c r="K34" s="7">
        <f>K35+K37+K41+K39</f>
        <v>54536.599999999984</v>
      </c>
      <c r="L34" s="7">
        <f aca="true" t="shared" si="19" ref="L34">L35+L37+L41+L39</f>
        <v>37294.799999999996</v>
      </c>
      <c r="M34" s="7">
        <f t="shared" si="3"/>
        <v>68.38490114895319</v>
      </c>
    </row>
    <row r="35" spans="1:13" ht="78.75">
      <c r="A35" s="31" t="s">
        <v>166</v>
      </c>
      <c r="B35" s="42" t="s">
        <v>157</v>
      </c>
      <c r="C35" s="42" t="s">
        <v>189</v>
      </c>
      <c r="D35" s="42" t="s">
        <v>165</v>
      </c>
      <c r="E35" s="42" t="s">
        <v>167</v>
      </c>
      <c r="F35" s="63" t="e">
        <f aca="true" t="shared" si="20" ref="F35:L35">F36</f>
        <v>#REF!</v>
      </c>
      <c r="G35" s="63" t="e">
        <f t="shared" si="20"/>
        <v>#REF!</v>
      </c>
      <c r="H35" s="63" t="e">
        <f t="shared" si="20"/>
        <v>#REF!</v>
      </c>
      <c r="I35" s="63" t="e">
        <f t="shared" si="20"/>
        <v>#REF!</v>
      </c>
      <c r="J35" s="63" t="e">
        <f t="shared" si="20"/>
        <v>#REF!</v>
      </c>
      <c r="K35" s="63">
        <f t="shared" si="20"/>
        <v>46718.999999999985</v>
      </c>
      <c r="L35" s="63">
        <f t="shared" si="20"/>
        <v>32201.199999999997</v>
      </c>
      <c r="M35" s="7">
        <f t="shared" si="3"/>
        <v>68.92527665403799</v>
      </c>
    </row>
    <row r="36" spans="1:13" ht="31.5">
      <c r="A36" s="31" t="s">
        <v>168</v>
      </c>
      <c r="B36" s="42" t="s">
        <v>157</v>
      </c>
      <c r="C36" s="42" t="s">
        <v>189</v>
      </c>
      <c r="D36" s="42" t="s">
        <v>165</v>
      </c>
      <c r="E36" s="42" t="s">
        <v>169</v>
      </c>
      <c r="F36" s="63" t="e">
        <f>#REF!+#REF!</f>
        <v>#REF!</v>
      </c>
      <c r="G36" s="63" t="e">
        <f>#REF!+#REF!</f>
        <v>#REF!</v>
      </c>
      <c r="H36" s="63" t="e">
        <f>#REF!+#REF!</f>
        <v>#REF!</v>
      </c>
      <c r="I36" s="63" t="e">
        <f>#REF!+#REF!</f>
        <v>#REF!</v>
      </c>
      <c r="J36" s="63" t="e">
        <f>#REF!+#REF!</f>
        <v>#REF!</v>
      </c>
      <c r="K36" s="63">
        <f>'Прил.№4 ведомств.'!G617+'Прил.№4 ведомств.'!G34</f>
        <v>46718.999999999985</v>
      </c>
      <c r="L36" s="63">
        <f>'Прил.№4 ведомств.'!H617+'Прил.№4 ведомств.'!H34</f>
        <v>32201.199999999997</v>
      </c>
      <c r="M36" s="7">
        <f t="shared" si="3"/>
        <v>68.92527665403799</v>
      </c>
    </row>
    <row r="37" spans="1:13" ht="31.5">
      <c r="A37" s="31" t="s">
        <v>170</v>
      </c>
      <c r="B37" s="42" t="s">
        <v>157</v>
      </c>
      <c r="C37" s="42" t="s">
        <v>189</v>
      </c>
      <c r="D37" s="42" t="s">
        <v>165</v>
      </c>
      <c r="E37" s="42" t="s">
        <v>171</v>
      </c>
      <c r="F37" s="7" t="e">
        <f aca="true" t="shared" si="21" ref="F37:L37">F38</f>
        <v>#REF!</v>
      </c>
      <c r="G37" s="7" t="e">
        <f t="shared" si="21"/>
        <v>#REF!</v>
      </c>
      <c r="H37" s="7" t="e">
        <f t="shared" si="21"/>
        <v>#REF!</v>
      </c>
      <c r="I37" s="7" t="e">
        <f t="shared" si="21"/>
        <v>#REF!</v>
      </c>
      <c r="J37" s="7" t="e">
        <f t="shared" si="21"/>
        <v>#REF!</v>
      </c>
      <c r="K37" s="7">
        <f t="shared" si="21"/>
        <v>7311</v>
      </c>
      <c r="L37" s="7">
        <f t="shared" si="21"/>
        <v>4502.8</v>
      </c>
      <c r="M37" s="7">
        <f t="shared" si="3"/>
        <v>61.58938585692791</v>
      </c>
    </row>
    <row r="38" spans="1:13" ht="47.25">
      <c r="A38" s="31" t="s">
        <v>172</v>
      </c>
      <c r="B38" s="42" t="s">
        <v>157</v>
      </c>
      <c r="C38" s="42" t="s">
        <v>189</v>
      </c>
      <c r="D38" s="42" t="s">
        <v>165</v>
      </c>
      <c r="E38" s="42" t="s">
        <v>173</v>
      </c>
      <c r="F38" s="7" t="e">
        <f>#REF!+#REF!</f>
        <v>#REF!</v>
      </c>
      <c r="G38" s="7" t="e">
        <f>#REF!+#REF!</f>
        <v>#REF!</v>
      </c>
      <c r="H38" s="7" t="e">
        <f>#REF!+#REF!</f>
        <v>#REF!</v>
      </c>
      <c r="I38" s="7" t="e">
        <f>#REF!+#REF!</f>
        <v>#REF!</v>
      </c>
      <c r="J38" s="7" t="e">
        <f>#REF!+#REF!</f>
        <v>#REF!</v>
      </c>
      <c r="K38" s="7">
        <f>'Прил.№4 ведомств.'!G36+'Прил.№4 ведомств.'!G619</f>
        <v>7311</v>
      </c>
      <c r="L38" s="7">
        <f>'Прил.№4 ведомств.'!H36+'Прил.№4 ведомств.'!H619</f>
        <v>4502.8</v>
      </c>
      <c r="M38" s="7">
        <f t="shared" si="3"/>
        <v>61.58938585692791</v>
      </c>
    </row>
    <row r="39" spans="1:13" s="299" customFormat="1" ht="31.5">
      <c r="A39" s="26" t="s">
        <v>287</v>
      </c>
      <c r="B39" s="42" t="s">
        <v>157</v>
      </c>
      <c r="C39" s="42" t="s">
        <v>189</v>
      </c>
      <c r="D39" s="42" t="s">
        <v>165</v>
      </c>
      <c r="E39" s="42" t="s">
        <v>288</v>
      </c>
      <c r="F39" s="7"/>
      <c r="G39" s="7"/>
      <c r="H39" s="7"/>
      <c r="I39" s="7"/>
      <c r="J39" s="7"/>
      <c r="K39" s="7">
        <f>K40</f>
        <v>300</v>
      </c>
      <c r="L39" s="7">
        <f aca="true" t="shared" si="22" ref="L39">L40</f>
        <v>462.6</v>
      </c>
      <c r="M39" s="7">
        <f t="shared" si="3"/>
        <v>154.20000000000002</v>
      </c>
    </row>
    <row r="40" spans="1:13" s="299" customFormat="1" ht="31.5">
      <c r="A40" s="26" t="s">
        <v>289</v>
      </c>
      <c r="B40" s="42" t="s">
        <v>157</v>
      </c>
      <c r="C40" s="42" t="s">
        <v>189</v>
      </c>
      <c r="D40" s="42" t="s">
        <v>165</v>
      </c>
      <c r="E40" s="42" t="s">
        <v>290</v>
      </c>
      <c r="F40" s="7"/>
      <c r="G40" s="7"/>
      <c r="H40" s="7"/>
      <c r="I40" s="7"/>
      <c r="J40" s="7"/>
      <c r="K40" s="7">
        <f>'Прил.№4 ведомств.'!G38</f>
        <v>300</v>
      </c>
      <c r="L40" s="7">
        <f>'Прил.№4 ведомств.'!H38</f>
        <v>462.6</v>
      </c>
      <c r="M40" s="7">
        <f t="shared" si="3"/>
        <v>154.20000000000002</v>
      </c>
    </row>
    <row r="41" spans="1:13" ht="15.75">
      <c r="A41" s="31" t="s">
        <v>174</v>
      </c>
      <c r="B41" s="42" t="s">
        <v>157</v>
      </c>
      <c r="C41" s="42" t="s">
        <v>189</v>
      </c>
      <c r="D41" s="42" t="s">
        <v>165</v>
      </c>
      <c r="E41" s="42" t="s">
        <v>184</v>
      </c>
      <c r="F41" s="7" t="e">
        <f aca="true" t="shared" si="23" ref="F41:L41">F42</f>
        <v>#REF!</v>
      </c>
      <c r="G41" s="7" t="e">
        <f t="shared" si="23"/>
        <v>#REF!</v>
      </c>
      <c r="H41" s="7" t="e">
        <f t="shared" si="23"/>
        <v>#REF!</v>
      </c>
      <c r="I41" s="7" t="e">
        <f t="shared" si="23"/>
        <v>#REF!</v>
      </c>
      <c r="J41" s="7" t="e">
        <f t="shared" si="23"/>
        <v>#REF!</v>
      </c>
      <c r="K41" s="7">
        <f t="shared" si="23"/>
        <v>206.60000000000002</v>
      </c>
      <c r="L41" s="7">
        <f t="shared" si="23"/>
        <v>128.2</v>
      </c>
      <c r="M41" s="7">
        <f t="shared" si="3"/>
        <v>62.05227492739592</v>
      </c>
    </row>
    <row r="42" spans="1:13" ht="15.75">
      <c r="A42" s="31" t="s">
        <v>608</v>
      </c>
      <c r="B42" s="42" t="s">
        <v>157</v>
      </c>
      <c r="C42" s="42" t="s">
        <v>189</v>
      </c>
      <c r="D42" s="42" t="s">
        <v>165</v>
      </c>
      <c r="E42" s="42" t="s">
        <v>177</v>
      </c>
      <c r="F42" s="7" t="e">
        <f>#REF!+#REF!</f>
        <v>#REF!</v>
      </c>
      <c r="G42" s="7" t="e">
        <f>#REF!+#REF!</f>
        <v>#REF!</v>
      </c>
      <c r="H42" s="7" t="e">
        <f>#REF!+#REF!</f>
        <v>#REF!</v>
      </c>
      <c r="I42" s="7" t="e">
        <f>#REF!+#REF!</f>
        <v>#REF!</v>
      </c>
      <c r="J42" s="7" t="e">
        <f>#REF!+#REF!</f>
        <v>#REF!</v>
      </c>
      <c r="K42" s="7">
        <f>'Прил.№4 ведомств.'!G621+'Прил.№4 ведомств.'!G40</f>
        <v>206.60000000000002</v>
      </c>
      <c r="L42" s="7">
        <f>'Прил.№4 ведомств.'!H621+'Прил.№4 ведомств.'!H40</f>
        <v>128.2</v>
      </c>
      <c r="M42" s="7">
        <f t="shared" si="3"/>
        <v>62.05227492739592</v>
      </c>
    </row>
    <row r="43" spans="1:13" ht="31.5">
      <c r="A43" s="26" t="s">
        <v>633</v>
      </c>
      <c r="B43" s="42" t="s">
        <v>157</v>
      </c>
      <c r="C43" s="42" t="s">
        <v>189</v>
      </c>
      <c r="D43" s="42" t="s">
        <v>191</v>
      </c>
      <c r="E43" s="42"/>
      <c r="F43" s="7" t="e">
        <f>F44</f>
        <v>#REF!</v>
      </c>
      <c r="G43" s="7" t="e">
        <f aca="true" t="shared" si="24" ref="G43:L45">G44</f>
        <v>#REF!</v>
      </c>
      <c r="H43" s="7" t="e">
        <f t="shared" si="24"/>
        <v>#REF!</v>
      </c>
      <c r="I43" s="7" t="e">
        <f t="shared" si="24"/>
        <v>#REF!</v>
      </c>
      <c r="J43" s="7" t="e">
        <f t="shared" si="24"/>
        <v>#REF!</v>
      </c>
      <c r="K43" s="7">
        <f t="shared" si="24"/>
        <v>3727.9</v>
      </c>
      <c r="L43" s="7">
        <f t="shared" si="24"/>
        <v>2990.8</v>
      </c>
      <c r="M43" s="7">
        <f t="shared" si="3"/>
        <v>80.22747391292685</v>
      </c>
    </row>
    <row r="44" spans="1:13" ht="31.5">
      <c r="A44" s="31" t="s">
        <v>190</v>
      </c>
      <c r="B44" s="42" t="s">
        <v>157</v>
      </c>
      <c r="C44" s="42" t="s">
        <v>189</v>
      </c>
      <c r="D44" s="42" t="s">
        <v>191</v>
      </c>
      <c r="E44" s="42"/>
      <c r="F44" s="7" t="e">
        <f>F45</f>
        <v>#REF!</v>
      </c>
      <c r="G44" s="7" t="e">
        <f t="shared" si="24"/>
        <v>#REF!</v>
      </c>
      <c r="H44" s="7" t="e">
        <f t="shared" si="24"/>
        <v>#REF!</v>
      </c>
      <c r="I44" s="7" t="e">
        <f t="shared" si="24"/>
        <v>#REF!</v>
      </c>
      <c r="J44" s="7" t="e">
        <f t="shared" si="24"/>
        <v>#REF!</v>
      </c>
      <c r="K44" s="7">
        <f t="shared" si="24"/>
        <v>3727.9</v>
      </c>
      <c r="L44" s="7">
        <f t="shared" si="24"/>
        <v>2990.8</v>
      </c>
      <c r="M44" s="7">
        <f t="shared" si="3"/>
        <v>80.22747391292685</v>
      </c>
    </row>
    <row r="45" spans="1:13" ht="78.75">
      <c r="A45" s="31" t="s">
        <v>166</v>
      </c>
      <c r="B45" s="42" t="s">
        <v>157</v>
      </c>
      <c r="C45" s="42" t="s">
        <v>189</v>
      </c>
      <c r="D45" s="42" t="s">
        <v>191</v>
      </c>
      <c r="E45" s="42" t="s">
        <v>167</v>
      </c>
      <c r="F45" s="63" t="e">
        <f>F46</f>
        <v>#REF!</v>
      </c>
      <c r="G45" s="63" t="e">
        <f t="shared" si="24"/>
        <v>#REF!</v>
      </c>
      <c r="H45" s="63" t="e">
        <f t="shared" si="24"/>
        <v>#REF!</v>
      </c>
      <c r="I45" s="63" t="e">
        <f t="shared" si="24"/>
        <v>#REF!</v>
      </c>
      <c r="J45" s="63" t="e">
        <f t="shared" si="24"/>
        <v>#REF!</v>
      </c>
      <c r="K45" s="63">
        <f t="shared" si="24"/>
        <v>3727.9</v>
      </c>
      <c r="L45" s="63">
        <f t="shared" si="24"/>
        <v>2990.8</v>
      </c>
      <c r="M45" s="7">
        <f t="shared" si="3"/>
        <v>80.22747391292685</v>
      </c>
    </row>
    <row r="46" spans="1:13" ht="31.5">
      <c r="A46" s="31" t="s">
        <v>168</v>
      </c>
      <c r="B46" s="42" t="s">
        <v>157</v>
      </c>
      <c r="C46" s="42" t="s">
        <v>189</v>
      </c>
      <c r="D46" s="42" t="s">
        <v>191</v>
      </c>
      <c r="E46" s="42" t="s">
        <v>169</v>
      </c>
      <c r="F46" s="63" t="e">
        <f>#REF!</f>
        <v>#REF!</v>
      </c>
      <c r="G46" s="63" t="e">
        <f>#REF!</f>
        <v>#REF!</v>
      </c>
      <c r="H46" s="63" t="e">
        <f>#REF!</f>
        <v>#REF!</v>
      </c>
      <c r="I46" s="63" t="e">
        <f>#REF!</f>
        <v>#REF!</v>
      </c>
      <c r="J46" s="63" t="e">
        <f>#REF!</f>
        <v>#REF!</v>
      </c>
      <c r="K46" s="63">
        <f>'Прил.№4 ведомств.'!G43</f>
        <v>3727.9</v>
      </c>
      <c r="L46" s="63">
        <f>'Прил.№4 ведомств.'!H43</f>
        <v>2990.8</v>
      </c>
      <c r="M46" s="7">
        <f t="shared" si="3"/>
        <v>80.22747391292685</v>
      </c>
    </row>
    <row r="47" spans="1:13" ht="31.5">
      <c r="A47" s="26" t="s">
        <v>192</v>
      </c>
      <c r="B47" s="21" t="s">
        <v>157</v>
      </c>
      <c r="C47" s="21" t="s">
        <v>189</v>
      </c>
      <c r="D47" s="21" t="s">
        <v>982</v>
      </c>
      <c r="E47" s="21"/>
      <c r="F47" s="28">
        <f>F48</f>
        <v>2553.5</v>
      </c>
      <c r="G47" s="63"/>
      <c r="H47" s="63"/>
      <c r="I47" s="63"/>
      <c r="J47" s="63"/>
      <c r="K47" s="63">
        <f>K48</f>
        <v>2437.8</v>
      </c>
      <c r="L47" s="63">
        <f aca="true" t="shared" si="25" ref="L47:L48">L48</f>
        <v>1346.1</v>
      </c>
      <c r="M47" s="7">
        <f t="shared" si="3"/>
        <v>55.217819345311334</v>
      </c>
    </row>
    <row r="48" spans="1:13" ht="78.75">
      <c r="A48" s="26" t="s">
        <v>166</v>
      </c>
      <c r="B48" s="21" t="s">
        <v>157</v>
      </c>
      <c r="C48" s="21" t="s">
        <v>189</v>
      </c>
      <c r="D48" s="21" t="s">
        <v>982</v>
      </c>
      <c r="E48" s="21" t="s">
        <v>167</v>
      </c>
      <c r="F48" s="28">
        <f>F49</f>
        <v>2553.5</v>
      </c>
      <c r="G48" s="63"/>
      <c r="H48" s="63"/>
      <c r="I48" s="63"/>
      <c r="J48" s="63"/>
      <c r="K48" s="63">
        <f>K49</f>
        <v>2437.8</v>
      </c>
      <c r="L48" s="63">
        <f t="shared" si="25"/>
        <v>1346.1</v>
      </c>
      <c r="M48" s="7">
        <f t="shared" si="3"/>
        <v>55.217819345311334</v>
      </c>
    </row>
    <row r="49" spans="1:13" ht="31.5">
      <c r="A49" s="26" t="s">
        <v>168</v>
      </c>
      <c r="B49" s="21" t="s">
        <v>157</v>
      </c>
      <c r="C49" s="21" t="s">
        <v>189</v>
      </c>
      <c r="D49" s="21" t="s">
        <v>982</v>
      </c>
      <c r="E49" s="21" t="s">
        <v>169</v>
      </c>
      <c r="F49" s="28">
        <v>2553.5</v>
      </c>
      <c r="G49" s="63"/>
      <c r="H49" s="63"/>
      <c r="I49" s="63"/>
      <c r="J49" s="63"/>
      <c r="K49" s="63">
        <f>'Прил.№4 ведомств.'!G46</f>
        <v>2437.8</v>
      </c>
      <c r="L49" s="63">
        <f>'Прил.№4 ведомств.'!H46</f>
        <v>1346.1</v>
      </c>
      <c r="M49" s="7">
        <f t="shared" si="3"/>
        <v>55.217819345311334</v>
      </c>
    </row>
    <row r="50" spans="1:13" ht="47.25">
      <c r="A50" s="31" t="s">
        <v>249</v>
      </c>
      <c r="B50" s="42" t="s">
        <v>157</v>
      </c>
      <c r="C50" s="42" t="s">
        <v>189</v>
      </c>
      <c r="D50" s="42" t="s">
        <v>927</v>
      </c>
      <c r="E50" s="42"/>
      <c r="F50" s="63"/>
      <c r="G50" s="63"/>
      <c r="H50" s="63"/>
      <c r="I50" s="63"/>
      <c r="J50" s="63"/>
      <c r="K50" s="63">
        <f>K51+K53</f>
        <v>2884.3999999999996</v>
      </c>
      <c r="L50" s="63">
        <f aca="true" t="shared" si="26" ref="L50">L51+L53</f>
        <v>1911.4</v>
      </c>
      <c r="M50" s="7">
        <f t="shared" si="3"/>
        <v>66.26681458882264</v>
      </c>
    </row>
    <row r="51" spans="1:13" ht="78.75">
      <c r="A51" s="31" t="s">
        <v>166</v>
      </c>
      <c r="B51" s="42" t="s">
        <v>157</v>
      </c>
      <c r="C51" s="42" t="s">
        <v>189</v>
      </c>
      <c r="D51" s="42" t="s">
        <v>927</v>
      </c>
      <c r="E51" s="42" t="s">
        <v>167</v>
      </c>
      <c r="F51" s="63"/>
      <c r="G51" s="63"/>
      <c r="H51" s="63"/>
      <c r="I51" s="63"/>
      <c r="J51" s="63"/>
      <c r="K51" s="63">
        <f>K52</f>
        <v>2269.3999999999996</v>
      </c>
      <c r="L51" s="63">
        <f aca="true" t="shared" si="27" ref="L51">L52</f>
        <v>1631.2</v>
      </c>
      <c r="M51" s="7">
        <f t="shared" si="3"/>
        <v>71.878029435093</v>
      </c>
    </row>
    <row r="52" spans="1:13" ht="31.5">
      <c r="A52" s="31" t="s">
        <v>168</v>
      </c>
      <c r="B52" s="42" t="s">
        <v>157</v>
      </c>
      <c r="C52" s="42" t="s">
        <v>189</v>
      </c>
      <c r="D52" s="42" t="s">
        <v>927</v>
      </c>
      <c r="E52" s="42" t="s">
        <v>169</v>
      </c>
      <c r="F52" s="63"/>
      <c r="G52" s="63"/>
      <c r="H52" s="63"/>
      <c r="I52" s="63"/>
      <c r="J52" s="63"/>
      <c r="K52" s="63">
        <f>'Прил.№4 ведомств.'!G49</f>
        <v>2269.3999999999996</v>
      </c>
      <c r="L52" s="63">
        <f>'Прил.№4 ведомств.'!H49</f>
        <v>1631.2</v>
      </c>
      <c r="M52" s="7">
        <f t="shared" si="3"/>
        <v>71.878029435093</v>
      </c>
    </row>
    <row r="53" spans="1:13" ht="31.5">
      <c r="A53" s="31" t="s">
        <v>170</v>
      </c>
      <c r="B53" s="42" t="s">
        <v>157</v>
      </c>
      <c r="C53" s="42" t="s">
        <v>189</v>
      </c>
      <c r="D53" s="42" t="s">
        <v>927</v>
      </c>
      <c r="E53" s="42" t="s">
        <v>171</v>
      </c>
      <c r="F53" s="63"/>
      <c r="G53" s="63"/>
      <c r="H53" s="63"/>
      <c r="I53" s="63"/>
      <c r="J53" s="63"/>
      <c r="K53" s="63">
        <f>K54</f>
        <v>615</v>
      </c>
      <c r="L53" s="63">
        <f aca="true" t="shared" si="28" ref="L53">L54</f>
        <v>280.2</v>
      </c>
      <c r="M53" s="7">
        <f t="shared" si="3"/>
        <v>45.56097560975609</v>
      </c>
    </row>
    <row r="54" spans="1:13" ht="48" customHeight="1">
      <c r="A54" s="31" t="s">
        <v>172</v>
      </c>
      <c r="B54" s="42" t="s">
        <v>157</v>
      </c>
      <c r="C54" s="42" t="s">
        <v>189</v>
      </c>
      <c r="D54" s="42" t="s">
        <v>927</v>
      </c>
      <c r="E54" s="42" t="s">
        <v>173</v>
      </c>
      <c r="F54" s="63"/>
      <c r="G54" s="63"/>
      <c r="H54" s="63"/>
      <c r="I54" s="63"/>
      <c r="J54" s="63"/>
      <c r="K54" s="63">
        <f>'Прил.№4 ведомств.'!G51</f>
        <v>615</v>
      </c>
      <c r="L54" s="63">
        <f>'Прил.№4 ведомств.'!H51</f>
        <v>280.2</v>
      </c>
      <c r="M54" s="7">
        <f t="shared" si="3"/>
        <v>45.56097560975609</v>
      </c>
    </row>
    <row r="55" spans="1:13" ht="15.75" hidden="1">
      <c r="A55" s="26" t="s">
        <v>180</v>
      </c>
      <c r="B55" s="21" t="s">
        <v>157</v>
      </c>
      <c r="C55" s="21" t="s">
        <v>189</v>
      </c>
      <c r="D55" s="21" t="s">
        <v>181</v>
      </c>
      <c r="E55" s="21"/>
      <c r="F55" s="30" t="e">
        <f aca="true" t="shared" si="29" ref="F55:L55">F56</f>
        <v>#REF!</v>
      </c>
      <c r="G55" s="30" t="e">
        <f t="shared" si="29"/>
        <v>#REF!</v>
      </c>
      <c r="H55" s="30" t="e">
        <f t="shared" si="29"/>
        <v>#REF!</v>
      </c>
      <c r="I55" s="30" t="e">
        <f t="shared" si="29"/>
        <v>#REF!</v>
      </c>
      <c r="J55" s="30" t="e">
        <f t="shared" si="29"/>
        <v>#REF!</v>
      </c>
      <c r="K55" s="30">
        <f t="shared" si="29"/>
        <v>0</v>
      </c>
      <c r="L55" s="30">
        <f t="shared" si="29"/>
        <v>0</v>
      </c>
      <c r="M55" s="4" t="e">
        <f t="shared" si="3"/>
        <v>#DIV/0!</v>
      </c>
    </row>
    <row r="56" spans="1:13" ht="36.75" customHeight="1" hidden="1">
      <c r="A56" s="26" t="s">
        <v>192</v>
      </c>
      <c r="B56" s="21" t="s">
        <v>157</v>
      </c>
      <c r="C56" s="21" t="s">
        <v>189</v>
      </c>
      <c r="D56" s="21" t="s">
        <v>193</v>
      </c>
      <c r="E56" s="21"/>
      <c r="F56" s="27" t="e">
        <f aca="true" t="shared" si="30" ref="F56:K56">F57+F59</f>
        <v>#REF!</v>
      </c>
      <c r="G56" s="27" t="e">
        <f t="shared" si="30"/>
        <v>#REF!</v>
      </c>
      <c r="H56" s="27" t="e">
        <f t="shared" si="30"/>
        <v>#REF!</v>
      </c>
      <c r="I56" s="27" t="e">
        <f t="shared" si="30"/>
        <v>#REF!</v>
      </c>
      <c r="J56" s="27" t="e">
        <f t="shared" si="30"/>
        <v>#REF!</v>
      </c>
      <c r="K56" s="27">
        <f t="shared" si="30"/>
        <v>0</v>
      </c>
      <c r="L56" s="27">
        <f aca="true" t="shared" si="31" ref="L56">L57+L59</f>
        <v>0</v>
      </c>
      <c r="M56" s="4" t="e">
        <f t="shared" si="3"/>
        <v>#DIV/0!</v>
      </c>
    </row>
    <row r="57" spans="1:13" ht="84" customHeight="1" hidden="1">
      <c r="A57" s="26" t="s">
        <v>166</v>
      </c>
      <c r="B57" s="21" t="s">
        <v>157</v>
      </c>
      <c r="C57" s="21" t="s">
        <v>189</v>
      </c>
      <c r="D57" s="21" t="s">
        <v>193</v>
      </c>
      <c r="E57" s="21" t="s">
        <v>167</v>
      </c>
      <c r="F57" s="27" t="e">
        <f aca="true" t="shared" si="32" ref="F57:L57">F58</f>
        <v>#REF!</v>
      </c>
      <c r="G57" s="27" t="e">
        <f t="shared" si="32"/>
        <v>#REF!</v>
      </c>
      <c r="H57" s="27" t="e">
        <f t="shared" si="32"/>
        <v>#REF!</v>
      </c>
      <c r="I57" s="27" t="e">
        <f t="shared" si="32"/>
        <v>#REF!</v>
      </c>
      <c r="J57" s="27" t="e">
        <f t="shared" si="32"/>
        <v>#REF!</v>
      </c>
      <c r="K57" s="27">
        <f t="shared" si="32"/>
        <v>0</v>
      </c>
      <c r="L57" s="27">
        <f t="shared" si="32"/>
        <v>0</v>
      </c>
      <c r="M57" s="4" t="e">
        <f t="shared" si="3"/>
        <v>#DIV/0!</v>
      </c>
    </row>
    <row r="58" spans="1:13" ht="31.5" hidden="1">
      <c r="A58" s="26" t="s">
        <v>168</v>
      </c>
      <c r="B58" s="21" t="s">
        <v>157</v>
      </c>
      <c r="C58" s="21" t="s">
        <v>189</v>
      </c>
      <c r="D58" s="21" t="s">
        <v>193</v>
      </c>
      <c r="E58" s="21" t="s">
        <v>169</v>
      </c>
      <c r="F58" s="28" t="e">
        <f>#REF!</f>
        <v>#REF!</v>
      </c>
      <c r="G58" s="28" t="e">
        <f>#REF!</f>
        <v>#REF!</v>
      </c>
      <c r="H58" s="28" t="e">
        <f>#REF!</f>
        <v>#REF!</v>
      </c>
      <c r="I58" s="28" t="e">
        <f>#REF!</f>
        <v>#REF!</v>
      </c>
      <c r="J58" s="28" t="e">
        <f>#REF!</f>
        <v>#REF!</v>
      </c>
      <c r="K58" s="28">
        <f>'Прил.№4 ведомств.'!G55</f>
        <v>0</v>
      </c>
      <c r="L58" s="28">
        <f>'Прил.№4 ведомств.'!H55</f>
        <v>0</v>
      </c>
      <c r="M58" s="4" t="e">
        <f t="shared" si="3"/>
        <v>#DIV/0!</v>
      </c>
    </row>
    <row r="59" spans="1:13" ht="31.5" hidden="1">
      <c r="A59" s="26" t="s">
        <v>170</v>
      </c>
      <c r="B59" s="21" t="s">
        <v>157</v>
      </c>
      <c r="C59" s="21" t="s">
        <v>189</v>
      </c>
      <c r="D59" s="21" t="s">
        <v>193</v>
      </c>
      <c r="E59" s="21" t="s">
        <v>171</v>
      </c>
      <c r="F59" s="27" t="e">
        <f aca="true" t="shared" si="33" ref="F59:L59">F60</f>
        <v>#REF!</v>
      </c>
      <c r="G59" s="27" t="e">
        <f t="shared" si="33"/>
        <v>#REF!</v>
      </c>
      <c r="H59" s="27" t="e">
        <f t="shared" si="33"/>
        <v>#REF!</v>
      </c>
      <c r="I59" s="27" t="e">
        <f t="shared" si="33"/>
        <v>#REF!</v>
      </c>
      <c r="J59" s="27" t="e">
        <f t="shared" si="33"/>
        <v>#REF!</v>
      </c>
      <c r="K59" s="27">
        <f t="shared" si="33"/>
        <v>0</v>
      </c>
      <c r="L59" s="27">
        <f t="shared" si="33"/>
        <v>0</v>
      </c>
      <c r="M59" s="4" t="e">
        <f t="shared" si="3"/>
        <v>#DIV/0!</v>
      </c>
    </row>
    <row r="60" spans="1:13" ht="47.25" hidden="1">
      <c r="A60" s="26" t="s">
        <v>172</v>
      </c>
      <c r="B60" s="21" t="s">
        <v>157</v>
      </c>
      <c r="C60" s="21" t="s">
        <v>189</v>
      </c>
      <c r="D60" s="21" t="s">
        <v>193</v>
      </c>
      <c r="E60" s="21" t="s">
        <v>173</v>
      </c>
      <c r="F60" s="28" t="e">
        <f>#REF!</f>
        <v>#REF!</v>
      </c>
      <c r="G60" s="28" t="e">
        <f>#REF!</f>
        <v>#REF!</v>
      </c>
      <c r="H60" s="28" t="e">
        <f>#REF!</f>
        <v>#REF!</v>
      </c>
      <c r="I60" s="28" t="e">
        <f>#REF!</f>
        <v>#REF!</v>
      </c>
      <c r="J60" s="28" t="e">
        <f>#REF!</f>
        <v>#REF!</v>
      </c>
      <c r="K60" s="28">
        <f>'Прил.№4 ведомств.'!G57</f>
        <v>0</v>
      </c>
      <c r="L60" s="28">
        <f>'Прил.№4 ведомств.'!H57</f>
        <v>0</v>
      </c>
      <c r="M60" s="4" t="e">
        <f t="shared" si="3"/>
        <v>#DIV/0!</v>
      </c>
    </row>
    <row r="61" spans="1:13" ht="47.25">
      <c r="A61" s="43" t="s">
        <v>158</v>
      </c>
      <c r="B61" s="8" t="s">
        <v>157</v>
      </c>
      <c r="C61" s="8" t="s">
        <v>159</v>
      </c>
      <c r="D61" s="8"/>
      <c r="E61" s="8"/>
      <c r="F61" s="4" t="e">
        <f>F62</f>
        <v>#REF!</v>
      </c>
      <c r="G61" s="4" t="e">
        <f aca="true" t="shared" si="34" ref="G61:L63">G62</f>
        <v>#REF!</v>
      </c>
      <c r="H61" s="4" t="e">
        <f t="shared" si="34"/>
        <v>#REF!</v>
      </c>
      <c r="I61" s="4" t="e">
        <f t="shared" si="34"/>
        <v>#REF!</v>
      </c>
      <c r="J61" s="4" t="e">
        <f t="shared" si="34"/>
        <v>#REF!</v>
      </c>
      <c r="K61" s="4">
        <f t="shared" si="34"/>
        <v>19264.8</v>
      </c>
      <c r="L61" s="4">
        <f t="shared" si="34"/>
        <v>9775.9</v>
      </c>
      <c r="M61" s="4">
        <f t="shared" si="3"/>
        <v>50.744881857065735</v>
      </c>
    </row>
    <row r="62" spans="1:13" ht="15.75">
      <c r="A62" s="31" t="s">
        <v>160</v>
      </c>
      <c r="B62" s="42" t="s">
        <v>157</v>
      </c>
      <c r="C62" s="42" t="s">
        <v>159</v>
      </c>
      <c r="D62" s="42" t="s">
        <v>161</v>
      </c>
      <c r="E62" s="42"/>
      <c r="F62" s="7" t="e">
        <f>F63</f>
        <v>#REF!</v>
      </c>
      <c r="G62" s="7" t="e">
        <f t="shared" si="34"/>
        <v>#REF!</v>
      </c>
      <c r="H62" s="7" t="e">
        <f t="shared" si="34"/>
        <v>#REF!</v>
      </c>
      <c r="I62" s="7" t="e">
        <f t="shared" si="34"/>
        <v>#REF!</v>
      </c>
      <c r="J62" s="7" t="e">
        <f t="shared" si="34"/>
        <v>#REF!</v>
      </c>
      <c r="K62" s="7">
        <f t="shared" si="34"/>
        <v>19264.8</v>
      </c>
      <c r="L62" s="7">
        <f t="shared" si="34"/>
        <v>9775.9</v>
      </c>
      <c r="M62" s="7">
        <f t="shared" si="3"/>
        <v>50.744881857065735</v>
      </c>
    </row>
    <row r="63" spans="1:13" ht="31.5">
      <c r="A63" s="31" t="s">
        <v>162</v>
      </c>
      <c r="B63" s="42" t="s">
        <v>157</v>
      </c>
      <c r="C63" s="42" t="s">
        <v>159</v>
      </c>
      <c r="D63" s="42" t="s">
        <v>163</v>
      </c>
      <c r="E63" s="42"/>
      <c r="F63" s="7" t="e">
        <f>F64</f>
        <v>#REF!</v>
      </c>
      <c r="G63" s="7" t="e">
        <f t="shared" si="34"/>
        <v>#REF!</v>
      </c>
      <c r="H63" s="7" t="e">
        <f t="shared" si="34"/>
        <v>#REF!</v>
      </c>
      <c r="I63" s="7" t="e">
        <f t="shared" si="34"/>
        <v>#REF!</v>
      </c>
      <c r="J63" s="7" t="e">
        <f t="shared" si="34"/>
        <v>#REF!</v>
      </c>
      <c r="K63" s="7">
        <f t="shared" si="34"/>
        <v>19264.8</v>
      </c>
      <c r="L63" s="7">
        <f t="shared" si="34"/>
        <v>9775.9</v>
      </c>
      <c r="M63" s="7">
        <f t="shared" si="3"/>
        <v>50.744881857065735</v>
      </c>
    </row>
    <row r="64" spans="1:13" ht="47.25">
      <c r="A64" s="31" t="s">
        <v>164</v>
      </c>
      <c r="B64" s="42" t="s">
        <v>157</v>
      </c>
      <c r="C64" s="42" t="s">
        <v>159</v>
      </c>
      <c r="D64" s="42" t="s">
        <v>165</v>
      </c>
      <c r="E64" s="42"/>
      <c r="F64" s="7" t="e">
        <f aca="true" t="shared" si="35" ref="F64:K64">F65+F67+F69</f>
        <v>#REF!</v>
      </c>
      <c r="G64" s="7" t="e">
        <f t="shared" si="35"/>
        <v>#REF!</v>
      </c>
      <c r="H64" s="7" t="e">
        <f t="shared" si="35"/>
        <v>#REF!</v>
      </c>
      <c r="I64" s="7" t="e">
        <f t="shared" si="35"/>
        <v>#REF!</v>
      </c>
      <c r="J64" s="7" t="e">
        <f t="shared" si="35"/>
        <v>#REF!</v>
      </c>
      <c r="K64" s="7">
        <f t="shared" si="35"/>
        <v>19264.8</v>
      </c>
      <c r="L64" s="7">
        <f aca="true" t="shared" si="36" ref="L64">L65+L67+L69</f>
        <v>9775.9</v>
      </c>
      <c r="M64" s="7">
        <f t="shared" si="3"/>
        <v>50.744881857065735</v>
      </c>
    </row>
    <row r="65" spans="1:13" ht="78.75">
      <c r="A65" s="31" t="s">
        <v>166</v>
      </c>
      <c r="B65" s="42" t="s">
        <v>157</v>
      </c>
      <c r="C65" s="42" t="s">
        <v>159</v>
      </c>
      <c r="D65" s="42" t="s">
        <v>165</v>
      </c>
      <c r="E65" s="42" t="s">
        <v>167</v>
      </c>
      <c r="F65" s="7" t="e">
        <f aca="true" t="shared" si="37" ref="F65:L65">F66</f>
        <v>#REF!</v>
      </c>
      <c r="G65" s="7" t="e">
        <f t="shared" si="37"/>
        <v>#REF!</v>
      </c>
      <c r="H65" s="7" t="e">
        <f t="shared" si="37"/>
        <v>#REF!</v>
      </c>
      <c r="I65" s="7" t="e">
        <f t="shared" si="37"/>
        <v>#REF!</v>
      </c>
      <c r="J65" s="7" t="e">
        <f t="shared" si="37"/>
        <v>#REF!</v>
      </c>
      <c r="K65" s="7">
        <f t="shared" si="37"/>
        <v>18040.7</v>
      </c>
      <c r="L65" s="7">
        <f t="shared" si="37"/>
        <v>9296.8</v>
      </c>
      <c r="M65" s="7">
        <f t="shared" si="3"/>
        <v>51.53236847794154</v>
      </c>
    </row>
    <row r="66" spans="1:13" ht="31.5">
      <c r="A66" s="31" t="s">
        <v>168</v>
      </c>
      <c r="B66" s="42" t="s">
        <v>157</v>
      </c>
      <c r="C66" s="42" t="s">
        <v>159</v>
      </c>
      <c r="D66" s="42" t="s">
        <v>165</v>
      </c>
      <c r="E66" s="42" t="s">
        <v>169</v>
      </c>
      <c r="F66" s="63" t="e">
        <f>#REF!+#REF!+#REF!</f>
        <v>#REF!</v>
      </c>
      <c r="G66" s="63" t="e">
        <f>#REF!+#REF!+#REF!</f>
        <v>#REF!</v>
      </c>
      <c r="H66" s="63" t="e">
        <f>#REF!+#REF!+#REF!</f>
        <v>#REF!</v>
      </c>
      <c r="I66" s="63" t="e">
        <f>#REF!+#REF!+#REF!</f>
        <v>#REF!</v>
      </c>
      <c r="J66" s="63" t="e">
        <f>#REF!+#REF!+#REF!</f>
        <v>#REF!</v>
      </c>
      <c r="K66" s="63">
        <f>'Прил.№4 ведомств.'!G17+'Прил.№4 ведомств.'!G63+'Прил.№4 ведомств.'!G1255</f>
        <v>18040.7</v>
      </c>
      <c r="L66" s="63">
        <f>'Прил.№4 ведомств.'!H17+'Прил.№4 ведомств.'!H63+'Прил.№4 ведомств.'!H1255</f>
        <v>9296.8</v>
      </c>
      <c r="M66" s="7">
        <f t="shared" si="3"/>
        <v>51.53236847794154</v>
      </c>
    </row>
    <row r="67" spans="1:13" ht="31.5">
      <c r="A67" s="31" t="s">
        <v>170</v>
      </c>
      <c r="B67" s="42" t="s">
        <v>157</v>
      </c>
      <c r="C67" s="42" t="s">
        <v>159</v>
      </c>
      <c r="D67" s="42" t="s">
        <v>165</v>
      </c>
      <c r="E67" s="42" t="s">
        <v>171</v>
      </c>
      <c r="F67" s="7" t="e">
        <f aca="true" t="shared" si="38" ref="F67:L67">F68</f>
        <v>#REF!</v>
      </c>
      <c r="G67" s="7" t="e">
        <f t="shared" si="38"/>
        <v>#REF!</v>
      </c>
      <c r="H67" s="7" t="e">
        <f t="shared" si="38"/>
        <v>#REF!</v>
      </c>
      <c r="I67" s="7" t="e">
        <f t="shared" si="38"/>
        <v>#REF!</v>
      </c>
      <c r="J67" s="7" t="e">
        <f t="shared" si="38"/>
        <v>#REF!</v>
      </c>
      <c r="K67" s="7">
        <f t="shared" si="38"/>
        <v>1196.1</v>
      </c>
      <c r="L67" s="7">
        <f t="shared" si="38"/>
        <v>479</v>
      </c>
      <c r="M67" s="7">
        <f t="shared" si="3"/>
        <v>40.04681882785721</v>
      </c>
    </row>
    <row r="68" spans="1:13" ht="47.25">
      <c r="A68" s="31" t="s">
        <v>172</v>
      </c>
      <c r="B68" s="42" t="s">
        <v>157</v>
      </c>
      <c r="C68" s="42" t="s">
        <v>159</v>
      </c>
      <c r="D68" s="42" t="s">
        <v>165</v>
      </c>
      <c r="E68" s="42" t="s">
        <v>173</v>
      </c>
      <c r="F68" s="7" t="e">
        <f>#REF!+#REF!</f>
        <v>#REF!</v>
      </c>
      <c r="G68" s="7" t="e">
        <f>#REF!+#REF!</f>
        <v>#REF!</v>
      </c>
      <c r="H68" s="7" t="e">
        <f>#REF!+#REF!</f>
        <v>#REF!</v>
      </c>
      <c r="I68" s="7" t="e">
        <f>#REF!+#REF!</f>
        <v>#REF!</v>
      </c>
      <c r="J68" s="7" t="e">
        <f>#REF!+#REF!</f>
        <v>#REF!</v>
      </c>
      <c r="K68" s="7">
        <f>'Прил.№4 ведомств.'!G1257+'Прил.№4 ведомств.'!G19</f>
        <v>1196.1</v>
      </c>
      <c r="L68" s="7">
        <f>'Прил.№4 ведомств.'!H1257+'Прил.№4 ведомств.'!H19</f>
        <v>479</v>
      </c>
      <c r="M68" s="7">
        <f t="shared" si="3"/>
        <v>40.04681882785721</v>
      </c>
    </row>
    <row r="69" spans="1:13" ht="15.75">
      <c r="A69" s="31" t="s">
        <v>174</v>
      </c>
      <c r="B69" s="42" t="s">
        <v>157</v>
      </c>
      <c r="C69" s="42" t="s">
        <v>159</v>
      </c>
      <c r="D69" s="42" t="s">
        <v>165</v>
      </c>
      <c r="E69" s="42" t="s">
        <v>184</v>
      </c>
      <c r="F69" s="7" t="e">
        <f aca="true" t="shared" si="39" ref="F69:L69">F70</f>
        <v>#REF!</v>
      </c>
      <c r="G69" s="7" t="e">
        <f t="shared" si="39"/>
        <v>#REF!</v>
      </c>
      <c r="H69" s="7" t="e">
        <f t="shared" si="39"/>
        <v>#REF!</v>
      </c>
      <c r="I69" s="7" t="e">
        <f t="shared" si="39"/>
        <v>#REF!</v>
      </c>
      <c r="J69" s="7" t="e">
        <f t="shared" si="39"/>
        <v>#REF!</v>
      </c>
      <c r="K69" s="7">
        <f t="shared" si="39"/>
        <v>28</v>
      </c>
      <c r="L69" s="7">
        <f t="shared" si="39"/>
        <v>0.1</v>
      </c>
      <c r="M69" s="7">
        <f t="shared" si="3"/>
        <v>0.35714285714285715</v>
      </c>
    </row>
    <row r="70" spans="1:13" ht="15.75">
      <c r="A70" s="31" t="s">
        <v>608</v>
      </c>
      <c r="B70" s="42" t="s">
        <v>157</v>
      </c>
      <c r="C70" s="42" t="s">
        <v>159</v>
      </c>
      <c r="D70" s="42" t="s">
        <v>165</v>
      </c>
      <c r="E70" s="42" t="s">
        <v>177</v>
      </c>
      <c r="F70" s="7" t="e">
        <f>#REF!</f>
        <v>#REF!</v>
      </c>
      <c r="G70" s="7" t="e">
        <f>#REF!</f>
        <v>#REF!</v>
      </c>
      <c r="H70" s="7" t="e">
        <f>#REF!</f>
        <v>#REF!</v>
      </c>
      <c r="I70" s="7" t="e">
        <f>#REF!</f>
        <v>#REF!</v>
      </c>
      <c r="J70" s="7" t="e">
        <f>#REF!</f>
        <v>#REF!</v>
      </c>
      <c r="K70" s="7">
        <f>'Прил.№4 ведомств.'!G21</f>
        <v>28</v>
      </c>
      <c r="L70" s="7">
        <f>'Прил.№4 ведомств.'!H21</f>
        <v>0.1</v>
      </c>
      <c r="M70" s="7">
        <f t="shared" si="3"/>
        <v>0.35714285714285715</v>
      </c>
    </row>
    <row r="71" spans="1:13" ht="31.5" customHeight="1" hidden="1">
      <c r="A71" s="64" t="s">
        <v>634</v>
      </c>
      <c r="B71" s="9" t="s">
        <v>157</v>
      </c>
      <c r="C71" s="9" t="s">
        <v>303</v>
      </c>
      <c r="D71" s="9"/>
      <c r="E71" s="9"/>
      <c r="F71" s="7">
        <f aca="true" t="shared" si="40" ref="F71:L75">F72</f>
        <v>0</v>
      </c>
      <c r="G71" s="7">
        <f t="shared" si="40"/>
        <v>0</v>
      </c>
      <c r="H71" s="7">
        <f t="shared" si="40"/>
        <v>0</v>
      </c>
      <c r="I71" s="7">
        <f t="shared" si="40"/>
        <v>0</v>
      </c>
      <c r="J71" s="7">
        <f t="shared" si="40"/>
        <v>0</v>
      </c>
      <c r="K71" s="7">
        <f t="shared" si="40"/>
        <v>0</v>
      </c>
      <c r="L71" s="7">
        <f t="shared" si="40"/>
        <v>0</v>
      </c>
      <c r="M71" s="4" t="e">
        <f t="shared" si="3"/>
        <v>#DIV/0!</v>
      </c>
    </row>
    <row r="72" spans="1:13" ht="15.75" customHeight="1" hidden="1">
      <c r="A72" s="47" t="s">
        <v>160</v>
      </c>
      <c r="B72" s="10" t="s">
        <v>157</v>
      </c>
      <c r="C72" s="10" t="s">
        <v>303</v>
      </c>
      <c r="D72" s="10" t="s">
        <v>635</v>
      </c>
      <c r="E72" s="10"/>
      <c r="F72" s="7">
        <f t="shared" si="40"/>
        <v>0</v>
      </c>
      <c r="G72" s="7">
        <f t="shared" si="40"/>
        <v>0</v>
      </c>
      <c r="H72" s="7">
        <f t="shared" si="40"/>
        <v>0</v>
      </c>
      <c r="I72" s="7">
        <f t="shared" si="40"/>
        <v>0</v>
      </c>
      <c r="J72" s="7">
        <f t="shared" si="40"/>
        <v>0</v>
      </c>
      <c r="K72" s="7">
        <f t="shared" si="40"/>
        <v>0</v>
      </c>
      <c r="L72" s="7">
        <f t="shared" si="40"/>
        <v>0</v>
      </c>
      <c r="M72" s="4" t="e">
        <f t="shared" si="3"/>
        <v>#DIV/0!</v>
      </c>
    </row>
    <row r="73" spans="1:13" ht="15.75" customHeight="1" hidden="1">
      <c r="A73" s="47" t="s">
        <v>180</v>
      </c>
      <c r="B73" s="10" t="s">
        <v>157</v>
      </c>
      <c r="C73" s="10" t="s">
        <v>303</v>
      </c>
      <c r="D73" s="10" t="s">
        <v>636</v>
      </c>
      <c r="E73" s="10"/>
      <c r="F73" s="7">
        <f t="shared" si="40"/>
        <v>0</v>
      </c>
      <c r="G73" s="7">
        <f t="shared" si="40"/>
        <v>0</v>
      </c>
      <c r="H73" s="7">
        <f t="shared" si="40"/>
        <v>0</v>
      </c>
      <c r="I73" s="7">
        <f t="shared" si="40"/>
        <v>0</v>
      </c>
      <c r="J73" s="7">
        <f t="shared" si="40"/>
        <v>0</v>
      </c>
      <c r="K73" s="7">
        <f t="shared" si="40"/>
        <v>0</v>
      </c>
      <c r="L73" s="7">
        <f t="shared" si="40"/>
        <v>0</v>
      </c>
      <c r="M73" s="4" t="e">
        <f t="shared" si="3"/>
        <v>#DIV/0!</v>
      </c>
    </row>
    <row r="74" spans="1:13" ht="15.75" customHeight="1" hidden="1">
      <c r="A74" s="65" t="s">
        <v>637</v>
      </c>
      <c r="B74" s="10" t="s">
        <v>157</v>
      </c>
      <c r="C74" s="10" t="s">
        <v>303</v>
      </c>
      <c r="D74" s="6" t="s">
        <v>638</v>
      </c>
      <c r="E74" s="6"/>
      <c r="F74" s="7">
        <f aca="true" t="shared" si="41" ref="F74:K74">F75+F77</f>
        <v>0</v>
      </c>
      <c r="G74" s="7">
        <f t="shared" si="41"/>
        <v>0</v>
      </c>
      <c r="H74" s="7">
        <f t="shared" si="41"/>
        <v>0</v>
      </c>
      <c r="I74" s="7">
        <f t="shared" si="41"/>
        <v>0</v>
      </c>
      <c r="J74" s="7">
        <f t="shared" si="41"/>
        <v>0</v>
      </c>
      <c r="K74" s="7">
        <f t="shared" si="41"/>
        <v>0</v>
      </c>
      <c r="L74" s="7">
        <f aca="true" t="shared" si="42" ref="L74">L75+L77</f>
        <v>0</v>
      </c>
      <c r="M74" s="4" t="e">
        <f t="shared" si="3"/>
        <v>#DIV/0!</v>
      </c>
    </row>
    <row r="75" spans="1:13" ht="31.5" customHeight="1" hidden="1">
      <c r="A75" s="47" t="s">
        <v>170</v>
      </c>
      <c r="B75" s="10" t="s">
        <v>157</v>
      </c>
      <c r="C75" s="10" t="s">
        <v>303</v>
      </c>
      <c r="D75" s="6" t="s">
        <v>638</v>
      </c>
      <c r="E75" s="10" t="s">
        <v>171</v>
      </c>
      <c r="F75" s="7">
        <f t="shared" si="40"/>
        <v>0</v>
      </c>
      <c r="G75" s="7">
        <f t="shared" si="40"/>
        <v>0</v>
      </c>
      <c r="H75" s="7">
        <f t="shared" si="40"/>
        <v>0</v>
      </c>
      <c r="I75" s="7">
        <f t="shared" si="40"/>
        <v>0</v>
      </c>
      <c r="J75" s="7">
        <f t="shared" si="40"/>
        <v>0</v>
      </c>
      <c r="K75" s="7">
        <f t="shared" si="40"/>
        <v>0</v>
      </c>
      <c r="L75" s="7">
        <f t="shared" si="40"/>
        <v>0</v>
      </c>
      <c r="M75" s="4" t="e">
        <f t="shared" si="3"/>
        <v>#DIV/0!</v>
      </c>
    </row>
    <row r="76" spans="1:13" ht="47.25" customHeight="1" hidden="1">
      <c r="A76" s="47" t="s">
        <v>172</v>
      </c>
      <c r="B76" s="10" t="s">
        <v>157</v>
      </c>
      <c r="C76" s="10" t="s">
        <v>303</v>
      </c>
      <c r="D76" s="6" t="s">
        <v>638</v>
      </c>
      <c r="E76" s="10" t="s">
        <v>173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4" t="e">
        <f t="shared" si="3"/>
        <v>#DIV/0!</v>
      </c>
    </row>
    <row r="77" spans="1:13" ht="15.75" customHeight="1" hidden="1">
      <c r="A77" s="31" t="s">
        <v>174</v>
      </c>
      <c r="B77" s="10" t="s">
        <v>157</v>
      </c>
      <c r="C77" s="10" t="s">
        <v>303</v>
      </c>
      <c r="D77" s="6" t="s">
        <v>638</v>
      </c>
      <c r="E77" s="10" t="s">
        <v>184</v>
      </c>
      <c r="F77" s="7">
        <f aca="true" t="shared" si="43" ref="F77:L77">F78</f>
        <v>0</v>
      </c>
      <c r="G77" s="7">
        <f t="shared" si="43"/>
        <v>0</v>
      </c>
      <c r="H77" s="7">
        <f t="shared" si="43"/>
        <v>0</v>
      </c>
      <c r="I77" s="7">
        <f t="shared" si="43"/>
        <v>0</v>
      </c>
      <c r="J77" s="7">
        <f t="shared" si="43"/>
        <v>0</v>
      </c>
      <c r="K77" s="7">
        <f t="shared" si="43"/>
        <v>0</v>
      </c>
      <c r="L77" s="7">
        <f t="shared" si="43"/>
        <v>0</v>
      </c>
      <c r="M77" s="4" t="e">
        <f t="shared" si="3"/>
        <v>#DIV/0!</v>
      </c>
    </row>
    <row r="78" spans="1:13" ht="15.75" customHeight="1" hidden="1">
      <c r="A78" s="31" t="s">
        <v>176</v>
      </c>
      <c r="B78" s="10" t="s">
        <v>157</v>
      </c>
      <c r="C78" s="10" t="s">
        <v>303</v>
      </c>
      <c r="D78" s="6" t="s">
        <v>638</v>
      </c>
      <c r="E78" s="10" t="s">
        <v>177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4" t="e">
        <f aca="true" t="shared" si="44" ref="M78:M141">L78/K78*100</f>
        <v>#DIV/0!</v>
      </c>
    </row>
    <row r="79" spans="1:15" ht="15.75">
      <c r="A79" s="43" t="s">
        <v>178</v>
      </c>
      <c r="B79" s="8" t="s">
        <v>157</v>
      </c>
      <c r="C79" s="8" t="s">
        <v>179</v>
      </c>
      <c r="D79" s="8"/>
      <c r="E79" s="8"/>
      <c r="F79" s="4" t="e">
        <f>F80+F85+#REF!+F100+F147+F126+F104</f>
        <v>#REF!</v>
      </c>
      <c r="G79" s="4" t="e">
        <f>G80+G85+#REF!+G100+G147+G126+G104</f>
        <v>#REF!</v>
      </c>
      <c r="H79" s="4" t="e">
        <f>H80+H85+#REF!+H100+H147+H126+H104</f>
        <v>#REF!</v>
      </c>
      <c r="I79" s="4" t="e">
        <f>I80+I85+#REF!+I100+I147+I126+I104</f>
        <v>#REF!</v>
      </c>
      <c r="J79" s="4" t="e">
        <f>J80+J85+#REF!+J100+J147+J126+J104</f>
        <v>#REF!</v>
      </c>
      <c r="K79" s="4">
        <f>K80+K85+K100+K147+K126+K104+K139+K143+K220</f>
        <v>67268.8</v>
      </c>
      <c r="L79" s="4">
        <f aca="true" t="shared" si="45" ref="L79">L80+L85+L100+L147+L126+L104+L139+L143+L220</f>
        <v>37011.9</v>
      </c>
      <c r="M79" s="4">
        <f t="shared" si="44"/>
        <v>55.02090122017934</v>
      </c>
      <c r="O79" s="23"/>
    </row>
    <row r="80" spans="1:13" ht="47.25">
      <c r="A80" s="26" t="s">
        <v>382</v>
      </c>
      <c r="B80" s="42" t="s">
        <v>157</v>
      </c>
      <c r="C80" s="42" t="s">
        <v>179</v>
      </c>
      <c r="D80" s="42" t="s">
        <v>383</v>
      </c>
      <c r="E80" s="42"/>
      <c r="F80" s="7" t="e">
        <f aca="true" t="shared" si="46" ref="F80:K80">F83</f>
        <v>#REF!</v>
      </c>
      <c r="G80" s="7" t="e">
        <f t="shared" si="46"/>
        <v>#REF!</v>
      </c>
      <c r="H80" s="7" t="e">
        <f t="shared" si="46"/>
        <v>#REF!</v>
      </c>
      <c r="I80" s="7" t="e">
        <f t="shared" si="46"/>
        <v>#REF!</v>
      </c>
      <c r="J80" s="7" t="e">
        <f t="shared" si="46"/>
        <v>#REF!</v>
      </c>
      <c r="K80" s="7">
        <f t="shared" si="46"/>
        <v>350</v>
      </c>
      <c r="L80" s="7">
        <f aca="true" t="shared" si="47" ref="L80">L83</f>
        <v>282.3</v>
      </c>
      <c r="M80" s="7">
        <f t="shared" si="44"/>
        <v>80.65714285714286</v>
      </c>
    </row>
    <row r="81" spans="1:13" ht="94.5">
      <c r="A81" s="31" t="s">
        <v>419</v>
      </c>
      <c r="B81" s="42" t="s">
        <v>157</v>
      </c>
      <c r="C81" s="42" t="s">
        <v>179</v>
      </c>
      <c r="D81" s="42" t="s">
        <v>420</v>
      </c>
      <c r="E81" s="42"/>
      <c r="F81" s="7"/>
      <c r="G81" s="7"/>
      <c r="H81" s="7"/>
      <c r="I81" s="7"/>
      <c r="J81" s="7"/>
      <c r="K81" s="7">
        <f>K82</f>
        <v>350</v>
      </c>
      <c r="L81" s="7">
        <f aca="true" t="shared" si="48" ref="L81">L82</f>
        <v>282.3</v>
      </c>
      <c r="M81" s="7">
        <f t="shared" si="44"/>
        <v>80.65714285714286</v>
      </c>
    </row>
    <row r="82" spans="1:13" ht="31.5">
      <c r="A82" s="31" t="s">
        <v>196</v>
      </c>
      <c r="B82" s="42" t="s">
        <v>157</v>
      </c>
      <c r="C82" s="42" t="s">
        <v>179</v>
      </c>
      <c r="D82" s="42" t="s">
        <v>421</v>
      </c>
      <c r="E82" s="42"/>
      <c r="F82" s="7" t="e">
        <f>F83</f>
        <v>#REF!</v>
      </c>
      <c r="G82" s="7" t="e">
        <f aca="true" t="shared" si="49" ref="G82:L83">G83</f>
        <v>#REF!</v>
      </c>
      <c r="H82" s="7" t="e">
        <f t="shared" si="49"/>
        <v>#REF!</v>
      </c>
      <c r="I82" s="7" t="e">
        <f t="shared" si="49"/>
        <v>#REF!</v>
      </c>
      <c r="J82" s="7" t="e">
        <f t="shared" si="49"/>
        <v>#REF!</v>
      </c>
      <c r="K82" s="7">
        <f t="shared" si="49"/>
        <v>350</v>
      </c>
      <c r="L82" s="7">
        <f t="shared" si="49"/>
        <v>282.3</v>
      </c>
      <c r="M82" s="7">
        <f t="shared" si="44"/>
        <v>80.65714285714286</v>
      </c>
    </row>
    <row r="83" spans="1:13" ht="31.5">
      <c r="A83" s="31" t="s">
        <v>170</v>
      </c>
      <c r="B83" s="42" t="s">
        <v>157</v>
      </c>
      <c r="C83" s="42" t="s">
        <v>179</v>
      </c>
      <c r="D83" s="42" t="s">
        <v>421</v>
      </c>
      <c r="E83" s="42" t="s">
        <v>171</v>
      </c>
      <c r="F83" s="7" t="e">
        <f>F84</f>
        <v>#REF!</v>
      </c>
      <c r="G83" s="7" t="e">
        <f t="shared" si="49"/>
        <v>#REF!</v>
      </c>
      <c r="H83" s="7" t="e">
        <f t="shared" si="49"/>
        <v>#REF!</v>
      </c>
      <c r="I83" s="7" t="e">
        <f t="shared" si="49"/>
        <v>#REF!</v>
      </c>
      <c r="J83" s="7" t="e">
        <f t="shared" si="49"/>
        <v>#REF!</v>
      </c>
      <c r="K83" s="7">
        <f t="shared" si="49"/>
        <v>350</v>
      </c>
      <c r="L83" s="7">
        <f t="shared" si="49"/>
        <v>282.3</v>
      </c>
      <c r="M83" s="7">
        <f t="shared" si="44"/>
        <v>80.65714285714286</v>
      </c>
    </row>
    <row r="84" spans="1:13" ht="47.25">
      <c r="A84" s="31" t="s">
        <v>172</v>
      </c>
      <c r="B84" s="42" t="s">
        <v>157</v>
      </c>
      <c r="C84" s="42" t="s">
        <v>179</v>
      </c>
      <c r="D84" s="42" t="s">
        <v>421</v>
      </c>
      <c r="E84" s="42" t="s">
        <v>173</v>
      </c>
      <c r="F84" s="7" t="e">
        <f>#REF!</f>
        <v>#REF!</v>
      </c>
      <c r="G84" s="7" t="e">
        <f>#REF!</f>
        <v>#REF!</v>
      </c>
      <c r="H84" s="7" t="e">
        <f>#REF!</f>
        <v>#REF!</v>
      </c>
      <c r="I84" s="7" t="e">
        <f>#REF!</f>
        <v>#REF!</v>
      </c>
      <c r="J84" s="7" t="e">
        <f>#REF!</f>
        <v>#REF!</v>
      </c>
      <c r="K84" s="7">
        <f>'Прил.№4 ведомств.'!G252</f>
        <v>350</v>
      </c>
      <c r="L84" s="7">
        <f>'Прил.№4 ведомств.'!H252</f>
        <v>282.3</v>
      </c>
      <c r="M84" s="7">
        <f t="shared" si="44"/>
        <v>80.65714285714286</v>
      </c>
    </row>
    <row r="85" spans="1:13" ht="47.25">
      <c r="A85" s="31" t="s">
        <v>960</v>
      </c>
      <c r="B85" s="42" t="s">
        <v>157</v>
      </c>
      <c r="C85" s="42" t="s">
        <v>179</v>
      </c>
      <c r="D85" s="42" t="s">
        <v>201</v>
      </c>
      <c r="E85" s="42"/>
      <c r="F85" s="7" t="e">
        <f aca="true" t="shared" si="50" ref="F85:K85">F86+F89+F94+F97</f>
        <v>#REF!</v>
      </c>
      <c r="G85" s="7" t="e">
        <f t="shared" si="50"/>
        <v>#REF!</v>
      </c>
      <c r="H85" s="7" t="e">
        <f t="shared" si="50"/>
        <v>#REF!</v>
      </c>
      <c r="I85" s="7" t="e">
        <f t="shared" si="50"/>
        <v>#REF!</v>
      </c>
      <c r="J85" s="7" t="e">
        <f t="shared" si="50"/>
        <v>#REF!</v>
      </c>
      <c r="K85" s="7">
        <f t="shared" si="50"/>
        <v>741</v>
      </c>
      <c r="L85" s="7">
        <f aca="true" t="shared" si="51" ref="L85">L86+L89+L94+L97</f>
        <v>369.3</v>
      </c>
      <c r="M85" s="7">
        <f t="shared" si="44"/>
        <v>49.83805668016195</v>
      </c>
    </row>
    <row r="86" spans="1:15" ht="31.5">
      <c r="A86" s="31" t="s">
        <v>202</v>
      </c>
      <c r="B86" s="42" t="s">
        <v>157</v>
      </c>
      <c r="C86" s="42" t="s">
        <v>179</v>
      </c>
      <c r="D86" s="42" t="s">
        <v>203</v>
      </c>
      <c r="E86" s="42"/>
      <c r="F86" s="7" t="e">
        <f>F87</f>
        <v>#REF!</v>
      </c>
      <c r="G86" s="7" t="e">
        <f aca="true" t="shared" si="52" ref="G86:L87">G87</f>
        <v>#REF!</v>
      </c>
      <c r="H86" s="7" t="e">
        <f t="shared" si="52"/>
        <v>#REF!</v>
      </c>
      <c r="I86" s="7" t="e">
        <f t="shared" si="52"/>
        <v>#REF!</v>
      </c>
      <c r="J86" s="7" t="e">
        <f t="shared" si="52"/>
        <v>#REF!</v>
      </c>
      <c r="K86" s="7">
        <f t="shared" si="52"/>
        <v>491</v>
      </c>
      <c r="L86" s="7">
        <f t="shared" si="52"/>
        <v>327.2</v>
      </c>
      <c r="M86" s="7">
        <f t="shared" si="44"/>
        <v>66.63951120162932</v>
      </c>
      <c r="O86" s="23"/>
    </row>
    <row r="87" spans="1:13" ht="31.5">
      <c r="A87" s="31" t="s">
        <v>170</v>
      </c>
      <c r="B87" s="42" t="s">
        <v>157</v>
      </c>
      <c r="C87" s="42" t="s">
        <v>179</v>
      </c>
      <c r="D87" s="42" t="s">
        <v>203</v>
      </c>
      <c r="E87" s="42" t="s">
        <v>171</v>
      </c>
      <c r="F87" s="7" t="e">
        <f>F88</f>
        <v>#REF!</v>
      </c>
      <c r="G87" s="7" t="e">
        <f t="shared" si="52"/>
        <v>#REF!</v>
      </c>
      <c r="H87" s="7" t="e">
        <f t="shared" si="52"/>
        <v>#REF!</v>
      </c>
      <c r="I87" s="7" t="e">
        <f t="shared" si="52"/>
        <v>#REF!</v>
      </c>
      <c r="J87" s="7" t="e">
        <f t="shared" si="52"/>
        <v>#REF!</v>
      </c>
      <c r="K87" s="7">
        <f t="shared" si="52"/>
        <v>491</v>
      </c>
      <c r="L87" s="7">
        <f t="shared" si="52"/>
        <v>327.2</v>
      </c>
      <c r="M87" s="7">
        <f t="shared" si="44"/>
        <v>66.63951120162932</v>
      </c>
    </row>
    <row r="88" spans="1:13" ht="47.25">
      <c r="A88" s="31" t="s">
        <v>172</v>
      </c>
      <c r="B88" s="42" t="s">
        <v>157</v>
      </c>
      <c r="C88" s="42" t="s">
        <v>179</v>
      </c>
      <c r="D88" s="42" t="s">
        <v>203</v>
      </c>
      <c r="E88" s="42" t="s">
        <v>173</v>
      </c>
      <c r="F88" s="7" t="e">
        <f>#REF!</f>
        <v>#REF!</v>
      </c>
      <c r="G88" s="7" t="e">
        <f>#REF!</f>
        <v>#REF!</v>
      </c>
      <c r="H88" s="7" t="e">
        <f>#REF!</f>
        <v>#REF!</v>
      </c>
      <c r="I88" s="7" t="e">
        <f>#REF!</f>
        <v>#REF!</v>
      </c>
      <c r="J88" s="7" t="e">
        <f>#REF!</f>
        <v>#REF!</v>
      </c>
      <c r="K88" s="7">
        <f>'Прил.№4 ведомств.'!G74</f>
        <v>491</v>
      </c>
      <c r="L88" s="7">
        <f>'Прил.№4 ведомств.'!H74</f>
        <v>327.2</v>
      </c>
      <c r="M88" s="7">
        <f t="shared" si="44"/>
        <v>66.63951120162932</v>
      </c>
    </row>
    <row r="89" spans="1:13" ht="51.75" customHeight="1">
      <c r="A89" s="117" t="s">
        <v>204</v>
      </c>
      <c r="B89" s="42" t="s">
        <v>157</v>
      </c>
      <c r="C89" s="42" t="s">
        <v>179</v>
      </c>
      <c r="D89" s="42" t="s">
        <v>205</v>
      </c>
      <c r="E89" s="42"/>
      <c r="F89" s="7" t="e">
        <f aca="true" t="shared" si="53" ref="F89:K89">F90+F92</f>
        <v>#REF!</v>
      </c>
      <c r="G89" s="7" t="e">
        <f t="shared" si="53"/>
        <v>#REF!</v>
      </c>
      <c r="H89" s="7" t="e">
        <f t="shared" si="53"/>
        <v>#REF!</v>
      </c>
      <c r="I89" s="7" t="e">
        <f t="shared" si="53"/>
        <v>#REF!</v>
      </c>
      <c r="J89" s="7" t="e">
        <f t="shared" si="53"/>
        <v>#REF!</v>
      </c>
      <c r="K89" s="7">
        <f t="shared" si="53"/>
        <v>249</v>
      </c>
      <c r="L89" s="7">
        <f aca="true" t="shared" si="54" ref="L89">L90+L92</f>
        <v>41.8</v>
      </c>
      <c r="M89" s="7">
        <f t="shared" si="44"/>
        <v>16.78714859437751</v>
      </c>
    </row>
    <row r="90" spans="1:13" ht="78.75">
      <c r="A90" s="31" t="s">
        <v>166</v>
      </c>
      <c r="B90" s="42" t="s">
        <v>157</v>
      </c>
      <c r="C90" s="42" t="s">
        <v>179</v>
      </c>
      <c r="D90" s="42" t="s">
        <v>205</v>
      </c>
      <c r="E90" s="42" t="s">
        <v>167</v>
      </c>
      <c r="F90" s="7" t="e">
        <f aca="true" t="shared" si="55" ref="F90:L90">F91</f>
        <v>#REF!</v>
      </c>
      <c r="G90" s="7" t="e">
        <f t="shared" si="55"/>
        <v>#REF!</v>
      </c>
      <c r="H90" s="7" t="e">
        <f t="shared" si="55"/>
        <v>#REF!</v>
      </c>
      <c r="I90" s="7" t="e">
        <f t="shared" si="55"/>
        <v>#REF!</v>
      </c>
      <c r="J90" s="7" t="e">
        <f t="shared" si="55"/>
        <v>#REF!</v>
      </c>
      <c r="K90" s="7">
        <f t="shared" si="55"/>
        <v>159.7</v>
      </c>
      <c r="L90" s="7">
        <f t="shared" si="55"/>
        <v>17.3</v>
      </c>
      <c r="M90" s="7">
        <f t="shared" si="44"/>
        <v>10.832811521603007</v>
      </c>
    </row>
    <row r="91" spans="1:13" ht="31.5">
      <c r="A91" s="31" t="s">
        <v>168</v>
      </c>
      <c r="B91" s="42" t="s">
        <v>157</v>
      </c>
      <c r="C91" s="42" t="s">
        <v>179</v>
      </c>
      <c r="D91" s="42" t="s">
        <v>205</v>
      </c>
      <c r="E91" s="42" t="s">
        <v>169</v>
      </c>
      <c r="F91" s="7" t="e">
        <f>#REF!</f>
        <v>#REF!</v>
      </c>
      <c r="G91" s="7" t="e">
        <f>#REF!</f>
        <v>#REF!</v>
      </c>
      <c r="H91" s="7" t="e">
        <f>#REF!</f>
        <v>#REF!</v>
      </c>
      <c r="I91" s="7" t="e">
        <f>#REF!</f>
        <v>#REF!</v>
      </c>
      <c r="J91" s="7" t="e">
        <f>#REF!</f>
        <v>#REF!</v>
      </c>
      <c r="K91" s="7">
        <f>'Прил.№4 ведомств.'!G77</f>
        <v>159.7</v>
      </c>
      <c r="L91" s="7">
        <f>'Прил.№4 ведомств.'!H77</f>
        <v>17.3</v>
      </c>
      <c r="M91" s="7">
        <f t="shared" si="44"/>
        <v>10.832811521603007</v>
      </c>
    </row>
    <row r="92" spans="1:13" ht="31.5">
      <c r="A92" s="26" t="s">
        <v>170</v>
      </c>
      <c r="B92" s="42" t="s">
        <v>157</v>
      </c>
      <c r="C92" s="42" t="s">
        <v>179</v>
      </c>
      <c r="D92" s="42" t="s">
        <v>205</v>
      </c>
      <c r="E92" s="42" t="s">
        <v>171</v>
      </c>
      <c r="F92" s="7" t="e">
        <f aca="true" t="shared" si="56" ref="F92:L92">F93</f>
        <v>#REF!</v>
      </c>
      <c r="G92" s="7" t="e">
        <f t="shared" si="56"/>
        <v>#REF!</v>
      </c>
      <c r="H92" s="7" t="e">
        <f t="shared" si="56"/>
        <v>#REF!</v>
      </c>
      <c r="I92" s="7" t="e">
        <f t="shared" si="56"/>
        <v>#REF!</v>
      </c>
      <c r="J92" s="7" t="e">
        <f t="shared" si="56"/>
        <v>#REF!</v>
      </c>
      <c r="K92" s="7">
        <f t="shared" si="56"/>
        <v>89.30000000000001</v>
      </c>
      <c r="L92" s="7">
        <f t="shared" si="56"/>
        <v>24.5</v>
      </c>
      <c r="M92" s="7">
        <f t="shared" si="44"/>
        <v>27.43561030235162</v>
      </c>
    </row>
    <row r="93" spans="1:13" ht="47.25">
      <c r="A93" s="26" t="s">
        <v>172</v>
      </c>
      <c r="B93" s="42" t="s">
        <v>157</v>
      </c>
      <c r="C93" s="42" t="s">
        <v>179</v>
      </c>
      <c r="D93" s="42" t="s">
        <v>205</v>
      </c>
      <c r="E93" s="42" t="s">
        <v>173</v>
      </c>
      <c r="F93" s="7" t="e">
        <f>#REF!</f>
        <v>#REF!</v>
      </c>
      <c r="G93" s="7" t="e">
        <f>#REF!</f>
        <v>#REF!</v>
      </c>
      <c r="H93" s="7" t="e">
        <f>#REF!</f>
        <v>#REF!</v>
      </c>
      <c r="I93" s="7" t="e">
        <f>#REF!</f>
        <v>#REF!</v>
      </c>
      <c r="J93" s="7" t="e">
        <f>#REF!</f>
        <v>#REF!</v>
      </c>
      <c r="K93" s="7">
        <f>'Прил.№4 ведомств.'!G79</f>
        <v>89.30000000000001</v>
      </c>
      <c r="L93" s="7">
        <f>'Прил.№4 ведомств.'!H79</f>
        <v>24.5</v>
      </c>
      <c r="M93" s="7">
        <f t="shared" si="44"/>
        <v>27.43561030235162</v>
      </c>
    </row>
    <row r="94" spans="1:13" ht="50.25" customHeight="1">
      <c r="A94" s="33" t="s">
        <v>756</v>
      </c>
      <c r="B94" s="42" t="s">
        <v>157</v>
      </c>
      <c r="C94" s="42" t="s">
        <v>179</v>
      </c>
      <c r="D94" s="42" t="s">
        <v>757</v>
      </c>
      <c r="E94" s="42"/>
      <c r="F94" s="7" t="e">
        <f>F95</f>
        <v>#REF!</v>
      </c>
      <c r="G94" s="7" t="e">
        <f aca="true" t="shared" si="57" ref="G94:L95">G95</f>
        <v>#REF!</v>
      </c>
      <c r="H94" s="7" t="e">
        <f t="shared" si="57"/>
        <v>#REF!</v>
      </c>
      <c r="I94" s="7" t="e">
        <f t="shared" si="57"/>
        <v>#REF!</v>
      </c>
      <c r="J94" s="7" t="e">
        <f t="shared" si="57"/>
        <v>#REF!</v>
      </c>
      <c r="K94" s="7">
        <f t="shared" si="57"/>
        <v>0.5</v>
      </c>
      <c r="L94" s="7">
        <f t="shared" si="57"/>
        <v>0.3</v>
      </c>
      <c r="M94" s="7">
        <f t="shared" si="44"/>
        <v>60</v>
      </c>
    </row>
    <row r="95" spans="1:13" ht="31.5">
      <c r="A95" s="26" t="s">
        <v>170</v>
      </c>
      <c r="B95" s="42" t="s">
        <v>157</v>
      </c>
      <c r="C95" s="42" t="s">
        <v>179</v>
      </c>
      <c r="D95" s="42" t="s">
        <v>757</v>
      </c>
      <c r="E95" s="42" t="s">
        <v>171</v>
      </c>
      <c r="F95" s="7" t="e">
        <f>F96</f>
        <v>#REF!</v>
      </c>
      <c r="G95" s="7" t="e">
        <f t="shared" si="57"/>
        <v>#REF!</v>
      </c>
      <c r="H95" s="7" t="e">
        <f t="shared" si="57"/>
        <v>#REF!</v>
      </c>
      <c r="I95" s="7" t="e">
        <f t="shared" si="57"/>
        <v>#REF!</v>
      </c>
      <c r="J95" s="7" t="e">
        <f t="shared" si="57"/>
        <v>#REF!</v>
      </c>
      <c r="K95" s="7">
        <f t="shared" si="57"/>
        <v>0.5</v>
      </c>
      <c r="L95" s="7">
        <f t="shared" si="57"/>
        <v>0.3</v>
      </c>
      <c r="M95" s="7">
        <f t="shared" si="44"/>
        <v>60</v>
      </c>
    </row>
    <row r="96" spans="1:13" ht="47.25">
      <c r="A96" s="26" t="s">
        <v>172</v>
      </c>
      <c r="B96" s="42" t="s">
        <v>157</v>
      </c>
      <c r="C96" s="42" t="s">
        <v>179</v>
      </c>
      <c r="D96" s="42" t="s">
        <v>757</v>
      </c>
      <c r="E96" s="42" t="s">
        <v>173</v>
      </c>
      <c r="F96" s="7" t="e">
        <f>#REF!</f>
        <v>#REF!</v>
      </c>
      <c r="G96" s="7" t="e">
        <f>#REF!</f>
        <v>#REF!</v>
      </c>
      <c r="H96" s="7" t="e">
        <f>#REF!</f>
        <v>#REF!</v>
      </c>
      <c r="I96" s="7" t="e">
        <f>#REF!</f>
        <v>#REF!</v>
      </c>
      <c r="J96" s="7" t="e">
        <f>#REF!</f>
        <v>#REF!</v>
      </c>
      <c r="K96" s="7">
        <f>'Прил.№4 ведомств.'!G1262</f>
        <v>0.5</v>
      </c>
      <c r="L96" s="7">
        <f>'Прил.№4 ведомств.'!H1262</f>
        <v>0.3</v>
      </c>
      <c r="M96" s="7">
        <f t="shared" si="44"/>
        <v>60</v>
      </c>
    </row>
    <row r="97" spans="1:13" ht="47.25">
      <c r="A97" s="35" t="s">
        <v>230</v>
      </c>
      <c r="B97" s="42" t="s">
        <v>157</v>
      </c>
      <c r="C97" s="42" t="s">
        <v>179</v>
      </c>
      <c r="D97" s="42" t="s">
        <v>743</v>
      </c>
      <c r="E97" s="42"/>
      <c r="F97" s="7" t="e">
        <f>F98</f>
        <v>#REF!</v>
      </c>
      <c r="G97" s="7" t="e">
        <f aca="true" t="shared" si="58" ref="G97:L98">G98</f>
        <v>#REF!</v>
      </c>
      <c r="H97" s="7" t="e">
        <f t="shared" si="58"/>
        <v>#REF!</v>
      </c>
      <c r="I97" s="7" t="e">
        <f t="shared" si="58"/>
        <v>#REF!</v>
      </c>
      <c r="J97" s="7" t="e">
        <f t="shared" si="58"/>
        <v>#REF!</v>
      </c>
      <c r="K97" s="7">
        <f t="shared" si="58"/>
        <v>0.5</v>
      </c>
      <c r="L97" s="7">
        <f t="shared" si="58"/>
        <v>0</v>
      </c>
      <c r="M97" s="7">
        <f t="shared" si="44"/>
        <v>0</v>
      </c>
    </row>
    <row r="98" spans="1:13" ht="31.5">
      <c r="A98" s="26" t="s">
        <v>170</v>
      </c>
      <c r="B98" s="42" t="s">
        <v>157</v>
      </c>
      <c r="C98" s="42" t="s">
        <v>179</v>
      </c>
      <c r="D98" s="42" t="s">
        <v>743</v>
      </c>
      <c r="E98" s="42" t="s">
        <v>171</v>
      </c>
      <c r="F98" s="7" t="e">
        <f>F99</f>
        <v>#REF!</v>
      </c>
      <c r="G98" s="7" t="e">
        <f t="shared" si="58"/>
        <v>#REF!</v>
      </c>
      <c r="H98" s="7" t="e">
        <f t="shared" si="58"/>
        <v>#REF!</v>
      </c>
      <c r="I98" s="7" t="e">
        <f t="shared" si="58"/>
        <v>#REF!</v>
      </c>
      <c r="J98" s="7" t="e">
        <f t="shared" si="58"/>
        <v>#REF!</v>
      </c>
      <c r="K98" s="7">
        <f t="shared" si="58"/>
        <v>0.5</v>
      </c>
      <c r="L98" s="7">
        <f t="shared" si="58"/>
        <v>0</v>
      </c>
      <c r="M98" s="7">
        <f t="shared" si="44"/>
        <v>0</v>
      </c>
    </row>
    <row r="99" spans="1:13" ht="47.25">
      <c r="A99" s="26" t="s">
        <v>172</v>
      </c>
      <c r="B99" s="42" t="s">
        <v>157</v>
      </c>
      <c r="C99" s="42" t="s">
        <v>179</v>
      </c>
      <c r="D99" s="42" t="s">
        <v>743</v>
      </c>
      <c r="E99" s="42" t="s">
        <v>173</v>
      </c>
      <c r="F99" s="7" t="e">
        <f>#REF!</f>
        <v>#REF!</v>
      </c>
      <c r="G99" s="7" t="e">
        <f>#REF!</f>
        <v>#REF!</v>
      </c>
      <c r="H99" s="7" t="e">
        <f>#REF!</f>
        <v>#REF!</v>
      </c>
      <c r="I99" s="7" t="e">
        <f>#REF!</f>
        <v>#REF!</v>
      </c>
      <c r="J99" s="7" t="e">
        <f>#REF!</f>
        <v>#REF!</v>
      </c>
      <c r="K99" s="7">
        <f>'Прил.№4 ведомств.'!G82</f>
        <v>0.5</v>
      </c>
      <c r="L99" s="7">
        <f>'Прил.№4 ведомств.'!H82</f>
        <v>0</v>
      </c>
      <c r="M99" s="7">
        <f t="shared" si="44"/>
        <v>0</v>
      </c>
    </row>
    <row r="100" spans="1:13" ht="47.25" hidden="1">
      <c r="A100" s="33" t="s">
        <v>220</v>
      </c>
      <c r="B100" s="10" t="s">
        <v>157</v>
      </c>
      <c r="C100" s="10" t="s">
        <v>179</v>
      </c>
      <c r="D100" s="32" t="s">
        <v>221</v>
      </c>
      <c r="E100" s="34"/>
      <c r="F100" s="11" t="e">
        <f>F101</f>
        <v>#REF!</v>
      </c>
      <c r="G100" s="11" t="e">
        <f aca="true" t="shared" si="59" ref="G100:L102">G101</f>
        <v>#REF!</v>
      </c>
      <c r="H100" s="11" t="e">
        <f t="shared" si="59"/>
        <v>#REF!</v>
      </c>
      <c r="I100" s="11" t="e">
        <f t="shared" si="59"/>
        <v>#REF!</v>
      </c>
      <c r="J100" s="11" t="e">
        <f t="shared" si="59"/>
        <v>#REF!</v>
      </c>
      <c r="K100" s="11">
        <f t="shared" si="59"/>
        <v>0</v>
      </c>
      <c r="L100" s="11">
        <f t="shared" si="59"/>
        <v>0</v>
      </c>
      <c r="M100" s="7" t="e">
        <f t="shared" si="44"/>
        <v>#DIV/0!</v>
      </c>
    </row>
    <row r="101" spans="1:13" ht="31.5" hidden="1">
      <c r="A101" s="26" t="s">
        <v>196</v>
      </c>
      <c r="B101" s="10" t="s">
        <v>157</v>
      </c>
      <c r="C101" s="10" t="s">
        <v>179</v>
      </c>
      <c r="D101" s="21" t="s">
        <v>222</v>
      </c>
      <c r="E101" s="34"/>
      <c r="F101" s="11" t="e">
        <f>F102</f>
        <v>#REF!</v>
      </c>
      <c r="G101" s="11" t="e">
        <f t="shared" si="59"/>
        <v>#REF!</v>
      </c>
      <c r="H101" s="11" t="e">
        <f t="shared" si="59"/>
        <v>#REF!</v>
      </c>
      <c r="I101" s="11" t="e">
        <f t="shared" si="59"/>
        <v>#REF!</v>
      </c>
      <c r="J101" s="11" t="e">
        <f t="shared" si="59"/>
        <v>#REF!</v>
      </c>
      <c r="K101" s="11">
        <f t="shared" si="59"/>
        <v>0</v>
      </c>
      <c r="L101" s="11">
        <f t="shared" si="59"/>
        <v>0</v>
      </c>
      <c r="M101" s="7" t="e">
        <f t="shared" si="44"/>
        <v>#DIV/0!</v>
      </c>
    </row>
    <row r="102" spans="1:13" ht="15.75" hidden="1">
      <c r="A102" s="31" t="s">
        <v>174</v>
      </c>
      <c r="B102" s="10" t="s">
        <v>157</v>
      </c>
      <c r="C102" s="10" t="s">
        <v>179</v>
      </c>
      <c r="D102" s="21" t="s">
        <v>222</v>
      </c>
      <c r="E102" s="34" t="s">
        <v>184</v>
      </c>
      <c r="F102" s="11" t="e">
        <f>F103</f>
        <v>#REF!</v>
      </c>
      <c r="G102" s="11" t="e">
        <f t="shared" si="59"/>
        <v>#REF!</v>
      </c>
      <c r="H102" s="11" t="e">
        <f t="shared" si="59"/>
        <v>#REF!</v>
      </c>
      <c r="I102" s="11" t="e">
        <f t="shared" si="59"/>
        <v>#REF!</v>
      </c>
      <c r="J102" s="11" t="e">
        <f t="shared" si="59"/>
        <v>#REF!</v>
      </c>
      <c r="K102" s="11">
        <f t="shared" si="59"/>
        <v>0</v>
      </c>
      <c r="L102" s="11">
        <f t="shared" si="59"/>
        <v>0</v>
      </c>
      <c r="M102" s="7" t="e">
        <f t="shared" si="44"/>
        <v>#DIV/0!</v>
      </c>
    </row>
    <row r="103" spans="1:13" ht="47.25" hidden="1">
      <c r="A103" s="31" t="s">
        <v>223</v>
      </c>
      <c r="B103" s="10" t="s">
        <v>157</v>
      </c>
      <c r="C103" s="10" t="s">
        <v>179</v>
      </c>
      <c r="D103" s="21" t="s">
        <v>222</v>
      </c>
      <c r="E103" s="34" t="s">
        <v>199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>
        <f>'Прил.№4 ведомств.'!G90</f>
        <v>0</v>
      </c>
      <c r="L103" s="11">
        <f>'Прил.№4 ведомств.'!H90</f>
        <v>0</v>
      </c>
      <c r="M103" s="7" t="e">
        <f t="shared" si="44"/>
        <v>#DIV/0!</v>
      </c>
    </row>
    <row r="104" spans="1:13" ht="47.25">
      <c r="A104" s="26" t="s">
        <v>373</v>
      </c>
      <c r="B104" s="21" t="s">
        <v>157</v>
      </c>
      <c r="C104" s="21" t="s">
        <v>179</v>
      </c>
      <c r="D104" s="21" t="s">
        <v>374</v>
      </c>
      <c r="E104" s="21"/>
      <c r="F104" s="11">
        <f>F105+F111+F114+F120+F123</f>
        <v>0</v>
      </c>
      <c r="G104" s="11">
        <f>G105+G111+G114+G120+G123</f>
        <v>0</v>
      </c>
      <c r="H104" s="11" t="e">
        <f>H105+H111+H114+H120+H123</f>
        <v>#REF!</v>
      </c>
      <c r="I104" s="11" t="e">
        <f>I105+I111+I114+I120+I123</f>
        <v>#REF!</v>
      </c>
      <c r="J104" s="11" t="e">
        <f>J105+J111+J114+J120+J123</f>
        <v>#REF!</v>
      </c>
      <c r="K104" s="11">
        <f>K105+K111+K114+K120+K123+K108+K117</f>
        <v>175</v>
      </c>
      <c r="L104" s="11">
        <f aca="true" t="shared" si="60" ref="L104">L105+L111+L114+L120+L123+L108+L117</f>
        <v>0</v>
      </c>
      <c r="M104" s="7">
        <f t="shared" si="44"/>
        <v>0</v>
      </c>
    </row>
    <row r="105" spans="1:13" ht="47.25">
      <c r="A105" s="117" t="s">
        <v>897</v>
      </c>
      <c r="B105" s="21" t="s">
        <v>157</v>
      </c>
      <c r="C105" s="21" t="s">
        <v>179</v>
      </c>
      <c r="D105" s="21" t="s">
        <v>376</v>
      </c>
      <c r="E105" s="21"/>
      <c r="F105" s="11">
        <f aca="true" t="shared" si="61" ref="F105:H106">F106</f>
        <v>0</v>
      </c>
      <c r="G105" s="11">
        <f t="shared" si="61"/>
        <v>0</v>
      </c>
      <c r="H105" s="11" t="e">
        <f t="shared" si="61"/>
        <v>#REF!</v>
      </c>
      <c r="I105" s="11" t="e">
        <f aca="true" t="shared" si="62" ref="I105:L106">I106</f>
        <v>#REF!</v>
      </c>
      <c r="J105" s="11" t="e">
        <f t="shared" si="62"/>
        <v>#REF!</v>
      </c>
      <c r="K105" s="11">
        <f t="shared" si="62"/>
        <v>90</v>
      </c>
      <c r="L105" s="11">
        <f t="shared" si="62"/>
        <v>0</v>
      </c>
      <c r="M105" s="7">
        <f t="shared" si="44"/>
        <v>0</v>
      </c>
    </row>
    <row r="106" spans="1:13" ht="31.5">
      <c r="A106" s="26" t="s">
        <v>170</v>
      </c>
      <c r="B106" s="21" t="s">
        <v>157</v>
      </c>
      <c r="C106" s="21" t="s">
        <v>179</v>
      </c>
      <c r="D106" s="21" t="s">
        <v>376</v>
      </c>
      <c r="E106" s="21" t="s">
        <v>171</v>
      </c>
      <c r="F106" s="11">
        <f t="shared" si="61"/>
        <v>0</v>
      </c>
      <c r="G106" s="11">
        <f t="shared" si="61"/>
        <v>0</v>
      </c>
      <c r="H106" s="11" t="e">
        <f t="shared" si="61"/>
        <v>#REF!</v>
      </c>
      <c r="I106" s="11" t="e">
        <f t="shared" si="62"/>
        <v>#REF!</v>
      </c>
      <c r="J106" s="11" t="e">
        <f t="shared" si="62"/>
        <v>#REF!</v>
      </c>
      <c r="K106" s="11">
        <f t="shared" si="62"/>
        <v>90</v>
      </c>
      <c r="L106" s="11">
        <f t="shared" si="62"/>
        <v>0</v>
      </c>
      <c r="M106" s="7">
        <f t="shared" si="44"/>
        <v>0</v>
      </c>
    </row>
    <row r="107" spans="1:13" ht="47.25">
      <c r="A107" s="26" t="s">
        <v>172</v>
      </c>
      <c r="B107" s="21" t="s">
        <v>157</v>
      </c>
      <c r="C107" s="21" t="s">
        <v>179</v>
      </c>
      <c r="D107" s="21" t="s">
        <v>376</v>
      </c>
      <c r="E107" s="21" t="s">
        <v>173</v>
      </c>
      <c r="F107" s="11">
        <v>0</v>
      </c>
      <c r="G107" s="11">
        <v>0</v>
      </c>
      <c r="H107" s="11" t="e">
        <f>#REF!+#REF!</f>
        <v>#REF!</v>
      </c>
      <c r="I107" s="11" t="e">
        <f>#REF!+#REF!</f>
        <v>#REF!</v>
      </c>
      <c r="J107" s="11" t="e">
        <f>#REF!+#REF!</f>
        <v>#REF!</v>
      </c>
      <c r="K107" s="11">
        <f>'Прил.№4 ведомств.'!G669+'Прил.№4 ведомств.'!G256</f>
        <v>90</v>
      </c>
      <c r="L107" s="11">
        <f>'Прил.№4 ведомств.'!H669+'Прил.№4 ведомств.'!H256</f>
        <v>0</v>
      </c>
      <c r="M107" s="7">
        <f t="shared" si="44"/>
        <v>0</v>
      </c>
    </row>
    <row r="108" spans="1:13" ht="45">
      <c r="A108" s="277" t="s">
        <v>991</v>
      </c>
      <c r="B108" s="21" t="s">
        <v>157</v>
      </c>
      <c r="C108" s="21" t="s">
        <v>179</v>
      </c>
      <c r="D108" s="21" t="s">
        <v>517</v>
      </c>
      <c r="E108" s="21"/>
      <c r="F108" s="11"/>
      <c r="G108" s="11"/>
      <c r="H108" s="11"/>
      <c r="I108" s="11"/>
      <c r="J108" s="11"/>
      <c r="K108" s="11">
        <f>K109</f>
        <v>20</v>
      </c>
      <c r="L108" s="11">
        <f aca="true" t="shared" si="63" ref="L108:L109">L109</f>
        <v>0</v>
      </c>
      <c r="M108" s="7">
        <f t="shared" si="44"/>
        <v>0</v>
      </c>
    </row>
    <row r="109" spans="1:13" ht="31.5">
      <c r="A109" s="26" t="s">
        <v>170</v>
      </c>
      <c r="B109" s="21" t="s">
        <v>157</v>
      </c>
      <c r="C109" s="21" t="s">
        <v>179</v>
      </c>
      <c r="D109" s="21" t="s">
        <v>517</v>
      </c>
      <c r="E109" s="21" t="s">
        <v>171</v>
      </c>
      <c r="F109" s="11"/>
      <c r="G109" s="11"/>
      <c r="H109" s="11"/>
      <c r="I109" s="11"/>
      <c r="J109" s="11"/>
      <c r="K109" s="11">
        <f>K110</f>
        <v>20</v>
      </c>
      <c r="L109" s="11">
        <f t="shared" si="63"/>
        <v>0</v>
      </c>
      <c r="M109" s="7">
        <f t="shared" si="44"/>
        <v>0</v>
      </c>
    </row>
    <row r="110" spans="1:13" ht="47.25">
      <c r="A110" s="26" t="s">
        <v>172</v>
      </c>
      <c r="B110" s="21" t="s">
        <v>157</v>
      </c>
      <c r="C110" s="21" t="s">
        <v>179</v>
      </c>
      <c r="D110" s="21" t="s">
        <v>517</v>
      </c>
      <c r="E110" s="21" t="s">
        <v>173</v>
      </c>
      <c r="F110" s="11"/>
      <c r="G110" s="11"/>
      <c r="H110" s="11"/>
      <c r="I110" s="11"/>
      <c r="J110" s="11"/>
      <c r="K110" s="11">
        <f>'Прил.№4 ведомств.'!G672</f>
        <v>20</v>
      </c>
      <c r="L110" s="11">
        <f>'Прил.№4 ведомств.'!H672</f>
        <v>0</v>
      </c>
      <c r="M110" s="7">
        <f t="shared" si="44"/>
        <v>0</v>
      </c>
    </row>
    <row r="111" spans="1:13" ht="31.5">
      <c r="A111" s="26" t="s">
        <v>377</v>
      </c>
      <c r="B111" s="21" t="s">
        <v>157</v>
      </c>
      <c r="C111" s="21" t="s">
        <v>179</v>
      </c>
      <c r="D111" s="21" t="s">
        <v>378</v>
      </c>
      <c r="E111" s="21"/>
      <c r="F111" s="11">
        <f aca="true" t="shared" si="64" ref="F111:H112">F112</f>
        <v>0</v>
      </c>
      <c r="G111" s="11">
        <f t="shared" si="64"/>
        <v>0</v>
      </c>
      <c r="H111" s="11" t="e">
        <f t="shared" si="64"/>
        <v>#REF!</v>
      </c>
      <c r="I111" s="11" t="e">
        <f aca="true" t="shared" si="65" ref="I111:L112">I112</f>
        <v>#REF!</v>
      </c>
      <c r="J111" s="11" t="e">
        <f t="shared" si="65"/>
        <v>#REF!</v>
      </c>
      <c r="K111" s="11">
        <f t="shared" si="65"/>
        <v>25</v>
      </c>
      <c r="L111" s="11">
        <f t="shared" si="65"/>
        <v>0</v>
      </c>
      <c r="M111" s="7">
        <f t="shared" si="44"/>
        <v>0</v>
      </c>
    </row>
    <row r="112" spans="1:13" ht="31.5">
      <c r="A112" s="26" t="s">
        <v>170</v>
      </c>
      <c r="B112" s="21" t="s">
        <v>157</v>
      </c>
      <c r="C112" s="21" t="s">
        <v>179</v>
      </c>
      <c r="D112" s="21" t="s">
        <v>378</v>
      </c>
      <c r="E112" s="21" t="s">
        <v>171</v>
      </c>
      <c r="F112" s="11">
        <f t="shared" si="64"/>
        <v>0</v>
      </c>
      <c r="G112" s="11">
        <f t="shared" si="64"/>
        <v>0</v>
      </c>
      <c r="H112" s="11" t="e">
        <f t="shared" si="64"/>
        <v>#REF!</v>
      </c>
      <c r="I112" s="11" t="e">
        <f t="shared" si="65"/>
        <v>#REF!</v>
      </c>
      <c r="J112" s="11" t="e">
        <f t="shared" si="65"/>
        <v>#REF!</v>
      </c>
      <c r="K112" s="11">
        <f t="shared" si="65"/>
        <v>25</v>
      </c>
      <c r="L112" s="11">
        <f t="shared" si="65"/>
        <v>0</v>
      </c>
      <c r="M112" s="7">
        <f t="shared" si="44"/>
        <v>0</v>
      </c>
    </row>
    <row r="113" spans="1:13" ht="47.25">
      <c r="A113" s="26" t="s">
        <v>172</v>
      </c>
      <c r="B113" s="21" t="s">
        <v>157</v>
      </c>
      <c r="C113" s="21" t="s">
        <v>179</v>
      </c>
      <c r="D113" s="21" t="s">
        <v>378</v>
      </c>
      <c r="E113" s="21" t="s">
        <v>173</v>
      </c>
      <c r="F113" s="11">
        <v>0</v>
      </c>
      <c r="G113" s="11">
        <v>0</v>
      </c>
      <c r="H113" s="11" t="e">
        <f>#REF!</f>
        <v>#REF!</v>
      </c>
      <c r="I113" s="11" t="e">
        <f>#REF!</f>
        <v>#REF!</v>
      </c>
      <c r="J113" s="11" t="e">
        <f>#REF!</f>
        <v>#REF!</v>
      </c>
      <c r="K113" s="11">
        <f>'Прил.№4 ведомств.'!G259</f>
        <v>25</v>
      </c>
      <c r="L113" s="11">
        <f>'Прил.№4 ведомств.'!H259</f>
        <v>0</v>
      </c>
      <c r="M113" s="7">
        <f t="shared" si="44"/>
        <v>0</v>
      </c>
    </row>
    <row r="114" spans="1:13" ht="47.25">
      <c r="A114" s="33" t="s">
        <v>898</v>
      </c>
      <c r="B114" s="21" t="s">
        <v>157</v>
      </c>
      <c r="C114" s="21" t="s">
        <v>179</v>
      </c>
      <c r="D114" s="21" t="s">
        <v>895</v>
      </c>
      <c r="E114" s="21"/>
      <c r="F114" s="11">
        <f aca="true" t="shared" si="66" ref="F114:H115">F115</f>
        <v>0</v>
      </c>
      <c r="G114" s="11">
        <f t="shared" si="66"/>
        <v>0</v>
      </c>
      <c r="H114" s="11" t="e">
        <f t="shared" si="66"/>
        <v>#REF!</v>
      </c>
      <c r="I114" s="11" t="e">
        <f aca="true" t="shared" si="67" ref="I114:L115">I115</f>
        <v>#REF!</v>
      </c>
      <c r="J114" s="11" t="e">
        <f t="shared" si="67"/>
        <v>#REF!</v>
      </c>
      <c r="K114" s="11">
        <f t="shared" si="67"/>
        <v>10</v>
      </c>
      <c r="L114" s="11">
        <f t="shared" si="67"/>
        <v>0</v>
      </c>
      <c r="M114" s="7">
        <f t="shared" si="44"/>
        <v>0</v>
      </c>
    </row>
    <row r="115" spans="1:13" ht="31.5">
      <c r="A115" s="26" t="s">
        <v>170</v>
      </c>
      <c r="B115" s="21" t="s">
        <v>157</v>
      </c>
      <c r="C115" s="21" t="s">
        <v>179</v>
      </c>
      <c r="D115" s="21" t="s">
        <v>895</v>
      </c>
      <c r="E115" s="21" t="s">
        <v>171</v>
      </c>
      <c r="F115" s="11">
        <f t="shared" si="66"/>
        <v>0</v>
      </c>
      <c r="G115" s="11">
        <f t="shared" si="66"/>
        <v>0</v>
      </c>
      <c r="H115" s="11" t="e">
        <f t="shared" si="66"/>
        <v>#REF!</v>
      </c>
      <c r="I115" s="11" t="e">
        <f t="shared" si="67"/>
        <v>#REF!</v>
      </c>
      <c r="J115" s="11" t="e">
        <f t="shared" si="67"/>
        <v>#REF!</v>
      </c>
      <c r="K115" s="11">
        <f t="shared" si="67"/>
        <v>10</v>
      </c>
      <c r="L115" s="11">
        <f t="shared" si="67"/>
        <v>0</v>
      </c>
      <c r="M115" s="7">
        <f t="shared" si="44"/>
        <v>0</v>
      </c>
    </row>
    <row r="116" spans="1:13" ht="47.25">
      <c r="A116" s="26" t="s">
        <v>172</v>
      </c>
      <c r="B116" s="21" t="s">
        <v>157</v>
      </c>
      <c r="C116" s="21" t="s">
        <v>179</v>
      </c>
      <c r="D116" s="21" t="s">
        <v>895</v>
      </c>
      <c r="E116" s="21" t="s">
        <v>173</v>
      </c>
      <c r="F116" s="11">
        <v>0</v>
      </c>
      <c r="G116" s="11">
        <v>0</v>
      </c>
      <c r="H116" s="11" t="e">
        <f>#REF!</f>
        <v>#REF!</v>
      </c>
      <c r="I116" s="11" t="e">
        <f>#REF!</f>
        <v>#REF!</v>
      </c>
      <c r="J116" s="11" t="e">
        <f>#REF!</f>
        <v>#REF!</v>
      </c>
      <c r="K116" s="11">
        <f>'Прил.№4 ведомств.'!G262</f>
        <v>10</v>
      </c>
      <c r="L116" s="11">
        <f>'Прил.№4 ведомств.'!H262</f>
        <v>0</v>
      </c>
      <c r="M116" s="7">
        <f t="shared" si="44"/>
        <v>0</v>
      </c>
    </row>
    <row r="117" spans="1:13" ht="47.25">
      <c r="A117" s="26" t="s">
        <v>778</v>
      </c>
      <c r="B117" s="21" t="s">
        <v>157</v>
      </c>
      <c r="C117" s="21" t="s">
        <v>179</v>
      </c>
      <c r="D117" s="21" t="s">
        <v>900</v>
      </c>
      <c r="E117" s="21"/>
      <c r="F117" s="11"/>
      <c r="G117" s="11"/>
      <c r="H117" s="11"/>
      <c r="I117" s="11"/>
      <c r="J117" s="11"/>
      <c r="K117" s="11">
        <f>K118</f>
        <v>30</v>
      </c>
      <c r="L117" s="11">
        <f aca="true" t="shared" si="68" ref="L117:L118">L118</f>
        <v>0</v>
      </c>
      <c r="M117" s="7">
        <f t="shared" si="44"/>
        <v>0</v>
      </c>
    </row>
    <row r="118" spans="1:13" ht="31.5">
      <c r="A118" s="26" t="s">
        <v>170</v>
      </c>
      <c r="B118" s="21" t="s">
        <v>157</v>
      </c>
      <c r="C118" s="21" t="s">
        <v>179</v>
      </c>
      <c r="D118" s="21" t="s">
        <v>900</v>
      </c>
      <c r="E118" s="21" t="s">
        <v>171</v>
      </c>
      <c r="F118" s="11"/>
      <c r="G118" s="11"/>
      <c r="H118" s="11"/>
      <c r="I118" s="11"/>
      <c r="J118" s="11"/>
      <c r="K118" s="11">
        <f>K119</f>
        <v>30</v>
      </c>
      <c r="L118" s="11">
        <f t="shared" si="68"/>
        <v>0</v>
      </c>
      <c r="M118" s="7">
        <f t="shared" si="44"/>
        <v>0</v>
      </c>
    </row>
    <row r="119" spans="1:13" ht="47.25">
      <c r="A119" s="26" t="s">
        <v>172</v>
      </c>
      <c r="B119" s="21" t="s">
        <v>157</v>
      </c>
      <c r="C119" s="21" t="s">
        <v>179</v>
      </c>
      <c r="D119" s="21" t="s">
        <v>900</v>
      </c>
      <c r="E119" s="21" t="s">
        <v>173</v>
      </c>
      <c r="F119" s="11"/>
      <c r="G119" s="11"/>
      <c r="H119" s="11"/>
      <c r="I119" s="11"/>
      <c r="J119" s="11"/>
      <c r="K119" s="11">
        <f>'Прил.№4 ведомств.'!G265</f>
        <v>30</v>
      </c>
      <c r="L119" s="11">
        <f>'Прил.№4 ведомств.'!H265</f>
        <v>0</v>
      </c>
      <c r="M119" s="7">
        <f t="shared" si="44"/>
        <v>0</v>
      </c>
    </row>
    <row r="120" spans="1:13" ht="31.5" hidden="1">
      <c r="A120" s="33" t="s">
        <v>902</v>
      </c>
      <c r="B120" s="21" t="s">
        <v>157</v>
      </c>
      <c r="C120" s="21" t="s">
        <v>179</v>
      </c>
      <c r="D120" s="21" t="s">
        <v>901</v>
      </c>
      <c r="E120" s="21"/>
      <c r="F120" s="11">
        <f aca="true" t="shared" si="69" ref="F120:H121">F121</f>
        <v>0</v>
      </c>
      <c r="G120" s="11">
        <f t="shared" si="69"/>
        <v>0</v>
      </c>
      <c r="H120" s="11" t="e">
        <f t="shared" si="69"/>
        <v>#REF!</v>
      </c>
      <c r="I120" s="11" t="e">
        <f aca="true" t="shared" si="70" ref="I120:L121">I121</f>
        <v>#REF!</v>
      </c>
      <c r="J120" s="11" t="e">
        <f t="shared" si="70"/>
        <v>#REF!</v>
      </c>
      <c r="K120" s="11">
        <f t="shared" si="70"/>
        <v>0</v>
      </c>
      <c r="L120" s="11">
        <f t="shared" si="70"/>
        <v>0</v>
      </c>
      <c r="M120" s="7" t="e">
        <f t="shared" si="44"/>
        <v>#DIV/0!</v>
      </c>
    </row>
    <row r="121" spans="1:13" ht="31.5" hidden="1">
      <c r="A121" s="26" t="s">
        <v>170</v>
      </c>
      <c r="B121" s="21" t="s">
        <v>157</v>
      </c>
      <c r="C121" s="21" t="s">
        <v>179</v>
      </c>
      <c r="D121" s="21" t="s">
        <v>901</v>
      </c>
      <c r="E121" s="21" t="s">
        <v>171</v>
      </c>
      <c r="F121" s="11">
        <f t="shared" si="69"/>
        <v>0</v>
      </c>
      <c r="G121" s="11">
        <f t="shared" si="69"/>
        <v>0</v>
      </c>
      <c r="H121" s="11" t="e">
        <f t="shared" si="69"/>
        <v>#REF!</v>
      </c>
      <c r="I121" s="11" t="e">
        <f t="shared" si="70"/>
        <v>#REF!</v>
      </c>
      <c r="J121" s="11" t="e">
        <f t="shared" si="70"/>
        <v>#REF!</v>
      </c>
      <c r="K121" s="11">
        <f t="shared" si="70"/>
        <v>0</v>
      </c>
      <c r="L121" s="11">
        <f t="shared" si="70"/>
        <v>0</v>
      </c>
      <c r="M121" s="7" t="e">
        <f t="shared" si="44"/>
        <v>#DIV/0!</v>
      </c>
    </row>
    <row r="122" spans="1:13" ht="47.25" hidden="1">
      <c r="A122" s="26" t="s">
        <v>172</v>
      </c>
      <c r="B122" s="21" t="s">
        <v>157</v>
      </c>
      <c r="C122" s="21" t="s">
        <v>179</v>
      </c>
      <c r="D122" s="21" t="s">
        <v>901</v>
      </c>
      <c r="E122" s="21" t="s">
        <v>173</v>
      </c>
      <c r="F122" s="11">
        <v>0</v>
      </c>
      <c r="G122" s="11">
        <v>0</v>
      </c>
      <c r="H122" s="11" t="e">
        <f>#REF!</f>
        <v>#REF!</v>
      </c>
      <c r="I122" s="11" t="e">
        <f>#REF!</f>
        <v>#REF!</v>
      </c>
      <c r="J122" s="11" t="e">
        <f>#REF!</f>
        <v>#REF!</v>
      </c>
      <c r="K122" s="11">
        <f>'Прил.№4 ведомств.'!G675</f>
        <v>0</v>
      </c>
      <c r="L122" s="11">
        <f>'Прил.№4 ведомств.'!H675</f>
        <v>0</v>
      </c>
      <c r="M122" s="7" t="e">
        <f t="shared" si="44"/>
        <v>#DIV/0!</v>
      </c>
    </row>
    <row r="123" spans="1:13" ht="31.5" hidden="1">
      <c r="A123" s="33" t="s">
        <v>899</v>
      </c>
      <c r="B123" s="21" t="s">
        <v>157</v>
      </c>
      <c r="C123" s="21" t="s">
        <v>179</v>
      </c>
      <c r="D123" s="21" t="s">
        <v>896</v>
      </c>
      <c r="E123" s="21"/>
      <c r="F123" s="11">
        <f aca="true" t="shared" si="71" ref="F123:H124">F124</f>
        <v>0</v>
      </c>
      <c r="G123" s="11">
        <f t="shared" si="71"/>
        <v>0</v>
      </c>
      <c r="H123" s="11" t="e">
        <f t="shared" si="71"/>
        <v>#REF!</v>
      </c>
      <c r="I123" s="11" t="e">
        <f aca="true" t="shared" si="72" ref="I123:L124">I124</f>
        <v>#REF!</v>
      </c>
      <c r="J123" s="11" t="e">
        <f t="shared" si="72"/>
        <v>#REF!</v>
      </c>
      <c r="K123" s="11">
        <f t="shared" si="72"/>
        <v>0</v>
      </c>
      <c r="L123" s="11">
        <f t="shared" si="72"/>
        <v>0</v>
      </c>
      <c r="M123" s="7" t="e">
        <f t="shared" si="44"/>
        <v>#DIV/0!</v>
      </c>
    </row>
    <row r="124" spans="1:13" ht="31.5" hidden="1">
      <c r="A124" s="26" t="s">
        <v>170</v>
      </c>
      <c r="B124" s="21" t="s">
        <v>157</v>
      </c>
      <c r="C124" s="21" t="s">
        <v>179</v>
      </c>
      <c r="D124" s="21" t="s">
        <v>896</v>
      </c>
      <c r="E124" s="21" t="s">
        <v>171</v>
      </c>
      <c r="F124" s="11">
        <f t="shared" si="71"/>
        <v>0</v>
      </c>
      <c r="G124" s="11">
        <f t="shared" si="71"/>
        <v>0</v>
      </c>
      <c r="H124" s="11" t="e">
        <f t="shared" si="71"/>
        <v>#REF!</v>
      </c>
      <c r="I124" s="11" t="e">
        <f t="shared" si="72"/>
        <v>#REF!</v>
      </c>
      <c r="J124" s="11" t="e">
        <f t="shared" si="72"/>
        <v>#REF!</v>
      </c>
      <c r="K124" s="11">
        <f t="shared" si="72"/>
        <v>0</v>
      </c>
      <c r="L124" s="11">
        <f t="shared" si="72"/>
        <v>0</v>
      </c>
      <c r="M124" s="7" t="e">
        <f t="shared" si="44"/>
        <v>#DIV/0!</v>
      </c>
    </row>
    <row r="125" spans="1:13" ht="47.25" hidden="1">
      <c r="A125" s="26" t="s">
        <v>172</v>
      </c>
      <c r="B125" s="21" t="s">
        <v>157</v>
      </c>
      <c r="C125" s="21" t="s">
        <v>179</v>
      </c>
      <c r="D125" s="21" t="s">
        <v>896</v>
      </c>
      <c r="E125" s="21" t="s">
        <v>173</v>
      </c>
      <c r="F125" s="11">
        <v>0</v>
      </c>
      <c r="G125" s="11">
        <v>0</v>
      </c>
      <c r="H125" s="11" t="e">
        <f>#REF!</f>
        <v>#REF!</v>
      </c>
      <c r="I125" s="11" t="e">
        <f>#REF!</f>
        <v>#REF!</v>
      </c>
      <c r="J125" s="11" t="e">
        <f>#REF!</f>
        <v>#REF!</v>
      </c>
      <c r="K125" s="11">
        <f>'Прил.№4 ведомств.'!G268</f>
        <v>0</v>
      </c>
      <c r="L125" s="11">
        <f>'Прил.№4 ведомств.'!H268</f>
        <v>0</v>
      </c>
      <c r="M125" s="7" t="e">
        <f t="shared" si="44"/>
        <v>#DIV/0!</v>
      </c>
    </row>
    <row r="126" spans="1:13" ht="63">
      <c r="A126" s="31" t="s">
        <v>777</v>
      </c>
      <c r="B126" s="10" t="s">
        <v>157</v>
      </c>
      <c r="C126" s="10" t="s">
        <v>179</v>
      </c>
      <c r="D126" s="21" t="s">
        <v>775</v>
      </c>
      <c r="E126" s="34"/>
      <c r="F126" s="11" t="e">
        <f>F127</f>
        <v>#REF!</v>
      </c>
      <c r="G126" s="11" t="e">
        <f aca="true" t="shared" si="73" ref="G126:L128">G127</f>
        <v>#REF!</v>
      </c>
      <c r="H126" s="11" t="e">
        <f t="shared" si="73"/>
        <v>#REF!</v>
      </c>
      <c r="I126" s="11" t="e">
        <f t="shared" si="73"/>
        <v>#REF!</v>
      </c>
      <c r="J126" s="11" t="e">
        <f t="shared" si="73"/>
        <v>#REF!</v>
      </c>
      <c r="K126" s="11">
        <f>K127+K130+K133+K136</f>
        <v>45</v>
      </c>
      <c r="L126" s="11">
        <f aca="true" t="shared" si="74" ref="L126">L127+L130+L133+L136</f>
        <v>15</v>
      </c>
      <c r="M126" s="7">
        <f t="shared" si="44"/>
        <v>33.33333333333333</v>
      </c>
    </row>
    <row r="127" spans="1:13" ht="47.25">
      <c r="A127" s="246" t="s">
        <v>906</v>
      </c>
      <c r="B127" s="10" t="s">
        <v>157</v>
      </c>
      <c r="C127" s="10" t="s">
        <v>179</v>
      </c>
      <c r="D127" s="21" t="s">
        <v>905</v>
      </c>
      <c r="E127" s="34"/>
      <c r="F127" s="11" t="e">
        <f>F128</f>
        <v>#REF!</v>
      </c>
      <c r="G127" s="11" t="e">
        <f t="shared" si="73"/>
        <v>#REF!</v>
      </c>
      <c r="H127" s="11" t="e">
        <f t="shared" si="73"/>
        <v>#REF!</v>
      </c>
      <c r="I127" s="11" t="e">
        <f t="shared" si="73"/>
        <v>#REF!</v>
      </c>
      <c r="J127" s="11" t="e">
        <f t="shared" si="73"/>
        <v>#REF!</v>
      </c>
      <c r="K127" s="11">
        <f t="shared" si="73"/>
        <v>30</v>
      </c>
      <c r="L127" s="11">
        <f t="shared" si="73"/>
        <v>0</v>
      </c>
      <c r="M127" s="7">
        <f t="shared" si="44"/>
        <v>0</v>
      </c>
    </row>
    <row r="128" spans="1:13" ht="31.5">
      <c r="A128" s="26" t="s">
        <v>170</v>
      </c>
      <c r="B128" s="10" t="s">
        <v>157</v>
      </c>
      <c r="C128" s="10" t="s">
        <v>179</v>
      </c>
      <c r="D128" s="21" t="s">
        <v>905</v>
      </c>
      <c r="E128" s="34" t="s">
        <v>171</v>
      </c>
      <c r="F128" s="11" t="e">
        <f>F129</f>
        <v>#REF!</v>
      </c>
      <c r="G128" s="11" t="e">
        <f t="shared" si="73"/>
        <v>#REF!</v>
      </c>
      <c r="H128" s="11" t="e">
        <f t="shared" si="73"/>
        <v>#REF!</v>
      </c>
      <c r="I128" s="11" t="e">
        <f t="shared" si="73"/>
        <v>#REF!</v>
      </c>
      <c r="J128" s="11" t="e">
        <f t="shared" si="73"/>
        <v>#REF!</v>
      </c>
      <c r="K128" s="11">
        <f t="shared" si="73"/>
        <v>30</v>
      </c>
      <c r="L128" s="11">
        <f t="shared" si="73"/>
        <v>0</v>
      </c>
      <c r="M128" s="7">
        <f t="shared" si="44"/>
        <v>0</v>
      </c>
    </row>
    <row r="129" spans="1:13" ht="47.25">
      <c r="A129" s="26" t="s">
        <v>172</v>
      </c>
      <c r="B129" s="10" t="s">
        <v>157</v>
      </c>
      <c r="C129" s="10" t="s">
        <v>179</v>
      </c>
      <c r="D129" s="21" t="s">
        <v>905</v>
      </c>
      <c r="E129" s="34" t="s">
        <v>173</v>
      </c>
      <c r="F129" s="11" t="e">
        <f>#REF!</f>
        <v>#REF!</v>
      </c>
      <c r="G129" s="11" t="e">
        <f>#REF!</f>
        <v>#REF!</v>
      </c>
      <c r="H129" s="11" t="e">
        <f>#REF!</f>
        <v>#REF!</v>
      </c>
      <c r="I129" s="11" t="e">
        <f>#REF!</f>
        <v>#REF!</v>
      </c>
      <c r="J129" s="11" t="e">
        <f>#REF!</f>
        <v>#REF!</v>
      </c>
      <c r="K129" s="11">
        <f>'Прил.№4 ведомств.'!G94+'Прил.№4 ведомств.'!G281</f>
        <v>30</v>
      </c>
      <c r="L129" s="11">
        <f>'Прил.№4 ведомств.'!H94+'Прил.№4 ведомств.'!H281</f>
        <v>0</v>
      </c>
      <c r="M129" s="7">
        <f t="shared" si="44"/>
        <v>0</v>
      </c>
    </row>
    <row r="130" spans="1:13" ht="31.5" hidden="1">
      <c r="A130" s="246" t="s">
        <v>909</v>
      </c>
      <c r="B130" s="21" t="s">
        <v>157</v>
      </c>
      <c r="C130" s="21" t="s">
        <v>179</v>
      </c>
      <c r="D130" s="21" t="s">
        <v>910</v>
      </c>
      <c r="E130" s="34"/>
      <c r="F130" s="11"/>
      <c r="G130" s="11"/>
      <c r="H130" s="11"/>
      <c r="I130" s="11"/>
      <c r="J130" s="11"/>
      <c r="K130" s="11">
        <f>K131</f>
        <v>0</v>
      </c>
      <c r="L130" s="11">
        <f aca="true" t="shared" si="75" ref="L130:L131">L131</f>
        <v>0</v>
      </c>
      <c r="M130" s="7" t="e">
        <f t="shared" si="44"/>
        <v>#DIV/0!</v>
      </c>
    </row>
    <row r="131" spans="1:13" ht="31.5" hidden="1">
      <c r="A131" s="26" t="s">
        <v>170</v>
      </c>
      <c r="B131" s="21" t="s">
        <v>157</v>
      </c>
      <c r="C131" s="21" t="s">
        <v>179</v>
      </c>
      <c r="D131" s="21" t="s">
        <v>910</v>
      </c>
      <c r="E131" s="34" t="s">
        <v>171</v>
      </c>
      <c r="F131" s="11"/>
      <c r="G131" s="11"/>
      <c r="H131" s="11"/>
      <c r="I131" s="11"/>
      <c r="J131" s="11"/>
      <c r="K131" s="11">
        <f>K132</f>
        <v>0</v>
      </c>
      <c r="L131" s="11">
        <f t="shared" si="75"/>
        <v>0</v>
      </c>
      <c r="M131" s="7" t="e">
        <f t="shared" si="44"/>
        <v>#DIV/0!</v>
      </c>
    </row>
    <row r="132" spans="1:13" ht="47.25" hidden="1">
      <c r="A132" s="26" t="s">
        <v>172</v>
      </c>
      <c r="B132" s="21" t="s">
        <v>157</v>
      </c>
      <c r="C132" s="21" t="s">
        <v>179</v>
      </c>
      <c r="D132" s="21" t="s">
        <v>910</v>
      </c>
      <c r="E132" s="34" t="s">
        <v>173</v>
      </c>
      <c r="F132" s="11"/>
      <c r="G132" s="11"/>
      <c r="H132" s="11"/>
      <c r="I132" s="11"/>
      <c r="J132" s="11"/>
      <c r="K132" s="11">
        <f>'Прил.№4 ведомств.'!G1274</f>
        <v>0</v>
      </c>
      <c r="L132" s="11">
        <f>'Прил.№4 ведомств.'!H1274</f>
        <v>0</v>
      </c>
      <c r="M132" s="7" t="e">
        <f t="shared" si="44"/>
        <v>#DIV/0!</v>
      </c>
    </row>
    <row r="133" spans="1:13" ht="33.75" customHeight="1">
      <c r="A133" s="247" t="s">
        <v>908</v>
      </c>
      <c r="B133" s="21" t="s">
        <v>157</v>
      </c>
      <c r="C133" s="21" t="s">
        <v>179</v>
      </c>
      <c r="D133" s="21" t="s">
        <v>907</v>
      </c>
      <c r="E133" s="34"/>
      <c r="F133" s="11" t="e">
        <f>F134</f>
        <v>#REF!</v>
      </c>
      <c r="G133" s="11" t="e">
        <f aca="true" t="shared" si="76" ref="G133:L134">G134</f>
        <v>#REF!</v>
      </c>
      <c r="H133" s="11" t="e">
        <f t="shared" si="76"/>
        <v>#REF!</v>
      </c>
      <c r="I133" s="11" t="e">
        <f t="shared" si="76"/>
        <v>#REF!</v>
      </c>
      <c r="J133" s="11" t="e">
        <f t="shared" si="76"/>
        <v>#REF!</v>
      </c>
      <c r="K133" s="11">
        <f t="shared" si="76"/>
        <v>15</v>
      </c>
      <c r="L133" s="11">
        <f t="shared" si="76"/>
        <v>15</v>
      </c>
      <c r="M133" s="7">
        <f t="shared" si="44"/>
        <v>100</v>
      </c>
    </row>
    <row r="134" spans="1:13" ht="31.5" customHeight="1">
      <c r="A134" s="26" t="s">
        <v>170</v>
      </c>
      <c r="B134" s="21" t="s">
        <v>157</v>
      </c>
      <c r="C134" s="21" t="s">
        <v>179</v>
      </c>
      <c r="D134" s="21" t="s">
        <v>907</v>
      </c>
      <c r="E134" s="34" t="s">
        <v>171</v>
      </c>
      <c r="F134" s="11" t="e">
        <f>F135</f>
        <v>#REF!</v>
      </c>
      <c r="G134" s="11" t="e">
        <f t="shared" si="76"/>
        <v>#REF!</v>
      </c>
      <c r="H134" s="11" t="e">
        <f t="shared" si="76"/>
        <v>#REF!</v>
      </c>
      <c r="I134" s="11" t="e">
        <f t="shared" si="76"/>
        <v>#REF!</v>
      </c>
      <c r="J134" s="11" t="e">
        <f t="shared" si="76"/>
        <v>#REF!</v>
      </c>
      <c r="K134" s="11">
        <f t="shared" si="76"/>
        <v>15</v>
      </c>
      <c r="L134" s="11">
        <f t="shared" si="76"/>
        <v>15</v>
      </c>
      <c r="M134" s="7">
        <f t="shared" si="44"/>
        <v>100</v>
      </c>
    </row>
    <row r="135" spans="1:13" ht="47.25" customHeight="1">
      <c r="A135" s="26" t="s">
        <v>172</v>
      </c>
      <c r="B135" s="21" t="s">
        <v>157</v>
      </c>
      <c r="C135" s="21" t="s">
        <v>179</v>
      </c>
      <c r="D135" s="21" t="s">
        <v>907</v>
      </c>
      <c r="E135" s="34" t="s">
        <v>173</v>
      </c>
      <c r="F135" s="11" t="e">
        <f>#REF!</f>
        <v>#REF!</v>
      </c>
      <c r="G135" s="11" t="e">
        <f>#REF!</f>
        <v>#REF!</v>
      </c>
      <c r="H135" s="11" t="e">
        <f>#REF!</f>
        <v>#REF!</v>
      </c>
      <c r="I135" s="11" t="e">
        <f>#REF!</f>
        <v>#REF!</v>
      </c>
      <c r="J135" s="11" t="e">
        <f>#REF!</f>
        <v>#REF!</v>
      </c>
      <c r="K135" s="11">
        <f>'Прил.№4 ведомств.'!G100</f>
        <v>15</v>
      </c>
      <c r="L135" s="11">
        <f>'Прил.№4 ведомств.'!H100</f>
        <v>15</v>
      </c>
      <c r="M135" s="7">
        <f t="shared" si="44"/>
        <v>100</v>
      </c>
    </row>
    <row r="136" spans="1:13" ht="47.25" hidden="1">
      <c r="A136" s="26" t="s">
        <v>915</v>
      </c>
      <c r="B136" s="21" t="s">
        <v>157</v>
      </c>
      <c r="C136" s="21" t="s">
        <v>179</v>
      </c>
      <c r="D136" s="21" t="s">
        <v>916</v>
      </c>
      <c r="E136" s="34"/>
      <c r="F136" s="11"/>
      <c r="G136" s="11"/>
      <c r="H136" s="11"/>
      <c r="I136" s="11"/>
      <c r="J136" s="11"/>
      <c r="K136" s="11">
        <f>K137</f>
        <v>0</v>
      </c>
      <c r="L136" s="11">
        <f aca="true" t="shared" si="77" ref="L136:L137">L137</f>
        <v>0</v>
      </c>
      <c r="M136" s="7" t="e">
        <f t="shared" si="44"/>
        <v>#DIV/0!</v>
      </c>
    </row>
    <row r="137" spans="1:13" ht="47.25" hidden="1">
      <c r="A137" s="108" t="s">
        <v>311</v>
      </c>
      <c r="B137" s="21" t="s">
        <v>157</v>
      </c>
      <c r="C137" s="21" t="s">
        <v>179</v>
      </c>
      <c r="D137" s="21" t="s">
        <v>916</v>
      </c>
      <c r="E137" s="34" t="s">
        <v>312</v>
      </c>
      <c r="F137" s="11"/>
      <c r="G137" s="11"/>
      <c r="H137" s="11"/>
      <c r="I137" s="11"/>
      <c r="J137" s="11"/>
      <c r="K137" s="11">
        <f>K138</f>
        <v>0</v>
      </c>
      <c r="L137" s="11">
        <f t="shared" si="77"/>
        <v>0</v>
      </c>
      <c r="M137" s="7" t="e">
        <f t="shared" si="44"/>
        <v>#DIV/0!</v>
      </c>
    </row>
    <row r="138" spans="1:13" ht="15.75" hidden="1">
      <c r="A138" s="199" t="s">
        <v>313</v>
      </c>
      <c r="B138" s="21" t="s">
        <v>157</v>
      </c>
      <c r="C138" s="21" t="s">
        <v>179</v>
      </c>
      <c r="D138" s="21" t="s">
        <v>916</v>
      </c>
      <c r="E138" s="34" t="s">
        <v>314</v>
      </c>
      <c r="F138" s="11"/>
      <c r="G138" s="11"/>
      <c r="H138" s="11"/>
      <c r="I138" s="11"/>
      <c r="J138" s="11"/>
      <c r="K138" s="11">
        <f>'Прил.№4 ведомств.'!G284+'Прил.№4 ведомств.'!G684+'Прил.№4 ведомств.'!G899</f>
        <v>0</v>
      </c>
      <c r="L138" s="11">
        <f>'Прил.№4 ведомств.'!H284+'Прил.№4 ведомств.'!H684+'Прил.№4 ведомств.'!H899</f>
        <v>0</v>
      </c>
      <c r="M138" s="7" t="e">
        <f t="shared" si="44"/>
        <v>#DIV/0!</v>
      </c>
    </row>
    <row r="139" spans="1:13" ht="63">
      <c r="A139" s="199" t="s">
        <v>917</v>
      </c>
      <c r="B139" s="21" t="s">
        <v>157</v>
      </c>
      <c r="C139" s="21" t="s">
        <v>179</v>
      </c>
      <c r="D139" s="21" t="s">
        <v>921</v>
      </c>
      <c r="E139" s="34"/>
      <c r="F139" s="11"/>
      <c r="G139" s="11"/>
      <c r="H139" s="11"/>
      <c r="I139" s="11"/>
      <c r="J139" s="11"/>
      <c r="K139" s="11">
        <f>K140</f>
        <v>4932.3</v>
      </c>
      <c r="L139" s="11">
        <f aca="true" t="shared" si="78" ref="L139:L141">L140</f>
        <v>0</v>
      </c>
      <c r="M139" s="7">
        <f t="shared" si="44"/>
        <v>0</v>
      </c>
    </row>
    <row r="140" spans="1:13" ht="31.5">
      <c r="A140" s="199" t="s">
        <v>947</v>
      </c>
      <c r="B140" s="21" t="s">
        <v>157</v>
      </c>
      <c r="C140" s="21" t="s">
        <v>179</v>
      </c>
      <c r="D140" s="21" t="s">
        <v>1046</v>
      </c>
      <c r="E140" s="34"/>
      <c r="F140" s="11"/>
      <c r="G140" s="11"/>
      <c r="H140" s="11"/>
      <c r="I140" s="11"/>
      <c r="J140" s="11"/>
      <c r="K140" s="11">
        <f>K141</f>
        <v>4932.3</v>
      </c>
      <c r="L140" s="11">
        <f t="shared" si="78"/>
        <v>0</v>
      </c>
      <c r="M140" s="7">
        <f t="shared" si="44"/>
        <v>0</v>
      </c>
    </row>
    <row r="141" spans="1:13" ht="31.5">
      <c r="A141" s="199" t="s">
        <v>170</v>
      </c>
      <c r="B141" s="21" t="s">
        <v>157</v>
      </c>
      <c r="C141" s="21" t="s">
        <v>179</v>
      </c>
      <c r="D141" s="21" t="s">
        <v>1046</v>
      </c>
      <c r="E141" s="34" t="s">
        <v>171</v>
      </c>
      <c r="F141" s="11"/>
      <c r="G141" s="11"/>
      <c r="H141" s="11"/>
      <c r="I141" s="11"/>
      <c r="J141" s="11"/>
      <c r="K141" s="11">
        <f>K142</f>
        <v>4932.3</v>
      </c>
      <c r="L141" s="11">
        <f t="shared" si="78"/>
        <v>0</v>
      </c>
      <c r="M141" s="7">
        <f t="shared" si="44"/>
        <v>0</v>
      </c>
    </row>
    <row r="142" spans="1:13" ht="47.25">
      <c r="A142" s="199" t="s">
        <v>172</v>
      </c>
      <c r="B142" s="21" t="s">
        <v>157</v>
      </c>
      <c r="C142" s="21" t="s">
        <v>179</v>
      </c>
      <c r="D142" s="21" t="s">
        <v>1046</v>
      </c>
      <c r="E142" s="34" t="s">
        <v>173</v>
      </c>
      <c r="F142" s="11"/>
      <c r="G142" s="11"/>
      <c r="H142" s="11"/>
      <c r="I142" s="11"/>
      <c r="J142" s="11"/>
      <c r="K142" s="11">
        <f>'Прил.№4 ведомств.'!G626</f>
        <v>4932.3</v>
      </c>
      <c r="L142" s="11">
        <f>'Прил.№4 ведомств.'!H626</f>
        <v>0</v>
      </c>
      <c r="M142" s="7">
        <f aca="true" t="shared" si="79" ref="M142:M205">L142/K142*100</f>
        <v>0</v>
      </c>
    </row>
    <row r="143" spans="1:13" ht="78.75">
      <c r="A143" s="31" t="s">
        <v>1030</v>
      </c>
      <c r="B143" s="10" t="s">
        <v>157</v>
      </c>
      <c r="C143" s="10" t="s">
        <v>179</v>
      </c>
      <c r="D143" s="32" t="s">
        <v>1027</v>
      </c>
      <c r="E143" s="10"/>
      <c r="F143" s="27">
        <f>F144</f>
        <v>20</v>
      </c>
      <c r="G143" s="11"/>
      <c r="H143" s="11"/>
      <c r="I143" s="11"/>
      <c r="J143" s="11"/>
      <c r="K143" s="11">
        <f>K144</f>
        <v>20</v>
      </c>
      <c r="L143" s="11">
        <f aca="true" t="shared" si="80" ref="L143:L145">L144</f>
        <v>0</v>
      </c>
      <c r="M143" s="7">
        <f t="shared" si="79"/>
        <v>0</v>
      </c>
    </row>
    <row r="144" spans="1:13" ht="31.5">
      <c r="A144" s="117" t="s">
        <v>210</v>
      </c>
      <c r="B144" s="10" t="s">
        <v>157</v>
      </c>
      <c r="C144" s="10" t="s">
        <v>179</v>
      </c>
      <c r="D144" s="6" t="s">
        <v>1031</v>
      </c>
      <c r="E144" s="10"/>
      <c r="F144" s="27">
        <f>F145</f>
        <v>20</v>
      </c>
      <c r="G144" s="11"/>
      <c r="H144" s="11"/>
      <c r="I144" s="11"/>
      <c r="J144" s="11"/>
      <c r="K144" s="11">
        <f>K145</f>
        <v>20</v>
      </c>
      <c r="L144" s="11">
        <f t="shared" si="80"/>
        <v>0</v>
      </c>
      <c r="M144" s="7">
        <f t="shared" si="79"/>
        <v>0</v>
      </c>
    </row>
    <row r="145" spans="1:13" ht="31.5">
      <c r="A145" s="26" t="s">
        <v>170</v>
      </c>
      <c r="B145" s="10" t="s">
        <v>157</v>
      </c>
      <c r="C145" s="10" t="s">
        <v>179</v>
      </c>
      <c r="D145" s="6" t="s">
        <v>1031</v>
      </c>
      <c r="E145" s="10" t="s">
        <v>171</v>
      </c>
      <c r="F145" s="27">
        <f>F146</f>
        <v>20</v>
      </c>
      <c r="G145" s="11"/>
      <c r="H145" s="11"/>
      <c r="I145" s="11"/>
      <c r="J145" s="11"/>
      <c r="K145" s="11">
        <f>K146</f>
        <v>20</v>
      </c>
      <c r="L145" s="11">
        <f t="shared" si="80"/>
        <v>0</v>
      </c>
      <c r="M145" s="7">
        <f t="shared" si="79"/>
        <v>0</v>
      </c>
    </row>
    <row r="146" spans="1:13" ht="47.25">
      <c r="A146" s="26" t="s">
        <v>172</v>
      </c>
      <c r="B146" s="10" t="s">
        <v>157</v>
      </c>
      <c r="C146" s="10" t="s">
        <v>179</v>
      </c>
      <c r="D146" s="6" t="s">
        <v>1031</v>
      </c>
      <c r="E146" s="10" t="s">
        <v>173</v>
      </c>
      <c r="F146" s="180">
        <v>20</v>
      </c>
      <c r="G146" s="11"/>
      <c r="H146" s="11"/>
      <c r="I146" s="11"/>
      <c r="J146" s="11"/>
      <c r="K146" s="11">
        <f>'Прил.№4 ведомств.'!G104</f>
        <v>20</v>
      </c>
      <c r="L146" s="11">
        <f>'Прил.№4 ведомств.'!H104</f>
        <v>0</v>
      </c>
      <c r="M146" s="7">
        <f t="shared" si="79"/>
        <v>0</v>
      </c>
    </row>
    <row r="147" spans="1:13" ht="15.75">
      <c r="A147" s="31" t="s">
        <v>160</v>
      </c>
      <c r="B147" s="42" t="s">
        <v>157</v>
      </c>
      <c r="C147" s="42" t="s">
        <v>179</v>
      </c>
      <c r="D147" s="42" t="s">
        <v>161</v>
      </c>
      <c r="E147" s="42"/>
      <c r="F147" s="7" t="e">
        <f aca="true" t="shared" si="81" ref="F147:K147">F148+F181+F205</f>
        <v>#REF!</v>
      </c>
      <c r="G147" s="7" t="e">
        <f t="shared" si="81"/>
        <v>#REF!</v>
      </c>
      <c r="H147" s="7" t="e">
        <f t="shared" si="81"/>
        <v>#REF!</v>
      </c>
      <c r="I147" s="7" t="e">
        <f t="shared" si="81"/>
        <v>#REF!</v>
      </c>
      <c r="J147" s="7" t="e">
        <f t="shared" si="81"/>
        <v>#REF!</v>
      </c>
      <c r="K147" s="7">
        <f t="shared" si="81"/>
        <v>60945.5</v>
      </c>
      <c r="L147" s="7">
        <f aca="true" t="shared" si="82" ref="L147">L148+L181+L205</f>
        <v>36340.3</v>
      </c>
      <c r="M147" s="4">
        <f t="shared" si="79"/>
        <v>59.62753607731498</v>
      </c>
    </row>
    <row r="148" spans="1:13" ht="31.5">
      <c r="A148" s="31" t="s">
        <v>224</v>
      </c>
      <c r="B148" s="42" t="s">
        <v>157</v>
      </c>
      <c r="C148" s="42" t="s">
        <v>179</v>
      </c>
      <c r="D148" s="42" t="s">
        <v>225</v>
      </c>
      <c r="E148" s="8"/>
      <c r="F148" s="11" t="e">
        <f>F157+F168+F171+F176+F152+F165+F162</f>
        <v>#REF!</v>
      </c>
      <c r="G148" s="11" t="e">
        <f>G157+G168+G171+G176+G152+G165+G162</f>
        <v>#REF!</v>
      </c>
      <c r="H148" s="11" t="e">
        <f>H157+H168+H171+H176+H152+H165+H162</f>
        <v>#REF!</v>
      </c>
      <c r="I148" s="11" t="e">
        <f>I157+I168+I171+I176+I152+I165+I162</f>
        <v>#REF!</v>
      </c>
      <c r="J148" s="11" t="e">
        <f>J157+J168+J171+J176+J152+J165+J162</f>
        <v>#REF!</v>
      </c>
      <c r="K148" s="11">
        <f>K157+K168+K171+K176+K152+K165+K162+K149</f>
        <v>3220.2</v>
      </c>
      <c r="L148" s="11">
        <f aca="true" t="shared" si="83" ref="L148">L157+L168+L171+L176+L152+L165+L162+L149</f>
        <v>1977</v>
      </c>
      <c r="M148" s="7">
        <f t="shared" si="79"/>
        <v>61.39370225451836</v>
      </c>
    </row>
    <row r="149" spans="1:13" ht="31.5" hidden="1">
      <c r="A149" s="26" t="s">
        <v>947</v>
      </c>
      <c r="B149" s="42" t="s">
        <v>157</v>
      </c>
      <c r="C149" s="42" t="s">
        <v>179</v>
      </c>
      <c r="D149" s="42" t="s">
        <v>948</v>
      </c>
      <c r="E149" s="8"/>
      <c r="F149" s="11"/>
      <c r="G149" s="11"/>
      <c r="H149" s="11"/>
      <c r="I149" s="11"/>
      <c r="J149" s="11"/>
      <c r="K149" s="11">
        <f>K150</f>
        <v>0</v>
      </c>
      <c r="L149" s="11">
        <f aca="true" t="shared" si="84" ref="L149:L150">L150</f>
        <v>0</v>
      </c>
      <c r="M149" s="7" t="e">
        <f t="shared" si="79"/>
        <v>#DIV/0!</v>
      </c>
    </row>
    <row r="150" spans="1:13" ht="31.5" hidden="1">
      <c r="A150" s="26" t="s">
        <v>170</v>
      </c>
      <c r="B150" s="42" t="s">
        <v>157</v>
      </c>
      <c r="C150" s="42" t="s">
        <v>179</v>
      </c>
      <c r="D150" s="42" t="s">
        <v>948</v>
      </c>
      <c r="E150" s="42" t="s">
        <v>171</v>
      </c>
      <c r="F150" s="11"/>
      <c r="G150" s="11"/>
      <c r="H150" s="11"/>
      <c r="I150" s="11"/>
      <c r="J150" s="11"/>
      <c r="K150" s="11">
        <f>K151</f>
        <v>0</v>
      </c>
      <c r="L150" s="11">
        <f t="shared" si="84"/>
        <v>0</v>
      </c>
      <c r="M150" s="7" t="e">
        <f t="shared" si="79"/>
        <v>#DIV/0!</v>
      </c>
    </row>
    <row r="151" spans="1:13" ht="47.25" hidden="1">
      <c r="A151" s="26" t="s">
        <v>172</v>
      </c>
      <c r="B151" s="42" t="s">
        <v>157</v>
      </c>
      <c r="C151" s="42" t="s">
        <v>179</v>
      </c>
      <c r="D151" s="42" t="s">
        <v>948</v>
      </c>
      <c r="E151" s="42" t="s">
        <v>173</v>
      </c>
      <c r="F151" s="11"/>
      <c r="G151" s="11"/>
      <c r="H151" s="11"/>
      <c r="I151" s="11"/>
      <c r="J151" s="11"/>
      <c r="K151" s="11">
        <f>'Прил.№4 ведомств.'!G631</f>
        <v>0</v>
      </c>
      <c r="L151" s="11">
        <f>'Прил.№4 ведомств.'!H631</f>
        <v>0</v>
      </c>
      <c r="M151" s="7" t="e">
        <f t="shared" si="79"/>
        <v>#DIV/0!</v>
      </c>
    </row>
    <row r="152" spans="1:13" ht="47.25" customHeight="1" hidden="1">
      <c r="A152" s="26" t="s">
        <v>226</v>
      </c>
      <c r="B152" s="42" t="s">
        <v>157</v>
      </c>
      <c r="C152" s="42" t="s">
        <v>179</v>
      </c>
      <c r="D152" s="42" t="s">
        <v>227</v>
      </c>
      <c r="E152" s="8"/>
      <c r="F152" s="11">
        <f aca="true" t="shared" si="85" ref="F152:K152">F153+F155</f>
        <v>0</v>
      </c>
      <c r="G152" s="11">
        <f t="shared" si="85"/>
        <v>0</v>
      </c>
      <c r="H152" s="11">
        <f t="shared" si="85"/>
        <v>0</v>
      </c>
      <c r="I152" s="11">
        <f t="shared" si="85"/>
        <v>0</v>
      </c>
      <c r="J152" s="11">
        <f t="shared" si="85"/>
        <v>0</v>
      </c>
      <c r="K152" s="11">
        <f t="shared" si="85"/>
        <v>0</v>
      </c>
      <c r="L152" s="11">
        <f aca="true" t="shared" si="86" ref="L152">L153+L155</f>
        <v>0</v>
      </c>
      <c r="M152" s="7" t="e">
        <f t="shared" si="79"/>
        <v>#DIV/0!</v>
      </c>
    </row>
    <row r="153" spans="1:13" ht="78.75" customHeight="1" hidden="1">
      <c r="A153" s="26" t="s">
        <v>166</v>
      </c>
      <c r="B153" s="42" t="s">
        <v>157</v>
      </c>
      <c r="C153" s="42" t="s">
        <v>179</v>
      </c>
      <c r="D153" s="42" t="s">
        <v>227</v>
      </c>
      <c r="E153" s="42" t="s">
        <v>167</v>
      </c>
      <c r="F153" s="11">
        <f aca="true" t="shared" si="87" ref="F153:L153">F154</f>
        <v>0</v>
      </c>
      <c r="G153" s="11">
        <f t="shared" si="87"/>
        <v>0</v>
      </c>
      <c r="H153" s="11">
        <f t="shared" si="87"/>
        <v>0</v>
      </c>
      <c r="I153" s="11">
        <f t="shared" si="87"/>
        <v>0</v>
      </c>
      <c r="J153" s="11">
        <f t="shared" si="87"/>
        <v>0</v>
      </c>
      <c r="K153" s="11">
        <f t="shared" si="87"/>
        <v>0</v>
      </c>
      <c r="L153" s="11">
        <f t="shared" si="87"/>
        <v>0</v>
      </c>
      <c r="M153" s="7" t="e">
        <f t="shared" si="79"/>
        <v>#DIV/0!</v>
      </c>
    </row>
    <row r="154" spans="1:13" ht="31.5" customHeight="1" hidden="1">
      <c r="A154" s="26" t="s">
        <v>168</v>
      </c>
      <c r="B154" s="42" t="s">
        <v>157</v>
      </c>
      <c r="C154" s="42" t="s">
        <v>179</v>
      </c>
      <c r="D154" s="42" t="s">
        <v>227</v>
      </c>
      <c r="E154" s="42" t="s">
        <v>169</v>
      </c>
      <c r="F154" s="11"/>
      <c r="G154" s="11"/>
      <c r="H154" s="11"/>
      <c r="I154" s="11"/>
      <c r="J154" s="11"/>
      <c r="K154" s="11">
        <f>'Прил.№4 ведомств.'!G109</f>
        <v>0</v>
      </c>
      <c r="L154" s="11">
        <f>'Прил.№4 ведомств.'!H109</f>
        <v>0</v>
      </c>
      <c r="M154" s="7" t="e">
        <f t="shared" si="79"/>
        <v>#DIV/0!</v>
      </c>
    </row>
    <row r="155" spans="1:13" ht="31.5" customHeight="1" hidden="1">
      <c r="A155" s="26" t="s">
        <v>170</v>
      </c>
      <c r="B155" s="42" t="s">
        <v>157</v>
      </c>
      <c r="C155" s="42" t="s">
        <v>179</v>
      </c>
      <c r="D155" s="42" t="s">
        <v>227</v>
      </c>
      <c r="E155" s="42" t="s">
        <v>171</v>
      </c>
      <c r="F155" s="11">
        <f aca="true" t="shared" si="88" ref="F155:L155">F156</f>
        <v>0</v>
      </c>
      <c r="G155" s="11">
        <f t="shared" si="88"/>
        <v>0</v>
      </c>
      <c r="H155" s="11">
        <f t="shared" si="88"/>
        <v>0</v>
      </c>
      <c r="I155" s="11">
        <f t="shared" si="88"/>
        <v>0</v>
      </c>
      <c r="J155" s="11">
        <f t="shared" si="88"/>
        <v>0</v>
      </c>
      <c r="K155" s="11">
        <f t="shared" si="88"/>
        <v>0</v>
      </c>
      <c r="L155" s="11">
        <f t="shared" si="88"/>
        <v>0</v>
      </c>
      <c r="M155" s="7" t="e">
        <f t="shared" si="79"/>
        <v>#DIV/0!</v>
      </c>
    </row>
    <row r="156" spans="1:13" ht="47.25" customHeight="1" hidden="1">
      <c r="A156" s="26" t="s">
        <v>172</v>
      </c>
      <c r="B156" s="42" t="s">
        <v>157</v>
      </c>
      <c r="C156" s="42" t="s">
        <v>179</v>
      </c>
      <c r="D156" s="42" t="s">
        <v>227</v>
      </c>
      <c r="E156" s="42" t="s">
        <v>173</v>
      </c>
      <c r="F156" s="11"/>
      <c r="G156" s="11"/>
      <c r="H156" s="11"/>
      <c r="I156" s="11"/>
      <c r="J156" s="11"/>
      <c r="K156" s="11"/>
      <c r="L156" s="11"/>
      <c r="M156" s="7" t="e">
        <f t="shared" si="79"/>
        <v>#DIV/0!</v>
      </c>
    </row>
    <row r="157" spans="1:13" ht="47.25">
      <c r="A157" s="47" t="s">
        <v>228</v>
      </c>
      <c r="B157" s="42" t="s">
        <v>157</v>
      </c>
      <c r="C157" s="42" t="s">
        <v>179</v>
      </c>
      <c r="D157" s="42" t="s">
        <v>229</v>
      </c>
      <c r="E157" s="42"/>
      <c r="F157" s="7" t="e">
        <f>F158</f>
        <v>#REF!</v>
      </c>
      <c r="G157" s="7" t="e">
        <f aca="true" t="shared" si="89" ref="G157:L158">G158</f>
        <v>#REF!</v>
      </c>
      <c r="H157" s="7" t="e">
        <f t="shared" si="89"/>
        <v>#REF!</v>
      </c>
      <c r="I157" s="7" t="e">
        <f t="shared" si="89"/>
        <v>#REF!</v>
      </c>
      <c r="J157" s="7" t="e">
        <f t="shared" si="89"/>
        <v>#REF!</v>
      </c>
      <c r="K157" s="7">
        <f>K158+K160</f>
        <v>715.9</v>
      </c>
      <c r="L157" s="7">
        <f aca="true" t="shared" si="90" ref="L157">L158+L160</f>
        <v>639.5</v>
      </c>
      <c r="M157" s="7">
        <f t="shared" si="79"/>
        <v>89.32811845229782</v>
      </c>
    </row>
    <row r="158" spans="1:13" ht="78.75">
      <c r="A158" s="31" t="s">
        <v>166</v>
      </c>
      <c r="B158" s="42" t="s">
        <v>157</v>
      </c>
      <c r="C158" s="42" t="s">
        <v>179</v>
      </c>
      <c r="D158" s="42" t="s">
        <v>229</v>
      </c>
      <c r="E158" s="42" t="s">
        <v>167</v>
      </c>
      <c r="F158" s="7" t="e">
        <f>F159</f>
        <v>#REF!</v>
      </c>
      <c r="G158" s="7" t="e">
        <f t="shared" si="89"/>
        <v>#REF!</v>
      </c>
      <c r="H158" s="7" t="e">
        <f t="shared" si="89"/>
        <v>#REF!</v>
      </c>
      <c r="I158" s="7" t="e">
        <f t="shared" si="89"/>
        <v>#REF!</v>
      </c>
      <c r="J158" s="7" t="e">
        <f t="shared" si="89"/>
        <v>#REF!</v>
      </c>
      <c r="K158" s="7">
        <f t="shared" si="89"/>
        <v>503.2</v>
      </c>
      <c r="L158" s="7">
        <f t="shared" si="89"/>
        <v>457.5</v>
      </c>
      <c r="M158" s="7">
        <f t="shared" si="79"/>
        <v>90.9181240063593</v>
      </c>
    </row>
    <row r="159" spans="1:13" ht="31.5">
      <c r="A159" s="31" t="s">
        <v>168</v>
      </c>
      <c r="B159" s="42" t="s">
        <v>157</v>
      </c>
      <c r="C159" s="42" t="s">
        <v>179</v>
      </c>
      <c r="D159" s="42" t="s">
        <v>229</v>
      </c>
      <c r="E159" s="42" t="s">
        <v>169</v>
      </c>
      <c r="F159" s="7" t="e">
        <f>#REF!</f>
        <v>#REF!</v>
      </c>
      <c r="G159" s="7" t="e">
        <f>#REF!</f>
        <v>#REF!</v>
      </c>
      <c r="H159" s="7" t="e">
        <f>#REF!</f>
        <v>#REF!</v>
      </c>
      <c r="I159" s="7" t="e">
        <f>#REF!</f>
        <v>#REF!</v>
      </c>
      <c r="J159" s="7" t="e">
        <f>#REF!</f>
        <v>#REF!</v>
      </c>
      <c r="K159" s="7">
        <f>'Прил.№4 ведомств.'!G114</f>
        <v>503.2</v>
      </c>
      <c r="L159" s="7">
        <f>'Прил.№4 ведомств.'!H114</f>
        <v>457.5</v>
      </c>
      <c r="M159" s="7">
        <f t="shared" si="79"/>
        <v>90.9181240063593</v>
      </c>
    </row>
    <row r="160" spans="1:13" ht="31.5">
      <c r="A160" s="26" t="s">
        <v>170</v>
      </c>
      <c r="B160" s="42" t="s">
        <v>157</v>
      </c>
      <c r="C160" s="42" t="s">
        <v>179</v>
      </c>
      <c r="D160" s="42" t="s">
        <v>229</v>
      </c>
      <c r="E160" s="42" t="s">
        <v>171</v>
      </c>
      <c r="F160" s="7"/>
      <c r="G160" s="7"/>
      <c r="H160" s="7"/>
      <c r="I160" s="7"/>
      <c r="J160" s="7"/>
      <c r="K160" s="7">
        <f>K161</f>
        <v>212.7</v>
      </c>
      <c r="L160" s="7">
        <f aca="true" t="shared" si="91" ref="L160">L161</f>
        <v>182</v>
      </c>
      <c r="M160" s="7">
        <f t="shared" si="79"/>
        <v>85.56652562294312</v>
      </c>
    </row>
    <row r="161" spans="1:13" ht="47.25">
      <c r="A161" s="26" t="s">
        <v>172</v>
      </c>
      <c r="B161" s="42" t="s">
        <v>157</v>
      </c>
      <c r="C161" s="42" t="s">
        <v>179</v>
      </c>
      <c r="D161" s="42" t="s">
        <v>229</v>
      </c>
      <c r="E161" s="42" t="s">
        <v>173</v>
      </c>
      <c r="F161" s="7"/>
      <c r="G161" s="7"/>
      <c r="H161" s="7"/>
      <c r="I161" s="7"/>
      <c r="J161" s="7"/>
      <c r="K161" s="7">
        <f>'Прил.№4 ведомств.'!G116</f>
        <v>212.7</v>
      </c>
      <c r="L161" s="7">
        <f>'Прил.№4 ведомств.'!H116</f>
        <v>182</v>
      </c>
      <c r="M161" s="7">
        <f t="shared" si="79"/>
        <v>85.56652562294312</v>
      </c>
    </row>
    <row r="162" spans="1:13" ht="47.25" hidden="1">
      <c r="A162" s="37" t="s">
        <v>805</v>
      </c>
      <c r="B162" s="42" t="s">
        <v>157</v>
      </c>
      <c r="C162" s="42" t="s">
        <v>179</v>
      </c>
      <c r="D162" s="42" t="s">
        <v>804</v>
      </c>
      <c r="E162" s="42"/>
      <c r="F162" s="7" t="e">
        <f>F163</f>
        <v>#REF!</v>
      </c>
      <c r="G162" s="7" t="e">
        <f aca="true" t="shared" si="92" ref="G162:L163">G163</f>
        <v>#REF!</v>
      </c>
      <c r="H162" s="7" t="e">
        <f t="shared" si="92"/>
        <v>#REF!</v>
      </c>
      <c r="I162" s="7" t="e">
        <f t="shared" si="92"/>
        <v>#REF!</v>
      </c>
      <c r="J162" s="7" t="e">
        <f t="shared" si="92"/>
        <v>#REF!</v>
      </c>
      <c r="K162" s="7">
        <f t="shared" si="92"/>
        <v>0</v>
      </c>
      <c r="L162" s="7">
        <f t="shared" si="92"/>
        <v>0</v>
      </c>
      <c r="M162" s="7" t="e">
        <f t="shared" si="79"/>
        <v>#DIV/0!</v>
      </c>
    </row>
    <row r="163" spans="1:13" ht="31.5" hidden="1">
      <c r="A163" s="26" t="s">
        <v>170</v>
      </c>
      <c r="B163" s="42" t="s">
        <v>157</v>
      </c>
      <c r="C163" s="42" t="s">
        <v>179</v>
      </c>
      <c r="D163" s="42" t="s">
        <v>804</v>
      </c>
      <c r="E163" s="42" t="s">
        <v>171</v>
      </c>
      <c r="F163" s="7" t="e">
        <f>F164</f>
        <v>#REF!</v>
      </c>
      <c r="G163" s="7" t="e">
        <f t="shared" si="92"/>
        <v>#REF!</v>
      </c>
      <c r="H163" s="7" t="e">
        <f t="shared" si="92"/>
        <v>#REF!</v>
      </c>
      <c r="I163" s="7" t="e">
        <f t="shared" si="92"/>
        <v>#REF!</v>
      </c>
      <c r="J163" s="7" t="e">
        <f t="shared" si="92"/>
        <v>#REF!</v>
      </c>
      <c r="K163" s="7">
        <f t="shared" si="92"/>
        <v>0</v>
      </c>
      <c r="L163" s="7">
        <f t="shared" si="92"/>
        <v>0</v>
      </c>
      <c r="M163" s="7" t="e">
        <f t="shared" si="79"/>
        <v>#DIV/0!</v>
      </c>
    </row>
    <row r="164" spans="1:13" ht="47.25" hidden="1">
      <c r="A164" s="26" t="s">
        <v>172</v>
      </c>
      <c r="B164" s="42" t="s">
        <v>157</v>
      </c>
      <c r="C164" s="42" t="s">
        <v>179</v>
      </c>
      <c r="D164" s="42" t="s">
        <v>804</v>
      </c>
      <c r="E164" s="42" t="s">
        <v>173</v>
      </c>
      <c r="F164" s="7" t="e">
        <f>#REF!</f>
        <v>#REF!</v>
      </c>
      <c r="G164" s="7" t="e">
        <f>#REF!</f>
        <v>#REF!</v>
      </c>
      <c r="H164" s="7" t="e">
        <f>#REF!</f>
        <v>#REF!</v>
      </c>
      <c r="I164" s="7" t="e">
        <f>#REF!</f>
        <v>#REF!</v>
      </c>
      <c r="J164" s="7" t="e">
        <f>#REF!</f>
        <v>#REF!</v>
      </c>
      <c r="K164" s="7">
        <f>'Прил.№4 ведомств.'!G277</f>
        <v>0</v>
      </c>
      <c r="L164" s="7">
        <f>'Прил.№4 ведомств.'!H277</f>
        <v>0</v>
      </c>
      <c r="M164" s="7" t="e">
        <f t="shared" si="79"/>
        <v>#DIV/0!</v>
      </c>
    </row>
    <row r="165" spans="1:13" ht="63">
      <c r="A165" s="33" t="s">
        <v>756</v>
      </c>
      <c r="B165" s="42" t="s">
        <v>157</v>
      </c>
      <c r="C165" s="42" t="s">
        <v>179</v>
      </c>
      <c r="D165" s="21" t="s">
        <v>758</v>
      </c>
      <c r="E165" s="42"/>
      <c r="F165" s="7" t="e">
        <f>F166</f>
        <v>#REF!</v>
      </c>
      <c r="G165" s="7" t="e">
        <f aca="true" t="shared" si="93" ref="G165:L166">G166</f>
        <v>#REF!</v>
      </c>
      <c r="H165" s="7" t="e">
        <f t="shared" si="93"/>
        <v>#REF!</v>
      </c>
      <c r="I165" s="7" t="e">
        <f t="shared" si="93"/>
        <v>#REF!</v>
      </c>
      <c r="J165" s="7" t="e">
        <f t="shared" si="93"/>
        <v>#REF!</v>
      </c>
      <c r="K165" s="7">
        <f t="shared" si="93"/>
        <v>25</v>
      </c>
      <c r="L165" s="7">
        <f t="shared" si="93"/>
        <v>20</v>
      </c>
      <c r="M165" s="7">
        <f t="shared" si="79"/>
        <v>80</v>
      </c>
    </row>
    <row r="166" spans="1:13" ht="31.5">
      <c r="A166" s="26" t="s">
        <v>170</v>
      </c>
      <c r="B166" s="42" t="s">
        <v>157</v>
      </c>
      <c r="C166" s="42" t="s">
        <v>179</v>
      </c>
      <c r="D166" s="21" t="s">
        <v>758</v>
      </c>
      <c r="E166" s="42" t="s">
        <v>171</v>
      </c>
      <c r="F166" s="7" t="e">
        <f>F167</f>
        <v>#REF!</v>
      </c>
      <c r="G166" s="7" t="e">
        <f t="shared" si="93"/>
        <v>#REF!</v>
      </c>
      <c r="H166" s="7" t="e">
        <f t="shared" si="93"/>
        <v>#REF!</v>
      </c>
      <c r="I166" s="7" t="e">
        <f t="shared" si="93"/>
        <v>#REF!</v>
      </c>
      <c r="J166" s="7" t="e">
        <f t="shared" si="93"/>
        <v>#REF!</v>
      </c>
      <c r="K166" s="7">
        <f t="shared" si="93"/>
        <v>25</v>
      </c>
      <c r="L166" s="7">
        <f t="shared" si="93"/>
        <v>20</v>
      </c>
      <c r="M166" s="7">
        <f t="shared" si="79"/>
        <v>80</v>
      </c>
    </row>
    <row r="167" spans="1:13" ht="47.25">
      <c r="A167" s="26" t="s">
        <v>172</v>
      </c>
      <c r="B167" s="42" t="s">
        <v>157</v>
      </c>
      <c r="C167" s="42" t="s">
        <v>179</v>
      </c>
      <c r="D167" s="21" t="s">
        <v>758</v>
      </c>
      <c r="E167" s="42" t="s">
        <v>173</v>
      </c>
      <c r="F167" s="7" t="e">
        <f>#REF!</f>
        <v>#REF!</v>
      </c>
      <c r="G167" s="7" t="e">
        <f>#REF!</f>
        <v>#REF!</v>
      </c>
      <c r="H167" s="7" t="e">
        <f>#REF!</f>
        <v>#REF!</v>
      </c>
      <c r="I167" s="7" t="e">
        <f>#REF!</f>
        <v>#REF!</v>
      </c>
      <c r="J167" s="7" t="e">
        <f>#REF!</f>
        <v>#REF!</v>
      </c>
      <c r="K167" s="7">
        <f>'Прил.№4 ведомств.'!G1267</f>
        <v>25</v>
      </c>
      <c r="L167" s="7">
        <f>'Прил.№4 ведомств.'!H1267</f>
        <v>20</v>
      </c>
      <c r="M167" s="7">
        <f t="shared" si="79"/>
        <v>80</v>
      </c>
    </row>
    <row r="168" spans="1:13" ht="47.25">
      <c r="A168" s="35" t="s">
        <v>230</v>
      </c>
      <c r="B168" s="21" t="s">
        <v>157</v>
      </c>
      <c r="C168" s="21" t="s">
        <v>179</v>
      </c>
      <c r="D168" s="21" t="s">
        <v>231</v>
      </c>
      <c r="E168" s="21"/>
      <c r="F168" s="11" t="e">
        <f>F169</f>
        <v>#REF!</v>
      </c>
      <c r="G168" s="11" t="e">
        <f aca="true" t="shared" si="94" ref="G168:L169">G169</f>
        <v>#REF!</v>
      </c>
      <c r="H168" s="11" t="e">
        <f t="shared" si="94"/>
        <v>#REF!</v>
      </c>
      <c r="I168" s="11" t="e">
        <f t="shared" si="94"/>
        <v>#REF!</v>
      </c>
      <c r="J168" s="11" t="e">
        <f t="shared" si="94"/>
        <v>#REF!</v>
      </c>
      <c r="K168" s="11">
        <f t="shared" si="94"/>
        <v>40</v>
      </c>
      <c r="L168" s="11">
        <f t="shared" si="94"/>
        <v>0</v>
      </c>
      <c r="M168" s="7">
        <f t="shared" si="79"/>
        <v>0</v>
      </c>
    </row>
    <row r="169" spans="1:13" ht="31.5">
      <c r="A169" s="26" t="s">
        <v>170</v>
      </c>
      <c r="B169" s="21" t="s">
        <v>157</v>
      </c>
      <c r="C169" s="21" t="s">
        <v>179</v>
      </c>
      <c r="D169" s="21" t="s">
        <v>231</v>
      </c>
      <c r="E169" s="21" t="s">
        <v>171</v>
      </c>
      <c r="F169" s="11" t="e">
        <f>F170</f>
        <v>#REF!</v>
      </c>
      <c r="G169" s="11" t="e">
        <f t="shared" si="94"/>
        <v>#REF!</v>
      </c>
      <c r="H169" s="11" t="e">
        <f t="shared" si="94"/>
        <v>#REF!</v>
      </c>
      <c r="I169" s="11" t="e">
        <f t="shared" si="94"/>
        <v>#REF!</v>
      </c>
      <c r="J169" s="11" t="e">
        <f t="shared" si="94"/>
        <v>#REF!</v>
      </c>
      <c r="K169" s="11">
        <f t="shared" si="94"/>
        <v>40</v>
      </c>
      <c r="L169" s="11">
        <f t="shared" si="94"/>
        <v>0</v>
      </c>
      <c r="M169" s="7">
        <f t="shared" si="79"/>
        <v>0</v>
      </c>
    </row>
    <row r="170" spans="1:13" ht="47.25">
      <c r="A170" s="26" t="s">
        <v>172</v>
      </c>
      <c r="B170" s="21" t="s">
        <v>157</v>
      </c>
      <c r="C170" s="21" t="s">
        <v>179</v>
      </c>
      <c r="D170" s="21" t="s">
        <v>231</v>
      </c>
      <c r="E170" s="21" t="s">
        <v>173</v>
      </c>
      <c r="F170" s="11" t="e">
        <f>#REF!</f>
        <v>#REF!</v>
      </c>
      <c r="G170" s="11" t="e">
        <f>#REF!</f>
        <v>#REF!</v>
      </c>
      <c r="H170" s="11" t="e">
        <f>#REF!</f>
        <v>#REF!</v>
      </c>
      <c r="I170" s="11" t="e">
        <f>#REF!</f>
        <v>#REF!</v>
      </c>
      <c r="J170" s="11" t="e">
        <f>#REF!</f>
        <v>#REF!</v>
      </c>
      <c r="K170" s="11">
        <f>'Прил.№4 ведомств.'!G119</f>
        <v>40</v>
      </c>
      <c r="L170" s="11">
        <f>'Прил.№4 ведомств.'!H119</f>
        <v>0</v>
      </c>
      <c r="M170" s="7">
        <f t="shared" si="79"/>
        <v>0</v>
      </c>
    </row>
    <row r="171" spans="1:13" ht="47.25">
      <c r="A171" s="33" t="s">
        <v>233</v>
      </c>
      <c r="B171" s="42" t="s">
        <v>157</v>
      </c>
      <c r="C171" s="42" t="s">
        <v>179</v>
      </c>
      <c r="D171" s="42" t="s">
        <v>234</v>
      </c>
      <c r="E171" s="42"/>
      <c r="F171" s="7" t="e">
        <f>SUM(F172:F172)</f>
        <v>#REF!</v>
      </c>
      <c r="G171" s="7" t="e">
        <f>SUM(G172:G172)</f>
        <v>#REF!</v>
      </c>
      <c r="H171" s="7" t="e">
        <f>SUM(H172:H172)</f>
        <v>#REF!</v>
      </c>
      <c r="I171" s="7" t="e">
        <f>SUM(I172:I172)</f>
        <v>#REF!</v>
      </c>
      <c r="J171" s="7" t="e">
        <f>SUM(J172:J172)</f>
        <v>#REF!</v>
      </c>
      <c r="K171" s="7">
        <f>K172+K174</f>
        <v>1333.1</v>
      </c>
      <c r="L171" s="7">
        <f aca="true" t="shared" si="95" ref="L171">L172+L174</f>
        <v>746.8</v>
      </c>
      <c r="M171" s="7">
        <f t="shared" si="79"/>
        <v>56.01980346560648</v>
      </c>
    </row>
    <row r="172" spans="1:13" ht="78.75">
      <c r="A172" s="31" t="s">
        <v>166</v>
      </c>
      <c r="B172" s="42" t="s">
        <v>157</v>
      </c>
      <c r="C172" s="42" t="s">
        <v>179</v>
      </c>
      <c r="D172" s="42" t="s">
        <v>234</v>
      </c>
      <c r="E172" s="42" t="s">
        <v>167</v>
      </c>
      <c r="F172" s="7" t="e">
        <f aca="true" t="shared" si="96" ref="F172:L172">F173</f>
        <v>#REF!</v>
      </c>
      <c r="G172" s="7" t="e">
        <f t="shared" si="96"/>
        <v>#REF!</v>
      </c>
      <c r="H172" s="7" t="e">
        <f t="shared" si="96"/>
        <v>#REF!</v>
      </c>
      <c r="I172" s="7" t="e">
        <f t="shared" si="96"/>
        <v>#REF!</v>
      </c>
      <c r="J172" s="7" t="e">
        <f t="shared" si="96"/>
        <v>#REF!</v>
      </c>
      <c r="K172" s="7">
        <f t="shared" si="96"/>
        <v>1271.8999999999999</v>
      </c>
      <c r="L172" s="7">
        <f t="shared" si="96"/>
        <v>724.4</v>
      </c>
      <c r="M172" s="7">
        <f t="shared" si="79"/>
        <v>56.9541630631339</v>
      </c>
    </row>
    <row r="173" spans="1:13" ht="31.5">
      <c r="A173" s="31" t="s">
        <v>168</v>
      </c>
      <c r="B173" s="42" t="s">
        <v>157</v>
      </c>
      <c r="C173" s="42" t="s">
        <v>179</v>
      </c>
      <c r="D173" s="42" t="s">
        <v>234</v>
      </c>
      <c r="E173" s="42" t="s">
        <v>169</v>
      </c>
      <c r="F173" s="7" t="e">
        <f>#REF!</f>
        <v>#REF!</v>
      </c>
      <c r="G173" s="7" t="e">
        <f>#REF!</f>
        <v>#REF!</v>
      </c>
      <c r="H173" s="7" t="e">
        <f>#REF!</f>
        <v>#REF!</v>
      </c>
      <c r="I173" s="7" t="e">
        <f>#REF!</f>
        <v>#REF!</v>
      </c>
      <c r="J173" s="7" t="e">
        <f>#REF!</f>
        <v>#REF!</v>
      </c>
      <c r="K173" s="7">
        <f>'Прил.№4 ведомств.'!G125</f>
        <v>1271.8999999999999</v>
      </c>
      <c r="L173" s="7">
        <f>'Прил.№4 ведомств.'!H125</f>
        <v>724.4</v>
      </c>
      <c r="M173" s="7">
        <f t="shared" si="79"/>
        <v>56.9541630631339</v>
      </c>
    </row>
    <row r="174" spans="1:13" ht="31.5">
      <c r="A174" s="26" t="s">
        <v>170</v>
      </c>
      <c r="B174" s="42" t="s">
        <v>157</v>
      </c>
      <c r="C174" s="42" t="s">
        <v>179</v>
      </c>
      <c r="D174" s="42" t="s">
        <v>234</v>
      </c>
      <c r="E174" s="42" t="s">
        <v>171</v>
      </c>
      <c r="F174" s="7"/>
      <c r="G174" s="7"/>
      <c r="H174" s="7"/>
      <c r="I174" s="7"/>
      <c r="J174" s="7"/>
      <c r="K174" s="7">
        <f>K175</f>
        <v>61.2</v>
      </c>
      <c r="L174" s="7">
        <f aca="true" t="shared" si="97" ref="L174">L175</f>
        <v>22.4</v>
      </c>
      <c r="M174" s="7">
        <f t="shared" si="79"/>
        <v>36.60130718954248</v>
      </c>
    </row>
    <row r="175" spans="1:13" ht="47.25">
      <c r="A175" s="26" t="s">
        <v>172</v>
      </c>
      <c r="B175" s="42" t="s">
        <v>157</v>
      </c>
      <c r="C175" s="42" t="s">
        <v>179</v>
      </c>
      <c r="D175" s="42" t="s">
        <v>234</v>
      </c>
      <c r="E175" s="42" t="s">
        <v>173</v>
      </c>
      <c r="F175" s="7"/>
      <c r="G175" s="7"/>
      <c r="H175" s="7"/>
      <c r="I175" s="7"/>
      <c r="J175" s="7"/>
      <c r="K175" s="7">
        <f>'Прил.№4 ведомств.'!G127</f>
        <v>61.2</v>
      </c>
      <c r="L175" s="7">
        <f>'Прил.№4 ведомств.'!H127</f>
        <v>22.4</v>
      </c>
      <c r="M175" s="7">
        <f t="shared" si="79"/>
        <v>36.60130718954248</v>
      </c>
    </row>
    <row r="176" spans="1:13" ht="47.25">
      <c r="A176" s="47" t="s">
        <v>235</v>
      </c>
      <c r="B176" s="42" t="s">
        <v>157</v>
      </c>
      <c r="C176" s="42" t="s">
        <v>179</v>
      </c>
      <c r="D176" s="42" t="s">
        <v>236</v>
      </c>
      <c r="E176" s="42"/>
      <c r="F176" s="7" t="e">
        <f aca="true" t="shared" si="98" ref="F176:K176">F177+F179</f>
        <v>#REF!</v>
      </c>
      <c r="G176" s="7" t="e">
        <f t="shared" si="98"/>
        <v>#REF!</v>
      </c>
      <c r="H176" s="7" t="e">
        <f t="shared" si="98"/>
        <v>#REF!</v>
      </c>
      <c r="I176" s="7" t="e">
        <f t="shared" si="98"/>
        <v>#REF!</v>
      </c>
      <c r="J176" s="7" t="e">
        <f t="shared" si="98"/>
        <v>#REF!</v>
      </c>
      <c r="K176" s="7">
        <f t="shared" si="98"/>
        <v>1106.2</v>
      </c>
      <c r="L176" s="7">
        <f aca="true" t="shared" si="99" ref="L176">L177+L179</f>
        <v>570.7</v>
      </c>
      <c r="M176" s="7">
        <f t="shared" si="79"/>
        <v>51.59103236304466</v>
      </c>
    </row>
    <row r="177" spans="1:13" ht="78.75">
      <c r="A177" s="31" t="s">
        <v>166</v>
      </c>
      <c r="B177" s="42" t="s">
        <v>157</v>
      </c>
      <c r="C177" s="42" t="s">
        <v>179</v>
      </c>
      <c r="D177" s="42" t="s">
        <v>236</v>
      </c>
      <c r="E177" s="42" t="s">
        <v>167</v>
      </c>
      <c r="F177" s="7" t="e">
        <f aca="true" t="shared" si="100" ref="F177:L177">F178</f>
        <v>#REF!</v>
      </c>
      <c r="G177" s="7" t="e">
        <f t="shared" si="100"/>
        <v>#REF!</v>
      </c>
      <c r="H177" s="7" t="e">
        <f t="shared" si="100"/>
        <v>#REF!</v>
      </c>
      <c r="I177" s="7" t="e">
        <f t="shared" si="100"/>
        <v>#REF!</v>
      </c>
      <c r="J177" s="7" t="e">
        <f t="shared" si="100"/>
        <v>#REF!</v>
      </c>
      <c r="K177" s="7">
        <f t="shared" si="100"/>
        <v>1043.2</v>
      </c>
      <c r="L177" s="7">
        <f t="shared" si="100"/>
        <v>562.7</v>
      </c>
      <c r="M177" s="7">
        <f t="shared" si="79"/>
        <v>53.939800613496935</v>
      </c>
    </row>
    <row r="178" spans="1:13" ht="31.5">
      <c r="A178" s="31" t="s">
        <v>168</v>
      </c>
      <c r="B178" s="42" t="s">
        <v>157</v>
      </c>
      <c r="C178" s="42" t="s">
        <v>179</v>
      </c>
      <c r="D178" s="42" t="s">
        <v>236</v>
      </c>
      <c r="E178" s="42" t="s">
        <v>169</v>
      </c>
      <c r="F178" s="7" t="e">
        <f>#REF!</f>
        <v>#REF!</v>
      </c>
      <c r="G178" s="7" t="e">
        <f>#REF!</f>
        <v>#REF!</v>
      </c>
      <c r="H178" s="7" t="e">
        <f>#REF!</f>
        <v>#REF!</v>
      </c>
      <c r="I178" s="7" t="e">
        <f>#REF!</f>
        <v>#REF!</v>
      </c>
      <c r="J178" s="7" t="e">
        <f>#REF!</f>
        <v>#REF!</v>
      </c>
      <c r="K178" s="7">
        <f>'Прил.№4 ведомств.'!G130</f>
        <v>1043.2</v>
      </c>
      <c r="L178" s="7">
        <f>'Прил.№4 ведомств.'!H130</f>
        <v>562.7</v>
      </c>
      <c r="M178" s="7">
        <f t="shared" si="79"/>
        <v>53.939800613496935</v>
      </c>
    </row>
    <row r="179" spans="1:13" ht="31.5">
      <c r="A179" s="31" t="s">
        <v>170</v>
      </c>
      <c r="B179" s="42" t="s">
        <v>157</v>
      </c>
      <c r="C179" s="42" t="s">
        <v>179</v>
      </c>
      <c r="D179" s="42" t="s">
        <v>236</v>
      </c>
      <c r="E179" s="42" t="s">
        <v>171</v>
      </c>
      <c r="F179" s="7" t="e">
        <f aca="true" t="shared" si="101" ref="F179:L179">F180</f>
        <v>#REF!</v>
      </c>
      <c r="G179" s="7" t="e">
        <f t="shared" si="101"/>
        <v>#REF!</v>
      </c>
      <c r="H179" s="7" t="e">
        <f t="shared" si="101"/>
        <v>#REF!</v>
      </c>
      <c r="I179" s="7" t="e">
        <f t="shared" si="101"/>
        <v>#REF!</v>
      </c>
      <c r="J179" s="7" t="e">
        <f t="shared" si="101"/>
        <v>#REF!</v>
      </c>
      <c r="K179" s="7">
        <f t="shared" si="101"/>
        <v>63</v>
      </c>
      <c r="L179" s="7">
        <f t="shared" si="101"/>
        <v>8</v>
      </c>
      <c r="M179" s="7">
        <f t="shared" si="79"/>
        <v>12.698412698412698</v>
      </c>
    </row>
    <row r="180" spans="1:13" ht="47.25">
      <c r="A180" s="31" t="s">
        <v>172</v>
      </c>
      <c r="B180" s="42" t="s">
        <v>157</v>
      </c>
      <c r="C180" s="42" t="s">
        <v>179</v>
      </c>
      <c r="D180" s="42" t="s">
        <v>236</v>
      </c>
      <c r="E180" s="42" t="s">
        <v>173</v>
      </c>
      <c r="F180" s="7" t="e">
        <f>#REF!</f>
        <v>#REF!</v>
      </c>
      <c r="G180" s="7" t="e">
        <f>#REF!</f>
        <v>#REF!</v>
      </c>
      <c r="H180" s="7" t="e">
        <f>#REF!</f>
        <v>#REF!</v>
      </c>
      <c r="I180" s="7" t="e">
        <f>#REF!</f>
        <v>#REF!</v>
      </c>
      <c r="J180" s="7" t="e">
        <f>#REF!</f>
        <v>#REF!</v>
      </c>
      <c r="K180" s="7">
        <f>'Прил.№4 ведомств.'!G132</f>
        <v>63</v>
      </c>
      <c r="L180" s="7">
        <f>'Прил.№4 ведомств.'!H132</f>
        <v>8</v>
      </c>
      <c r="M180" s="7">
        <f t="shared" si="79"/>
        <v>12.698412698412698</v>
      </c>
    </row>
    <row r="181" spans="1:13" ht="15.75">
      <c r="A181" s="31" t="s">
        <v>180</v>
      </c>
      <c r="B181" s="42" t="s">
        <v>157</v>
      </c>
      <c r="C181" s="42" t="s">
        <v>179</v>
      </c>
      <c r="D181" s="42" t="s">
        <v>181</v>
      </c>
      <c r="E181" s="42"/>
      <c r="F181" s="7" t="e">
        <f aca="true" t="shared" si="102" ref="F181:J181">F182+F185+F188+F193+F201</f>
        <v>#REF!</v>
      </c>
      <c r="G181" s="7" t="e">
        <f t="shared" si="102"/>
        <v>#REF!</v>
      </c>
      <c r="H181" s="7" t="e">
        <f t="shared" si="102"/>
        <v>#REF!</v>
      </c>
      <c r="I181" s="7" t="e">
        <f t="shared" si="102"/>
        <v>#REF!</v>
      </c>
      <c r="J181" s="7" t="e">
        <f t="shared" si="102"/>
        <v>#REF!</v>
      </c>
      <c r="K181" s="7">
        <f>K182+K185+K188+K193+K201+K198</f>
        <v>11156.5</v>
      </c>
      <c r="L181" s="7">
        <f aca="true" t="shared" si="103" ref="L181">L182+L185+L188+L193+L201+L198</f>
        <v>5898.9</v>
      </c>
      <c r="M181" s="7">
        <f t="shared" si="79"/>
        <v>52.87410926365796</v>
      </c>
    </row>
    <row r="182" spans="1:13" ht="47.25">
      <c r="A182" s="31" t="s">
        <v>428</v>
      </c>
      <c r="B182" s="42" t="s">
        <v>157</v>
      </c>
      <c r="C182" s="42" t="s">
        <v>179</v>
      </c>
      <c r="D182" s="42" t="s">
        <v>429</v>
      </c>
      <c r="E182" s="42"/>
      <c r="F182" s="7" t="e">
        <f>F183</f>
        <v>#REF!</v>
      </c>
      <c r="G182" s="7" t="e">
        <f aca="true" t="shared" si="104" ref="G182:L183">G183</f>
        <v>#REF!</v>
      </c>
      <c r="H182" s="7" t="e">
        <f t="shared" si="104"/>
        <v>#REF!</v>
      </c>
      <c r="I182" s="7" t="e">
        <f t="shared" si="104"/>
        <v>#REF!</v>
      </c>
      <c r="J182" s="7" t="e">
        <f t="shared" si="104"/>
        <v>#REF!</v>
      </c>
      <c r="K182" s="7">
        <f t="shared" si="104"/>
        <v>5088.799999999999</v>
      </c>
      <c r="L182" s="7">
        <f t="shared" si="104"/>
        <v>1693.1</v>
      </c>
      <c r="M182" s="7">
        <f t="shared" si="79"/>
        <v>33.27110517214275</v>
      </c>
    </row>
    <row r="183" spans="1:13" ht="31.5">
      <c r="A183" s="31" t="s">
        <v>170</v>
      </c>
      <c r="B183" s="42" t="s">
        <v>157</v>
      </c>
      <c r="C183" s="42" t="s">
        <v>179</v>
      </c>
      <c r="D183" s="42" t="s">
        <v>429</v>
      </c>
      <c r="E183" s="42" t="s">
        <v>171</v>
      </c>
      <c r="F183" s="63" t="e">
        <f>F184</f>
        <v>#REF!</v>
      </c>
      <c r="G183" s="63" t="e">
        <f t="shared" si="104"/>
        <v>#REF!</v>
      </c>
      <c r="H183" s="63" t="e">
        <f t="shared" si="104"/>
        <v>#REF!</v>
      </c>
      <c r="I183" s="63" t="e">
        <f t="shared" si="104"/>
        <v>#REF!</v>
      </c>
      <c r="J183" s="63" t="e">
        <f t="shared" si="104"/>
        <v>#REF!</v>
      </c>
      <c r="K183" s="63">
        <f t="shared" si="104"/>
        <v>5088.799999999999</v>
      </c>
      <c r="L183" s="63">
        <f t="shared" si="104"/>
        <v>1693.1</v>
      </c>
      <c r="M183" s="7">
        <f t="shared" si="79"/>
        <v>33.27110517214275</v>
      </c>
    </row>
    <row r="184" spans="1:13" ht="48" customHeight="1">
      <c r="A184" s="31" t="s">
        <v>172</v>
      </c>
      <c r="B184" s="42" t="s">
        <v>157</v>
      </c>
      <c r="C184" s="42" t="s">
        <v>179</v>
      </c>
      <c r="D184" s="42" t="s">
        <v>429</v>
      </c>
      <c r="E184" s="42" t="s">
        <v>173</v>
      </c>
      <c r="F184" s="63" t="e">
        <f>#REF!</f>
        <v>#REF!</v>
      </c>
      <c r="G184" s="63" t="e">
        <f>#REF!</f>
        <v>#REF!</v>
      </c>
      <c r="H184" s="63" t="e">
        <f>#REF!</f>
        <v>#REF!</v>
      </c>
      <c r="I184" s="63" t="e">
        <f>#REF!</f>
        <v>#REF!</v>
      </c>
      <c r="J184" s="63" t="e">
        <f>#REF!</f>
        <v>#REF!</v>
      </c>
      <c r="K184" s="63">
        <f>'Прил.№4 ведомств.'!G635</f>
        <v>5088.799999999999</v>
      </c>
      <c r="L184" s="63">
        <f>'Прил.№4 ведомств.'!H635</f>
        <v>1693.1</v>
      </c>
      <c r="M184" s="7">
        <f t="shared" si="79"/>
        <v>33.27110517214275</v>
      </c>
    </row>
    <row r="185" spans="1:13" ht="15.75" hidden="1">
      <c r="A185" s="26" t="s">
        <v>238</v>
      </c>
      <c r="B185" s="42" t="s">
        <v>157</v>
      </c>
      <c r="C185" s="42" t="s">
        <v>179</v>
      </c>
      <c r="D185" s="42" t="s">
        <v>239</v>
      </c>
      <c r="E185" s="42"/>
      <c r="F185" s="7" t="e">
        <f>F186</f>
        <v>#REF!</v>
      </c>
      <c r="G185" s="7" t="e">
        <f aca="true" t="shared" si="105" ref="G185:L186">G186</f>
        <v>#REF!</v>
      </c>
      <c r="H185" s="7" t="e">
        <f t="shared" si="105"/>
        <v>#REF!</v>
      </c>
      <c r="I185" s="7" t="e">
        <f t="shared" si="105"/>
        <v>#REF!</v>
      </c>
      <c r="J185" s="7" t="e">
        <f t="shared" si="105"/>
        <v>#REF!</v>
      </c>
      <c r="K185" s="7">
        <f t="shared" si="105"/>
        <v>0</v>
      </c>
      <c r="L185" s="7">
        <f t="shared" si="105"/>
        <v>0</v>
      </c>
      <c r="M185" s="7" t="e">
        <f t="shared" si="79"/>
        <v>#DIV/0!</v>
      </c>
    </row>
    <row r="186" spans="1:13" ht="15.75" hidden="1">
      <c r="A186" s="26" t="s">
        <v>174</v>
      </c>
      <c r="B186" s="42" t="s">
        <v>157</v>
      </c>
      <c r="C186" s="42" t="s">
        <v>179</v>
      </c>
      <c r="D186" s="42" t="s">
        <v>239</v>
      </c>
      <c r="E186" s="42" t="s">
        <v>184</v>
      </c>
      <c r="F186" s="7" t="e">
        <f>F187</f>
        <v>#REF!</v>
      </c>
      <c r="G186" s="7" t="e">
        <f t="shared" si="105"/>
        <v>#REF!</v>
      </c>
      <c r="H186" s="7" t="e">
        <f t="shared" si="105"/>
        <v>#REF!</v>
      </c>
      <c r="I186" s="7" t="e">
        <f t="shared" si="105"/>
        <v>#REF!</v>
      </c>
      <c r="J186" s="7" t="e">
        <f t="shared" si="105"/>
        <v>#REF!</v>
      </c>
      <c r="K186" s="7">
        <f t="shared" si="105"/>
        <v>0</v>
      </c>
      <c r="L186" s="7">
        <f t="shared" si="105"/>
        <v>0</v>
      </c>
      <c r="M186" s="7" t="e">
        <f t="shared" si="79"/>
        <v>#DIV/0!</v>
      </c>
    </row>
    <row r="187" spans="1:13" ht="15.75" hidden="1">
      <c r="A187" s="26" t="s">
        <v>1036</v>
      </c>
      <c r="B187" s="42" t="s">
        <v>157</v>
      </c>
      <c r="C187" s="42" t="s">
        <v>179</v>
      </c>
      <c r="D187" s="42" t="s">
        <v>239</v>
      </c>
      <c r="E187" s="42" t="s">
        <v>1037</v>
      </c>
      <c r="F187" s="7" t="e">
        <f>#REF!</f>
        <v>#REF!</v>
      </c>
      <c r="G187" s="7" t="e">
        <f>#REF!</f>
        <v>#REF!</v>
      </c>
      <c r="H187" s="7" t="e">
        <f>#REF!</f>
        <v>#REF!</v>
      </c>
      <c r="I187" s="7" t="e">
        <f>#REF!</f>
        <v>#REF!</v>
      </c>
      <c r="J187" s="7" t="e">
        <f>#REF!</f>
        <v>#REF!</v>
      </c>
      <c r="K187" s="7">
        <f>'Прил.№4 ведомств.'!G26</f>
        <v>0</v>
      </c>
      <c r="L187" s="7">
        <f>'Прил.№4 ведомств.'!H26</f>
        <v>0</v>
      </c>
      <c r="M187" s="7" t="e">
        <f t="shared" si="79"/>
        <v>#DIV/0!</v>
      </c>
    </row>
    <row r="188" spans="1:13" ht="15.75">
      <c r="A188" s="31" t="s">
        <v>245</v>
      </c>
      <c r="B188" s="42" t="s">
        <v>157</v>
      </c>
      <c r="C188" s="42" t="s">
        <v>179</v>
      </c>
      <c r="D188" s="42" t="s">
        <v>246</v>
      </c>
      <c r="E188" s="42"/>
      <c r="F188" s="7" t="e">
        <f aca="true" t="shared" si="106" ref="F188:K188">F189+F191</f>
        <v>#REF!</v>
      </c>
      <c r="G188" s="7" t="e">
        <f t="shared" si="106"/>
        <v>#REF!</v>
      </c>
      <c r="H188" s="7" t="e">
        <f t="shared" si="106"/>
        <v>#REF!</v>
      </c>
      <c r="I188" s="7" t="e">
        <f t="shared" si="106"/>
        <v>#REF!</v>
      </c>
      <c r="J188" s="7" t="e">
        <f t="shared" si="106"/>
        <v>#REF!</v>
      </c>
      <c r="K188" s="7">
        <f t="shared" si="106"/>
        <v>5612.6</v>
      </c>
      <c r="L188" s="7">
        <f aca="true" t="shared" si="107" ref="L188">L189+L191</f>
        <v>3751.8</v>
      </c>
      <c r="M188" s="7">
        <f t="shared" si="79"/>
        <v>66.84602501514449</v>
      </c>
    </row>
    <row r="189" spans="1:13" ht="78.75">
      <c r="A189" s="31" t="s">
        <v>166</v>
      </c>
      <c r="B189" s="42" t="s">
        <v>157</v>
      </c>
      <c r="C189" s="42" t="s">
        <v>179</v>
      </c>
      <c r="D189" s="42" t="s">
        <v>246</v>
      </c>
      <c r="E189" s="42" t="s">
        <v>167</v>
      </c>
      <c r="F189" s="7" t="e">
        <f aca="true" t="shared" si="108" ref="F189:L189">F190</f>
        <v>#REF!</v>
      </c>
      <c r="G189" s="7" t="e">
        <f t="shared" si="108"/>
        <v>#REF!</v>
      </c>
      <c r="H189" s="7" t="e">
        <f t="shared" si="108"/>
        <v>#REF!</v>
      </c>
      <c r="I189" s="7" t="e">
        <f t="shared" si="108"/>
        <v>#REF!</v>
      </c>
      <c r="J189" s="7" t="e">
        <f t="shared" si="108"/>
        <v>#REF!</v>
      </c>
      <c r="K189" s="7">
        <f t="shared" si="108"/>
        <v>4401.6</v>
      </c>
      <c r="L189" s="7">
        <f t="shared" si="108"/>
        <v>3016.5</v>
      </c>
      <c r="M189" s="7">
        <f t="shared" si="79"/>
        <v>68.53189749182114</v>
      </c>
    </row>
    <row r="190" spans="1:13" ht="31.5">
      <c r="A190" s="26" t="s">
        <v>247</v>
      </c>
      <c r="B190" s="42" t="s">
        <v>157</v>
      </c>
      <c r="C190" s="42" t="s">
        <v>179</v>
      </c>
      <c r="D190" s="42" t="s">
        <v>246</v>
      </c>
      <c r="E190" s="42" t="s">
        <v>248</v>
      </c>
      <c r="F190" s="7" t="e">
        <f>#REF!</f>
        <v>#REF!</v>
      </c>
      <c r="G190" s="7" t="e">
        <f>#REF!</f>
        <v>#REF!</v>
      </c>
      <c r="H190" s="7" t="e">
        <f>#REF!</f>
        <v>#REF!</v>
      </c>
      <c r="I190" s="7" t="e">
        <f>#REF!</f>
        <v>#REF!</v>
      </c>
      <c r="J190" s="7" t="e">
        <f>#REF!</f>
        <v>#REF!</v>
      </c>
      <c r="K190" s="7">
        <f>'Прил.№4 ведомств.'!G148</f>
        <v>4401.6</v>
      </c>
      <c r="L190" s="7">
        <f>'Прил.№4 ведомств.'!H148</f>
        <v>3016.5</v>
      </c>
      <c r="M190" s="7">
        <f t="shared" si="79"/>
        <v>68.53189749182114</v>
      </c>
    </row>
    <row r="191" spans="1:13" ht="31.5">
      <c r="A191" s="31" t="s">
        <v>170</v>
      </c>
      <c r="B191" s="42" t="s">
        <v>157</v>
      </c>
      <c r="C191" s="42" t="s">
        <v>179</v>
      </c>
      <c r="D191" s="42" t="s">
        <v>246</v>
      </c>
      <c r="E191" s="42" t="s">
        <v>171</v>
      </c>
      <c r="F191" s="63" t="e">
        <f aca="true" t="shared" si="109" ref="F191:L191">F192</f>
        <v>#REF!</v>
      </c>
      <c r="G191" s="63" t="e">
        <f t="shared" si="109"/>
        <v>#REF!</v>
      </c>
      <c r="H191" s="63" t="e">
        <f t="shared" si="109"/>
        <v>#REF!</v>
      </c>
      <c r="I191" s="63" t="e">
        <f t="shared" si="109"/>
        <v>#REF!</v>
      </c>
      <c r="J191" s="63" t="e">
        <f t="shared" si="109"/>
        <v>#REF!</v>
      </c>
      <c r="K191" s="63">
        <f t="shared" si="109"/>
        <v>1211</v>
      </c>
      <c r="L191" s="63">
        <f t="shared" si="109"/>
        <v>735.3</v>
      </c>
      <c r="M191" s="7">
        <f t="shared" si="79"/>
        <v>60.71841453344343</v>
      </c>
    </row>
    <row r="192" spans="1:13" ht="47.25">
      <c r="A192" s="31" t="s">
        <v>172</v>
      </c>
      <c r="B192" s="42" t="s">
        <v>157</v>
      </c>
      <c r="C192" s="42" t="s">
        <v>179</v>
      </c>
      <c r="D192" s="42" t="s">
        <v>246</v>
      </c>
      <c r="E192" s="42" t="s">
        <v>173</v>
      </c>
      <c r="F192" s="63" t="e">
        <f>#REF!</f>
        <v>#REF!</v>
      </c>
      <c r="G192" s="63" t="e">
        <f>#REF!</f>
        <v>#REF!</v>
      </c>
      <c r="H192" s="63" t="e">
        <f>#REF!</f>
        <v>#REF!</v>
      </c>
      <c r="I192" s="63" t="e">
        <f>#REF!</f>
        <v>#REF!</v>
      </c>
      <c r="J192" s="63" t="e">
        <f>#REF!</f>
        <v>#REF!</v>
      </c>
      <c r="K192" s="63">
        <f>'Прил.№4 ведомств.'!G150</f>
        <v>1211</v>
      </c>
      <c r="L192" s="63">
        <f>'Прил.№4 ведомств.'!H150</f>
        <v>735.3</v>
      </c>
      <c r="M192" s="7">
        <f t="shared" si="79"/>
        <v>60.71841453344343</v>
      </c>
    </row>
    <row r="193" spans="1:13" ht="47.25" hidden="1">
      <c r="A193" s="31" t="s">
        <v>249</v>
      </c>
      <c r="B193" s="42" t="s">
        <v>157</v>
      </c>
      <c r="C193" s="42" t="s">
        <v>179</v>
      </c>
      <c r="D193" s="42" t="s">
        <v>250</v>
      </c>
      <c r="E193" s="42"/>
      <c r="F193" s="7" t="e">
        <f aca="true" t="shared" si="110" ref="F193:K193">F194+F196</f>
        <v>#REF!</v>
      </c>
      <c r="G193" s="7" t="e">
        <f t="shared" si="110"/>
        <v>#REF!</v>
      </c>
      <c r="H193" s="7" t="e">
        <f t="shared" si="110"/>
        <v>#REF!</v>
      </c>
      <c r="I193" s="7" t="e">
        <f t="shared" si="110"/>
        <v>#REF!</v>
      </c>
      <c r="J193" s="7" t="e">
        <f t="shared" si="110"/>
        <v>#REF!</v>
      </c>
      <c r="K193" s="7">
        <f t="shared" si="110"/>
        <v>0</v>
      </c>
      <c r="L193" s="7">
        <f aca="true" t="shared" si="111" ref="L193">L194+L196</f>
        <v>0</v>
      </c>
      <c r="M193" s="7" t="e">
        <f t="shared" si="79"/>
        <v>#DIV/0!</v>
      </c>
    </row>
    <row r="194" spans="1:13" ht="78.75" hidden="1">
      <c r="A194" s="31" t="s">
        <v>166</v>
      </c>
      <c r="B194" s="42" t="s">
        <v>157</v>
      </c>
      <c r="C194" s="42" t="s">
        <v>179</v>
      </c>
      <c r="D194" s="42" t="s">
        <v>250</v>
      </c>
      <c r="E194" s="42" t="s">
        <v>167</v>
      </c>
      <c r="F194" s="63" t="e">
        <f aca="true" t="shared" si="112" ref="F194:L194">F195</f>
        <v>#REF!</v>
      </c>
      <c r="G194" s="63" t="e">
        <f t="shared" si="112"/>
        <v>#REF!</v>
      </c>
      <c r="H194" s="63" t="e">
        <f t="shared" si="112"/>
        <v>#REF!</v>
      </c>
      <c r="I194" s="63" t="e">
        <f t="shared" si="112"/>
        <v>#REF!</v>
      </c>
      <c r="J194" s="63" t="e">
        <f t="shared" si="112"/>
        <v>#REF!</v>
      </c>
      <c r="K194" s="63">
        <f t="shared" si="112"/>
        <v>0</v>
      </c>
      <c r="L194" s="63">
        <f t="shared" si="112"/>
        <v>0</v>
      </c>
      <c r="M194" s="7" t="e">
        <f t="shared" si="79"/>
        <v>#DIV/0!</v>
      </c>
    </row>
    <row r="195" spans="1:13" ht="31.5" hidden="1">
      <c r="A195" s="31" t="s">
        <v>168</v>
      </c>
      <c r="B195" s="42" t="s">
        <v>157</v>
      </c>
      <c r="C195" s="42" t="s">
        <v>179</v>
      </c>
      <c r="D195" s="42" t="s">
        <v>250</v>
      </c>
      <c r="E195" s="42" t="s">
        <v>169</v>
      </c>
      <c r="F195" s="63" t="e">
        <f>#REF!</f>
        <v>#REF!</v>
      </c>
      <c r="G195" s="63" t="e">
        <f>#REF!</f>
        <v>#REF!</v>
      </c>
      <c r="H195" s="63" t="e">
        <f>#REF!</f>
        <v>#REF!</v>
      </c>
      <c r="I195" s="63" t="e">
        <f>#REF!</f>
        <v>#REF!</v>
      </c>
      <c r="J195" s="63" t="e">
        <f>#REF!</f>
        <v>#REF!</v>
      </c>
      <c r="K195" s="63">
        <f>'Прил.№4 ведомств.'!G153</f>
        <v>0</v>
      </c>
      <c r="L195" s="63">
        <f>'Прил.№4 ведомств.'!H153</f>
        <v>0</v>
      </c>
      <c r="M195" s="7" t="e">
        <f t="shared" si="79"/>
        <v>#DIV/0!</v>
      </c>
    </row>
    <row r="196" spans="1:13" ht="31.5" hidden="1">
      <c r="A196" s="31" t="s">
        <v>170</v>
      </c>
      <c r="B196" s="42" t="s">
        <v>157</v>
      </c>
      <c r="C196" s="42" t="s">
        <v>179</v>
      </c>
      <c r="D196" s="42" t="s">
        <v>250</v>
      </c>
      <c r="E196" s="42" t="s">
        <v>171</v>
      </c>
      <c r="F196" s="7" t="e">
        <f aca="true" t="shared" si="113" ref="F196:L196">F197</f>
        <v>#REF!</v>
      </c>
      <c r="G196" s="7" t="e">
        <f t="shared" si="113"/>
        <v>#REF!</v>
      </c>
      <c r="H196" s="7" t="e">
        <f t="shared" si="113"/>
        <v>#REF!</v>
      </c>
      <c r="I196" s="7" t="e">
        <f t="shared" si="113"/>
        <v>#REF!</v>
      </c>
      <c r="J196" s="7" t="e">
        <f t="shared" si="113"/>
        <v>#REF!</v>
      </c>
      <c r="K196" s="7">
        <f t="shared" si="113"/>
        <v>0</v>
      </c>
      <c r="L196" s="7">
        <f t="shared" si="113"/>
        <v>0</v>
      </c>
      <c r="M196" s="7" t="e">
        <f t="shared" si="79"/>
        <v>#DIV/0!</v>
      </c>
    </row>
    <row r="197" spans="1:13" ht="47.25" hidden="1">
      <c r="A197" s="31" t="s">
        <v>172</v>
      </c>
      <c r="B197" s="42" t="s">
        <v>157</v>
      </c>
      <c r="C197" s="42" t="s">
        <v>179</v>
      </c>
      <c r="D197" s="42" t="s">
        <v>250</v>
      </c>
      <c r="E197" s="42" t="s">
        <v>173</v>
      </c>
      <c r="F197" s="63" t="e">
        <f>#REF!</f>
        <v>#REF!</v>
      </c>
      <c r="G197" s="63" t="e">
        <f>#REF!</f>
        <v>#REF!</v>
      </c>
      <c r="H197" s="63" t="e">
        <f>#REF!</f>
        <v>#REF!</v>
      </c>
      <c r="I197" s="63" t="e">
        <f>#REF!</f>
        <v>#REF!</v>
      </c>
      <c r="J197" s="63" t="e">
        <f>#REF!</f>
        <v>#REF!</v>
      </c>
      <c r="K197" s="63">
        <f>'Прил.№4 ведомств.'!G155</f>
        <v>0</v>
      </c>
      <c r="L197" s="63">
        <f>'Прил.№4 ведомств.'!H155</f>
        <v>0</v>
      </c>
      <c r="M197" s="7" t="e">
        <f t="shared" si="79"/>
        <v>#DIV/0!</v>
      </c>
    </row>
    <row r="198" spans="1:13" s="299" customFormat="1" ht="31.5">
      <c r="A198" s="26" t="s">
        <v>1069</v>
      </c>
      <c r="B198" s="42" t="s">
        <v>157</v>
      </c>
      <c r="C198" s="42" t="s">
        <v>179</v>
      </c>
      <c r="D198" s="42" t="s">
        <v>1070</v>
      </c>
      <c r="E198" s="42"/>
      <c r="F198" s="63"/>
      <c r="G198" s="63"/>
      <c r="H198" s="63"/>
      <c r="I198" s="63"/>
      <c r="J198" s="63"/>
      <c r="K198" s="63">
        <f>K199</f>
        <v>100</v>
      </c>
      <c r="L198" s="63">
        <f aca="true" t="shared" si="114" ref="L198:L199">L199</f>
        <v>99</v>
      </c>
      <c r="M198" s="7">
        <f t="shared" si="79"/>
        <v>99</v>
      </c>
    </row>
    <row r="199" spans="1:13" s="299" customFormat="1" ht="31.5">
      <c r="A199" s="26" t="s">
        <v>170</v>
      </c>
      <c r="B199" s="42" t="s">
        <v>157</v>
      </c>
      <c r="C199" s="42" t="s">
        <v>179</v>
      </c>
      <c r="D199" s="42" t="s">
        <v>1070</v>
      </c>
      <c r="E199" s="42" t="s">
        <v>171</v>
      </c>
      <c r="F199" s="63"/>
      <c r="G199" s="63"/>
      <c r="H199" s="63"/>
      <c r="I199" s="63"/>
      <c r="J199" s="63"/>
      <c r="K199" s="63">
        <f>K200</f>
        <v>100</v>
      </c>
      <c r="L199" s="63">
        <f t="shared" si="114"/>
        <v>99</v>
      </c>
      <c r="M199" s="7">
        <f t="shared" si="79"/>
        <v>99</v>
      </c>
    </row>
    <row r="200" spans="1:13" s="299" customFormat="1" ht="47.25">
      <c r="A200" s="26" t="s">
        <v>172</v>
      </c>
      <c r="B200" s="42" t="s">
        <v>157</v>
      </c>
      <c r="C200" s="42" t="s">
        <v>179</v>
      </c>
      <c r="D200" s="42" t="s">
        <v>1070</v>
      </c>
      <c r="E200" s="42" t="s">
        <v>173</v>
      </c>
      <c r="F200" s="63"/>
      <c r="G200" s="63"/>
      <c r="H200" s="63"/>
      <c r="I200" s="63"/>
      <c r="J200" s="63"/>
      <c r="K200" s="63">
        <f>'Прил.№4 ведомств.'!G641</f>
        <v>100</v>
      </c>
      <c r="L200" s="63">
        <f>'Прил.№4 ведомств.'!H641</f>
        <v>99</v>
      </c>
      <c r="M200" s="7">
        <f t="shared" si="79"/>
        <v>99</v>
      </c>
    </row>
    <row r="201" spans="1:13" ht="15.75">
      <c r="A201" s="26" t="s">
        <v>182</v>
      </c>
      <c r="B201" s="42" t="s">
        <v>157</v>
      </c>
      <c r="C201" s="42" t="s">
        <v>179</v>
      </c>
      <c r="D201" s="42" t="s">
        <v>183</v>
      </c>
      <c r="E201" s="42"/>
      <c r="F201" s="63" t="e">
        <f aca="true" t="shared" si="115" ref="F201:L201">F202</f>
        <v>#REF!</v>
      </c>
      <c r="G201" s="63" t="e">
        <f t="shared" si="115"/>
        <v>#REF!</v>
      </c>
      <c r="H201" s="63" t="e">
        <f t="shared" si="115"/>
        <v>#REF!</v>
      </c>
      <c r="I201" s="63" t="e">
        <f t="shared" si="115"/>
        <v>#REF!</v>
      </c>
      <c r="J201" s="63" t="e">
        <f t="shared" si="115"/>
        <v>#REF!</v>
      </c>
      <c r="K201" s="63">
        <f t="shared" si="115"/>
        <v>355.1</v>
      </c>
      <c r="L201" s="63">
        <f t="shared" si="115"/>
        <v>355</v>
      </c>
      <c r="M201" s="7">
        <f t="shared" si="79"/>
        <v>99.97183891861447</v>
      </c>
    </row>
    <row r="202" spans="1:13" ht="15.75">
      <c r="A202" s="26" t="s">
        <v>174</v>
      </c>
      <c r="B202" s="42" t="s">
        <v>157</v>
      </c>
      <c r="C202" s="42" t="s">
        <v>179</v>
      </c>
      <c r="D202" s="42" t="s">
        <v>183</v>
      </c>
      <c r="E202" s="42" t="s">
        <v>184</v>
      </c>
      <c r="F202" s="63" t="e">
        <f aca="true" t="shared" si="116" ref="F202:K202">F203+F204</f>
        <v>#REF!</v>
      </c>
      <c r="G202" s="63" t="e">
        <f t="shared" si="116"/>
        <v>#REF!</v>
      </c>
      <c r="H202" s="63" t="e">
        <f t="shared" si="116"/>
        <v>#REF!</v>
      </c>
      <c r="I202" s="63" t="e">
        <f t="shared" si="116"/>
        <v>#REF!</v>
      </c>
      <c r="J202" s="63" t="e">
        <f t="shared" si="116"/>
        <v>#REF!</v>
      </c>
      <c r="K202" s="63">
        <f t="shared" si="116"/>
        <v>355.1</v>
      </c>
      <c r="L202" s="63">
        <f aca="true" t="shared" si="117" ref="L202">L203+L204</f>
        <v>355</v>
      </c>
      <c r="M202" s="7">
        <f t="shared" si="79"/>
        <v>99.97183891861447</v>
      </c>
    </row>
    <row r="203" spans="1:13" ht="15.75">
      <c r="A203" s="26" t="s">
        <v>185</v>
      </c>
      <c r="B203" s="42" t="s">
        <v>157</v>
      </c>
      <c r="C203" s="42" t="s">
        <v>179</v>
      </c>
      <c r="D203" s="42" t="s">
        <v>183</v>
      </c>
      <c r="E203" s="42" t="s">
        <v>186</v>
      </c>
      <c r="F203" s="63" t="e">
        <f>#REF!+#REF!</f>
        <v>#REF!</v>
      </c>
      <c r="G203" s="63" t="e">
        <f>#REF!+#REF!</f>
        <v>#REF!</v>
      </c>
      <c r="H203" s="63" t="e">
        <f>#REF!+#REF!</f>
        <v>#REF!</v>
      </c>
      <c r="I203" s="63" t="e">
        <f>#REF!+#REF!</f>
        <v>#REF!</v>
      </c>
      <c r="J203" s="63" t="e">
        <f>#REF!+#REF!</f>
        <v>#REF!</v>
      </c>
      <c r="K203" s="63">
        <f>'Прил.№4 ведомств.'!G638</f>
        <v>355.1</v>
      </c>
      <c r="L203" s="63">
        <f>'Прил.№4 ведомств.'!H638</f>
        <v>355</v>
      </c>
      <c r="M203" s="7">
        <f t="shared" si="79"/>
        <v>99.97183891861447</v>
      </c>
    </row>
    <row r="204" spans="1:13" ht="15.75" hidden="1">
      <c r="A204" s="26" t="s">
        <v>608</v>
      </c>
      <c r="B204" s="42" t="s">
        <v>157</v>
      </c>
      <c r="C204" s="42" t="s">
        <v>179</v>
      </c>
      <c r="D204" s="42" t="s">
        <v>183</v>
      </c>
      <c r="E204" s="21" t="s">
        <v>177</v>
      </c>
      <c r="F204" s="63" t="e">
        <f>#REF!</f>
        <v>#REF!</v>
      </c>
      <c r="G204" s="63" t="e">
        <f>#REF!</f>
        <v>#REF!</v>
      </c>
      <c r="H204" s="63" t="e">
        <f>#REF!</f>
        <v>#REF!</v>
      </c>
      <c r="I204" s="63" t="e">
        <f>#REF!</f>
        <v>#REF!</v>
      </c>
      <c r="J204" s="63" t="e">
        <f>#REF!</f>
        <v>#REF!</v>
      </c>
      <c r="K204" s="63">
        <f>'Прил.№4 ведомств.'!G1019</f>
        <v>0</v>
      </c>
      <c r="L204" s="63">
        <f>'Прил.№4 ведомств.'!H1019</f>
        <v>0</v>
      </c>
      <c r="M204" s="7" t="e">
        <f t="shared" si="79"/>
        <v>#DIV/0!</v>
      </c>
    </row>
    <row r="205" spans="1:13" ht="31.5">
      <c r="A205" s="26" t="s">
        <v>624</v>
      </c>
      <c r="B205" s="42" t="s">
        <v>157</v>
      </c>
      <c r="C205" s="42" t="s">
        <v>179</v>
      </c>
      <c r="D205" s="42" t="s">
        <v>625</v>
      </c>
      <c r="E205" s="21"/>
      <c r="F205" s="63" t="e">
        <f aca="true" t="shared" si="118" ref="F205:L205">F206</f>
        <v>#REF!</v>
      </c>
      <c r="G205" s="63" t="e">
        <f t="shared" si="118"/>
        <v>#REF!</v>
      </c>
      <c r="H205" s="63" t="e">
        <f t="shared" si="118"/>
        <v>#REF!</v>
      </c>
      <c r="I205" s="63" t="e">
        <f t="shared" si="118"/>
        <v>#REF!</v>
      </c>
      <c r="J205" s="63" t="e">
        <f t="shared" si="118"/>
        <v>#REF!</v>
      </c>
      <c r="K205" s="63">
        <f t="shared" si="118"/>
        <v>46568.799999999996</v>
      </c>
      <c r="L205" s="63">
        <f t="shared" si="118"/>
        <v>28464.4</v>
      </c>
      <c r="M205" s="7">
        <f t="shared" si="79"/>
        <v>61.123327206198155</v>
      </c>
    </row>
    <row r="206" spans="1:13" ht="15.75">
      <c r="A206" s="26" t="s">
        <v>985</v>
      </c>
      <c r="B206" s="42" t="s">
        <v>157</v>
      </c>
      <c r="C206" s="42" t="s">
        <v>179</v>
      </c>
      <c r="D206" s="21" t="s">
        <v>626</v>
      </c>
      <c r="E206" s="21"/>
      <c r="F206" s="63" t="e">
        <f aca="true" t="shared" si="119" ref="F206:K206">F207+F209+F211</f>
        <v>#REF!</v>
      </c>
      <c r="G206" s="63" t="e">
        <f t="shared" si="119"/>
        <v>#REF!</v>
      </c>
      <c r="H206" s="63" t="e">
        <f t="shared" si="119"/>
        <v>#REF!</v>
      </c>
      <c r="I206" s="63" t="e">
        <f t="shared" si="119"/>
        <v>#REF!</v>
      </c>
      <c r="J206" s="63" t="e">
        <f t="shared" si="119"/>
        <v>#REF!</v>
      </c>
      <c r="K206" s="63">
        <f t="shared" si="119"/>
        <v>46568.799999999996</v>
      </c>
      <c r="L206" s="63">
        <f aca="true" t="shared" si="120" ref="L206">L207+L209+L211</f>
        <v>28464.4</v>
      </c>
      <c r="M206" s="7">
        <f aca="true" t="shared" si="121" ref="M206:M269">L206/K206*100</f>
        <v>61.123327206198155</v>
      </c>
    </row>
    <row r="207" spans="1:13" ht="78.75">
      <c r="A207" s="26" t="s">
        <v>166</v>
      </c>
      <c r="B207" s="42" t="s">
        <v>157</v>
      </c>
      <c r="C207" s="42" t="s">
        <v>179</v>
      </c>
      <c r="D207" s="21" t="s">
        <v>626</v>
      </c>
      <c r="E207" s="21" t="s">
        <v>167</v>
      </c>
      <c r="F207" s="63" t="e">
        <f aca="true" t="shared" si="122" ref="F207:L207">F208</f>
        <v>#REF!</v>
      </c>
      <c r="G207" s="63" t="e">
        <f t="shared" si="122"/>
        <v>#REF!</v>
      </c>
      <c r="H207" s="63" t="e">
        <f t="shared" si="122"/>
        <v>#REF!</v>
      </c>
      <c r="I207" s="63" t="e">
        <f t="shared" si="122"/>
        <v>#REF!</v>
      </c>
      <c r="J207" s="63" t="e">
        <f t="shared" si="122"/>
        <v>#REF!</v>
      </c>
      <c r="K207" s="63">
        <f t="shared" si="122"/>
        <v>35598.6</v>
      </c>
      <c r="L207" s="63">
        <f t="shared" si="122"/>
        <v>22686.5</v>
      </c>
      <c r="M207" s="7">
        <f t="shared" si="121"/>
        <v>63.72862977757553</v>
      </c>
    </row>
    <row r="208" spans="1:13" ht="31.5">
      <c r="A208" s="48" t="s">
        <v>381</v>
      </c>
      <c r="B208" s="42" t="s">
        <v>157</v>
      </c>
      <c r="C208" s="42" t="s">
        <v>179</v>
      </c>
      <c r="D208" s="21" t="s">
        <v>626</v>
      </c>
      <c r="E208" s="21" t="s">
        <v>248</v>
      </c>
      <c r="F208" s="63" t="e">
        <f>#REF!</f>
        <v>#REF!</v>
      </c>
      <c r="G208" s="63" t="e">
        <f>#REF!</f>
        <v>#REF!</v>
      </c>
      <c r="H208" s="63" t="e">
        <f>#REF!</f>
        <v>#REF!</v>
      </c>
      <c r="I208" s="63" t="e">
        <f>#REF!</f>
        <v>#REF!</v>
      </c>
      <c r="J208" s="63" t="e">
        <f>#REF!</f>
        <v>#REF!</v>
      </c>
      <c r="K208" s="63">
        <f>'Прил.№4 ведомств.'!G1023</f>
        <v>35598.6</v>
      </c>
      <c r="L208" s="63">
        <f>'Прил.№4 ведомств.'!H1023</f>
        <v>22686.5</v>
      </c>
      <c r="M208" s="7">
        <f t="shared" si="121"/>
        <v>63.72862977757553</v>
      </c>
    </row>
    <row r="209" spans="1:13" ht="31.5">
      <c r="A209" s="26" t="s">
        <v>170</v>
      </c>
      <c r="B209" s="42" t="s">
        <v>157</v>
      </c>
      <c r="C209" s="42" t="s">
        <v>179</v>
      </c>
      <c r="D209" s="21" t="s">
        <v>626</v>
      </c>
      <c r="E209" s="21" t="s">
        <v>171</v>
      </c>
      <c r="F209" s="63" t="e">
        <f aca="true" t="shared" si="123" ref="F209:L209">F210</f>
        <v>#REF!</v>
      </c>
      <c r="G209" s="63" t="e">
        <f t="shared" si="123"/>
        <v>#REF!</v>
      </c>
      <c r="H209" s="63" t="e">
        <f t="shared" si="123"/>
        <v>#REF!</v>
      </c>
      <c r="I209" s="63" t="e">
        <f t="shared" si="123"/>
        <v>#REF!</v>
      </c>
      <c r="J209" s="63" t="e">
        <f t="shared" si="123"/>
        <v>#REF!</v>
      </c>
      <c r="K209" s="63">
        <f t="shared" si="123"/>
        <v>10549.599999999999</v>
      </c>
      <c r="L209" s="63">
        <f t="shared" si="123"/>
        <v>5458</v>
      </c>
      <c r="M209" s="7">
        <f t="shared" si="121"/>
        <v>51.73655873208464</v>
      </c>
    </row>
    <row r="210" spans="1:13" ht="47.25">
      <c r="A210" s="26" t="s">
        <v>172</v>
      </c>
      <c r="B210" s="42" t="s">
        <v>157</v>
      </c>
      <c r="C210" s="42" t="s">
        <v>179</v>
      </c>
      <c r="D210" s="21" t="s">
        <v>626</v>
      </c>
      <c r="E210" s="21" t="s">
        <v>173</v>
      </c>
      <c r="F210" s="63" t="e">
        <f>#REF!</f>
        <v>#REF!</v>
      </c>
      <c r="G210" s="63" t="e">
        <f>#REF!</f>
        <v>#REF!</v>
      </c>
      <c r="H210" s="63" t="e">
        <f>#REF!</f>
        <v>#REF!</v>
      </c>
      <c r="I210" s="63" t="e">
        <f>#REF!</f>
        <v>#REF!</v>
      </c>
      <c r="J210" s="63" t="e">
        <f>#REF!</f>
        <v>#REF!</v>
      </c>
      <c r="K210" s="63">
        <f>'Прил.№4 ведомств.'!G1025</f>
        <v>10549.599999999999</v>
      </c>
      <c r="L210" s="63">
        <f>'Прил.№4 ведомств.'!H1025</f>
        <v>5458</v>
      </c>
      <c r="M210" s="7">
        <f t="shared" si="121"/>
        <v>51.73655873208464</v>
      </c>
    </row>
    <row r="211" spans="1:13" ht="15.75">
      <c r="A211" s="26" t="s">
        <v>174</v>
      </c>
      <c r="B211" s="42" t="s">
        <v>157</v>
      </c>
      <c r="C211" s="42" t="s">
        <v>179</v>
      </c>
      <c r="D211" s="21" t="s">
        <v>626</v>
      </c>
      <c r="E211" s="21" t="s">
        <v>184</v>
      </c>
      <c r="F211" s="63" t="e">
        <f aca="true" t="shared" si="124" ref="F211:L211">F212</f>
        <v>#REF!</v>
      </c>
      <c r="G211" s="63" t="e">
        <f t="shared" si="124"/>
        <v>#REF!</v>
      </c>
      <c r="H211" s="63" t="e">
        <f t="shared" si="124"/>
        <v>#REF!</v>
      </c>
      <c r="I211" s="63" t="e">
        <f t="shared" si="124"/>
        <v>#REF!</v>
      </c>
      <c r="J211" s="63" t="e">
        <f t="shared" si="124"/>
        <v>#REF!</v>
      </c>
      <c r="K211" s="63">
        <f t="shared" si="124"/>
        <v>420.59999999999997</v>
      </c>
      <c r="L211" s="63">
        <f t="shared" si="124"/>
        <v>319.9</v>
      </c>
      <c r="M211" s="7">
        <f t="shared" si="121"/>
        <v>76.05801236329054</v>
      </c>
    </row>
    <row r="212" spans="1:13" ht="15.75">
      <c r="A212" s="26" t="s">
        <v>774</v>
      </c>
      <c r="B212" s="42" t="s">
        <v>157</v>
      </c>
      <c r="C212" s="42" t="s">
        <v>179</v>
      </c>
      <c r="D212" s="21" t="s">
        <v>626</v>
      </c>
      <c r="E212" s="21" t="s">
        <v>177</v>
      </c>
      <c r="F212" s="63" t="e">
        <f>#REF!</f>
        <v>#REF!</v>
      </c>
      <c r="G212" s="63" t="e">
        <f>#REF!</f>
        <v>#REF!</v>
      </c>
      <c r="H212" s="63" t="e">
        <f>#REF!</f>
        <v>#REF!</v>
      </c>
      <c r="I212" s="63" t="e">
        <f>#REF!</f>
        <v>#REF!</v>
      </c>
      <c r="J212" s="63" t="e">
        <f>#REF!</f>
        <v>#REF!</v>
      </c>
      <c r="K212" s="63">
        <f>'Прил.№4 ведомств.'!G1027</f>
        <v>420.59999999999997</v>
      </c>
      <c r="L212" s="63">
        <f>'Прил.№4 ведомств.'!H1027</f>
        <v>319.9</v>
      </c>
      <c r="M212" s="7">
        <f t="shared" si="121"/>
        <v>76.05801236329054</v>
      </c>
    </row>
    <row r="213" spans="1:13" ht="15.75" hidden="1">
      <c r="A213" s="24" t="s">
        <v>251</v>
      </c>
      <c r="B213" s="25" t="s">
        <v>252</v>
      </c>
      <c r="C213" s="25"/>
      <c r="D213" s="25"/>
      <c r="E213" s="25"/>
      <c r="F213" s="67" t="e">
        <f aca="true" t="shared" si="125" ref="F213:F218">F214</f>
        <v>#REF!</v>
      </c>
      <c r="G213" s="67" t="e">
        <f aca="true" t="shared" si="126" ref="G213:L218">G214</f>
        <v>#REF!</v>
      </c>
      <c r="H213" s="67" t="e">
        <f t="shared" si="126"/>
        <v>#REF!</v>
      </c>
      <c r="I213" s="67" t="e">
        <f t="shared" si="126"/>
        <v>#REF!</v>
      </c>
      <c r="J213" s="67" t="e">
        <f t="shared" si="126"/>
        <v>#REF!</v>
      </c>
      <c r="K213" s="67">
        <f t="shared" si="126"/>
        <v>0</v>
      </c>
      <c r="L213" s="67">
        <f t="shared" si="126"/>
        <v>0</v>
      </c>
      <c r="M213" s="7" t="e">
        <f t="shared" si="121"/>
        <v>#DIV/0!</v>
      </c>
    </row>
    <row r="214" spans="1:13" ht="31.5" hidden="1">
      <c r="A214" s="24" t="s">
        <v>257</v>
      </c>
      <c r="B214" s="25" t="s">
        <v>252</v>
      </c>
      <c r="C214" s="25" t="s">
        <v>258</v>
      </c>
      <c r="D214" s="25"/>
      <c r="E214" s="25"/>
      <c r="F214" s="63" t="e">
        <f t="shared" si="125"/>
        <v>#REF!</v>
      </c>
      <c r="G214" s="63" t="e">
        <f t="shared" si="126"/>
        <v>#REF!</v>
      </c>
      <c r="H214" s="63" t="e">
        <f t="shared" si="126"/>
        <v>#REF!</v>
      </c>
      <c r="I214" s="63" t="e">
        <f t="shared" si="126"/>
        <v>#REF!</v>
      </c>
      <c r="J214" s="63" t="e">
        <f t="shared" si="126"/>
        <v>#REF!</v>
      </c>
      <c r="K214" s="63">
        <f t="shared" si="126"/>
        <v>0</v>
      </c>
      <c r="L214" s="63">
        <f t="shared" si="126"/>
        <v>0</v>
      </c>
      <c r="M214" s="7" t="e">
        <f t="shared" si="121"/>
        <v>#DIV/0!</v>
      </c>
    </row>
    <row r="215" spans="1:13" ht="15.75" hidden="1">
      <c r="A215" s="26" t="s">
        <v>160</v>
      </c>
      <c r="B215" s="21" t="s">
        <v>252</v>
      </c>
      <c r="C215" s="21" t="s">
        <v>258</v>
      </c>
      <c r="D215" s="21" t="s">
        <v>161</v>
      </c>
      <c r="E215" s="21"/>
      <c r="F215" s="63" t="e">
        <f t="shared" si="125"/>
        <v>#REF!</v>
      </c>
      <c r="G215" s="63" t="e">
        <f t="shared" si="126"/>
        <v>#REF!</v>
      </c>
      <c r="H215" s="63" t="e">
        <f t="shared" si="126"/>
        <v>#REF!</v>
      </c>
      <c r="I215" s="63" t="e">
        <f t="shared" si="126"/>
        <v>#REF!</v>
      </c>
      <c r="J215" s="63" t="e">
        <f t="shared" si="126"/>
        <v>#REF!</v>
      </c>
      <c r="K215" s="63">
        <f t="shared" si="126"/>
        <v>0</v>
      </c>
      <c r="L215" s="63">
        <f t="shared" si="126"/>
        <v>0</v>
      </c>
      <c r="M215" s="7" t="e">
        <f t="shared" si="121"/>
        <v>#DIV/0!</v>
      </c>
    </row>
    <row r="216" spans="1:13" ht="15.75" hidden="1">
      <c r="A216" s="26" t="s">
        <v>180</v>
      </c>
      <c r="B216" s="21" t="s">
        <v>252</v>
      </c>
      <c r="C216" s="21" t="s">
        <v>258</v>
      </c>
      <c r="D216" s="21" t="s">
        <v>181</v>
      </c>
      <c r="E216" s="21"/>
      <c r="F216" s="63" t="e">
        <f t="shared" si="125"/>
        <v>#REF!</v>
      </c>
      <c r="G216" s="63" t="e">
        <f t="shared" si="126"/>
        <v>#REF!</v>
      </c>
      <c r="H216" s="63" t="e">
        <f t="shared" si="126"/>
        <v>#REF!</v>
      </c>
      <c r="I216" s="63" t="e">
        <f t="shared" si="126"/>
        <v>#REF!</v>
      </c>
      <c r="J216" s="63" t="e">
        <f t="shared" si="126"/>
        <v>#REF!</v>
      </c>
      <c r="K216" s="63">
        <f t="shared" si="126"/>
        <v>0</v>
      </c>
      <c r="L216" s="63">
        <f t="shared" si="126"/>
        <v>0</v>
      </c>
      <c r="M216" s="7" t="e">
        <f t="shared" si="121"/>
        <v>#DIV/0!</v>
      </c>
    </row>
    <row r="217" spans="1:13" ht="15.75" hidden="1">
      <c r="A217" s="26" t="s">
        <v>259</v>
      </c>
      <c r="B217" s="21" t="s">
        <v>252</v>
      </c>
      <c r="C217" s="21" t="s">
        <v>258</v>
      </c>
      <c r="D217" s="21" t="s">
        <v>260</v>
      </c>
      <c r="E217" s="21"/>
      <c r="F217" s="63" t="e">
        <f t="shared" si="125"/>
        <v>#REF!</v>
      </c>
      <c r="G217" s="63" t="e">
        <f t="shared" si="126"/>
        <v>#REF!</v>
      </c>
      <c r="H217" s="63" t="e">
        <f t="shared" si="126"/>
        <v>#REF!</v>
      </c>
      <c r="I217" s="63" t="e">
        <f t="shared" si="126"/>
        <v>#REF!</v>
      </c>
      <c r="J217" s="63" t="e">
        <f t="shared" si="126"/>
        <v>#REF!</v>
      </c>
      <c r="K217" s="63">
        <f t="shared" si="126"/>
        <v>0</v>
      </c>
      <c r="L217" s="63">
        <f t="shared" si="126"/>
        <v>0</v>
      </c>
      <c r="M217" s="7" t="e">
        <f t="shared" si="121"/>
        <v>#DIV/0!</v>
      </c>
    </row>
    <row r="218" spans="1:13" ht="31.5" hidden="1">
      <c r="A218" s="26" t="s">
        <v>237</v>
      </c>
      <c r="B218" s="21" t="s">
        <v>252</v>
      </c>
      <c r="C218" s="21" t="s">
        <v>258</v>
      </c>
      <c r="D218" s="21" t="s">
        <v>260</v>
      </c>
      <c r="E218" s="21" t="s">
        <v>171</v>
      </c>
      <c r="F218" s="63" t="e">
        <f t="shared" si="125"/>
        <v>#REF!</v>
      </c>
      <c r="G218" s="63" t="e">
        <f t="shared" si="126"/>
        <v>#REF!</v>
      </c>
      <c r="H218" s="63" t="e">
        <f t="shared" si="126"/>
        <v>#REF!</v>
      </c>
      <c r="I218" s="63" t="e">
        <f t="shared" si="126"/>
        <v>#REF!</v>
      </c>
      <c r="J218" s="63" t="e">
        <f t="shared" si="126"/>
        <v>#REF!</v>
      </c>
      <c r="K218" s="63">
        <f t="shared" si="126"/>
        <v>0</v>
      </c>
      <c r="L218" s="63">
        <f t="shared" si="126"/>
        <v>0</v>
      </c>
      <c r="M218" s="7" t="e">
        <f t="shared" si="121"/>
        <v>#DIV/0!</v>
      </c>
    </row>
    <row r="219" spans="1:13" ht="47.25" hidden="1">
      <c r="A219" s="26" t="s">
        <v>172</v>
      </c>
      <c r="B219" s="21" t="s">
        <v>252</v>
      </c>
      <c r="C219" s="21" t="s">
        <v>258</v>
      </c>
      <c r="D219" s="21" t="s">
        <v>260</v>
      </c>
      <c r="E219" s="21" t="s">
        <v>173</v>
      </c>
      <c r="F219" s="63" t="e">
        <f>#REF!</f>
        <v>#REF!</v>
      </c>
      <c r="G219" s="63" t="e">
        <f>#REF!</f>
        <v>#REF!</v>
      </c>
      <c r="H219" s="63" t="e">
        <f>#REF!</f>
        <v>#REF!</v>
      </c>
      <c r="I219" s="63" t="e">
        <f>#REF!</f>
        <v>#REF!</v>
      </c>
      <c r="J219" s="63" t="e">
        <f>#REF!</f>
        <v>#REF!</v>
      </c>
      <c r="K219" s="63">
        <f>'Прил.№4 ведомств.'!G165</f>
        <v>0</v>
      </c>
      <c r="L219" s="63">
        <f>'Прил.№4 ведомств.'!H165</f>
        <v>0</v>
      </c>
      <c r="M219" s="7" t="e">
        <f t="shared" si="121"/>
        <v>#DIV/0!</v>
      </c>
    </row>
    <row r="220" spans="1:13" ht="63">
      <c r="A220" s="31" t="s">
        <v>1029</v>
      </c>
      <c r="B220" s="10" t="s">
        <v>157</v>
      </c>
      <c r="C220" s="10" t="s">
        <v>179</v>
      </c>
      <c r="D220" s="6" t="s">
        <v>1028</v>
      </c>
      <c r="E220" s="10"/>
      <c r="F220" s="27">
        <f>F221</f>
        <v>60</v>
      </c>
      <c r="G220" s="63"/>
      <c r="H220" s="63"/>
      <c r="I220" s="63"/>
      <c r="J220" s="63"/>
      <c r="K220" s="63">
        <f>K221</f>
        <v>60</v>
      </c>
      <c r="L220" s="63">
        <f aca="true" t="shared" si="127" ref="L220:L222">L221</f>
        <v>5</v>
      </c>
      <c r="M220" s="7">
        <f t="shared" si="121"/>
        <v>8.333333333333332</v>
      </c>
    </row>
    <row r="221" spans="1:13" ht="15.75">
      <c r="A221" s="47" t="s">
        <v>214</v>
      </c>
      <c r="B221" s="10" t="s">
        <v>157</v>
      </c>
      <c r="C221" s="10" t="s">
        <v>179</v>
      </c>
      <c r="D221" s="6" t="s">
        <v>1032</v>
      </c>
      <c r="E221" s="10"/>
      <c r="F221" s="27">
        <f>F222</f>
        <v>60</v>
      </c>
      <c r="G221" s="63"/>
      <c r="H221" s="63"/>
      <c r="I221" s="63"/>
      <c r="J221" s="63"/>
      <c r="K221" s="63">
        <f>K222</f>
        <v>60</v>
      </c>
      <c r="L221" s="63">
        <f t="shared" si="127"/>
        <v>5</v>
      </c>
      <c r="M221" s="7">
        <f t="shared" si="121"/>
        <v>8.333333333333332</v>
      </c>
    </row>
    <row r="222" spans="1:13" ht="31.5">
      <c r="A222" s="26" t="s">
        <v>170</v>
      </c>
      <c r="B222" s="10" t="s">
        <v>157</v>
      </c>
      <c r="C222" s="10" t="s">
        <v>179</v>
      </c>
      <c r="D222" s="6" t="s">
        <v>1032</v>
      </c>
      <c r="E222" s="10" t="s">
        <v>171</v>
      </c>
      <c r="F222" s="27">
        <f>F223</f>
        <v>60</v>
      </c>
      <c r="G222" s="63"/>
      <c r="H222" s="63"/>
      <c r="I222" s="63"/>
      <c r="J222" s="63"/>
      <c r="K222" s="63">
        <f>K223</f>
        <v>60</v>
      </c>
      <c r="L222" s="63">
        <f t="shared" si="127"/>
        <v>5</v>
      </c>
      <c r="M222" s="7">
        <f t="shared" si="121"/>
        <v>8.333333333333332</v>
      </c>
    </row>
    <row r="223" spans="1:13" ht="47.25">
      <c r="A223" s="26" t="s">
        <v>172</v>
      </c>
      <c r="B223" s="10" t="s">
        <v>157</v>
      </c>
      <c r="C223" s="10" t="s">
        <v>179</v>
      </c>
      <c r="D223" s="6" t="s">
        <v>1032</v>
      </c>
      <c r="E223" s="10" t="s">
        <v>173</v>
      </c>
      <c r="F223" s="180">
        <v>60</v>
      </c>
      <c r="G223" s="63"/>
      <c r="H223" s="63"/>
      <c r="I223" s="63"/>
      <c r="J223" s="63"/>
      <c r="K223" s="63">
        <f>'Прил.№4 ведомств.'!G169</f>
        <v>60</v>
      </c>
      <c r="L223" s="63">
        <f>'Прил.№4 ведомств.'!H169</f>
        <v>5</v>
      </c>
      <c r="M223" s="7">
        <f t="shared" si="121"/>
        <v>8.333333333333332</v>
      </c>
    </row>
    <row r="224" spans="1:13" ht="31.5">
      <c r="A224" s="43" t="s">
        <v>261</v>
      </c>
      <c r="B224" s="8" t="s">
        <v>254</v>
      </c>
      <c r="C224" s="8"/>
      <c r="D224" s="8"/>
      <c r="E224" s="8"/>
      <c r="F224" s="4" t="e">
        <f>F225</f>
        <v>#REF!</v>
      </c>
      <c r="G224" s="4" t="e">
        <f aca="true" t="shared" si="128" ref="G224:L226">G225</f>
        <v>#REF!</v>
      </c>
      <c r="H224" s="4" t="e">
        <f t="shared" si="128"/>
        <v>#REF!</v>
      </c>
      <c r="I224" s="4" t="e">
        <f t="shared" si="128"/>
        <v>#REF!</v>
      </c>
      <c r="J224" s="4" t="e">
        <f t="shared" si="128"/>
        <v>#REF!</v>
      </c>
      <c r="K224" s="4">
        <f t="shared" si="128"/>
        <v>8633.1</v>
      </c>
      <c r="L224" s="4">
        <f t="shared" si="128"/>
        <v>5719.1</v>
      </c>
      <c r="M224" s="4">
        <f t="shared" si="121"/>
        <v>66.24619198202268</v>
      </c>
    </row>
    <row r="225" spans="1:15" ht="47.25">
      <c r="A225" s="43" t="s">
        <v>262</v>
      </c>
      <c r="B225" s="8" t="s">
        <v>254</v>
      </c>
      <c r="C225" s="8" t="s">
        <v>258</v>
      </c>
      <c r="D225" s="42"/>
      <c r="E225" s="42"/>
      <c r="F225" s="4" t="e">
        <f>F226</f>
        <v>#REF!</v>
      </c>
      <c r="G225" s="4" t="e">
        <f t="shared" si="128"/>
        <v>#REF!</v>
      </c>
      <c r="H225" s="4" t="e">
        <f t="shared" si="128"/>
        <v>#REF!</v>
      </c>
      <c r="I225" s="4" t="e">
        <f t="shared" si="128"/>
        <v>#REF!</v>
      </c>
      <c r="J225" s="4" t="e">
        <f t="shared" si="128"/>
        <v>#REF!</v>
      </c>
      <c r="K225" s="4">
        <f t="shared" si="128"/>
        <v>8633.1</v>
      </c>
      <c r="L225" s="4">
        <f t="shared" si="128"/>
        <v>5719.1</v>
      </c>
      <c r="M225" s="4">
        <f t="shared" si="121"/>
        <v>66.24619198202268</v>
      </c>
      <c r="N225" s="23"/>
      <c r="O225" s="23"/>
    </row>
    <row r="226" spans="1:13" ht="15.75">
      <c r="A226" s="31" t="s">
        <v>160</v>
      </c>
      <c r="B226" s="42" t="s">
        <v>254</v>
      </c>
      <c r="C226" s="42" t="s">
        <v>258</v>
      </c>
      <c r="D226" s="42" t="s">
        <v>161</v>
      </c>
      <c r="E226" s="42"/>
      <c r="F226" s="7" t="e">
        <f>F227</f>
        <v>#REF!</v>
      </c>
      <c r="G226" s="7" t="e">
        <f t="shared" si="128"/>
        <v>#REF!</v>
      </c>
      <c r="H226" s="7" t="e">
        <f t="shared" si="128"/>
        <v>#REF!</v>
      </c>
      <c r="I226" s="7" t="e">
        <f t="shared" si="128"/>
        <v>#REF!</v>
      </c>
      <c r="J226" s="7" t="e">
        <f t="shared" si="128"/>
        <v>#REF!</v>
      </c>
      <c r="K226" s="7">
        <f t="shared" si="128"/>
        <v>8633.1</v>
      </c>
      <c r="L226" s="7">
        <f t="shared" si="128"/>
        <v>5719.1</v>
      </c>
      <c r="M226" s="7">
        <f t="shared" si="121"/>
        <v>66.24619198202268</v>
      </c>
    </row>
    <row r="227" spans="1:13" ht="15.75">
      <c r="A227" s="31" t="s">
        <v>180</v>
      </c>
      <c r="B227" s="42" t="s">
        <v>254</v>
      </c>
      <c r="C227" s="42" t="s">
        <v>258</v>
      </c>
      <c r="D227" s="42" t="s">
        <v>181</v>
      </c>
      <c r="E227" s="42"/>
      <c r="F227" s="7" t="e">
        <f aca="true" t="shared" si="129" ref="F227:K227">F228+F234+F239+F231</f>
        <v>#REF!</v>
      </c>
      <c r="G227" s="7" t="e">
        <f t="shared" si="129"/>
        <v>#REF!</v>
      </c>
      <c r="H227" s="7" t="e">
        <f t="shared" si="129"/>
        <v>#REF!</v>
      </c>
      <c r="I227" s="7" t="e">
        <f t="shared" si="129"/>
        <v>#REF!</v>
      </c>
      <c r="J227" s="7" t="e">
        <f t="shared" si="129"/>
        <v>#REF!</v>
      </c>
      <c r="K227" s="7">
        <f t="shared" si="129"/>
        <v>8633.1</v>
      </c>
      <c r="L227" s="7">
        <f aca="true" t="shared" si="130" ref="L227">L228+L234+L239+L231</f>
        <v>5719.1</v>
      </c>
      <c r="M227" s="7">
        <f t="shared" si="121"/>
        <v>66.24619198202268</v>
      </c>
    </row>
    <row r="228" spans="1:13" ht="47.25">
      <c r="A228" s="31" t="s">
        <v>263</v>
      </c>
      <c r="B228" s="42" t="s">
        <v>254</v>
      </c>
      <c r="C228" s="42" t="s">
        <v>258</v>
      </c>
      <c r="D228" s="42" t="s">
        <v>264</v>
      </c>
      <c r="E228" s="42"/>
      <c r="F228" s="7" t="e">
        <f>F229</f>
        <v>#REF!</v>
      </c>
      <c r="G228" s="7" t="e">
        <f aca="true" t="shared" si="131" ref="G228:L229">G229</f>
        <v>#REF!</v>
      </c>
      <c r="H228" s="7" t="e">
        <f t="shared" si="131"/>
        <v>#REF!</v>
      </c>
      <c r="I228" s="7" t="e">
        <f t="shared" si="131"/>
        <v>#REF!</v>
      </c>
      <c r="J228" s="7" t="e">
        <f t="shared" si="131"/>
        <v>#REF!</v>
      </c>
      <c r="K228" s="7">
        <f t="shared" si="131"/>
        <v>2269.8</v>
      </c>
      <c r="L228" s="7">
        <f t="shared" si="131"/>
        <v>1607</v>
      </c>
      <c r="M228" s="7">
        <f t="shared" si="121"/>
        <v>70.79918935589038</v>
      </c>
    </row>
    <row r="229" spans="1:13" ht="31.5">
      <c r="A229" s="31" t="s">
        <v>170</v>
      </c>
      <c r="B229" s="42" t="s">
        <v>254</v>
      </c>
      <c r="C229" s="42" t="s">
        <v>258</v>
      </c>
      <c r="D229" s="42" t="s">
        <v>264</v>
      </c>
      <c r="E229" s="42" t="s">
        <v>171</v>
      </c>
      <c r="F229" s="7" t="e">
        <f>F230</f>
        <v>#REF!</v>
      </c>
      <c r="G229" s="7" t="e">
        <f t="shared" si="131"/>
        <v>#REF!</v>
      </c>
      <c r="H229" s="7" t="e">
        <f t="shared" si="131"/>
        <v>#REF!</v>
      </c>
      <c r="I229" s="7" t="e">
        <f t="shared" si="131"/>
        <v>#REF!</v>
      </c>
      <c r="J229" s="7" t="e">
        <f t="shared" si="131"/>
        <v>#REF!</v>
      </c>
      <c r="K229" s="7">
        <f t="shared" si="131"/>
        <v>2269.8</v>
      </c>
      <c r="L229" s="7">
        <f t="shared" si="131"/>
        <v>1607</v>
      </c>
      <c r="M229" s="7">
        <f t="shared" si="121"/>
        <v>70.79918935589038</v>
      </c>
    </row>
    <row r="230" spans="1:13" ht="47.25">
      <c r="A230" s="31" t="s">
        <v>172</v>
      </c>
      <c r="B230" s="42" t="s">
        <v>254</v>
      </c>
      <c r="C230" s="42" t="s">
        <v>258</v>
      </c>
      <c r="D230" s="42" t="s">
        <v>264</v>
      </c>
      <c r="E230" s="42" t="s">
        <v>173</v>
      </c>
      <c r="F230" s="118" t="e">
        <f>#REF!</f>
        <v>#REF!</v>
      </c>
      <c r="G230" s="118" t="e">
        <f>#REF!</f>
        <v>#REF!</v>
      </c>
      <c r="H230" s="118" t="e">
        <f>#REF!</f>
        <v>#REF!</v>
      </c>
      <c r="I230" s="118" t="e">
        <f>#REF!</f>
        <v>#REF!</v>
      </c>
      <c r="J230" s="118" t="e">
        <f>#REF!</f>
        <v>#REF!</v>
      </c>
      <c r="K230" s="118">
        <f>'Прил.№4 ведомств.'!G176</f>
        <v>2269.8</v>
      </c>
      <c r="L230" s="118">
        <f>'Прил.№4 ведомств.'!H176</f>
        <v>1607</v>
      </c>
      <c r="M230" s="7">
        <f t="shared" si="121"/>
        <v>70.79918935589038</v>
      </c>
    </row>
    <row r="231" spans="1:13" ht="15.75" hidden="1">
      <c r="A231" s="26" t="s">
        <v>265</v>
      </c>
      <c r="B231" s="21" t="s">
        <v>254</v>
      </c>
      <c r="C231" s="21" t="s">
        <v>258</v>
      </c>
      <c r="D231" s="21" t="s">
        <v>266</v>
      </c>
      <c r="E231" s="21"/>
      <c r="F231" s="118" t="e">
        <f>F232</f>
        <v>#REF!</v>
      </c>
      <c r="G231" s="118" t="e">
        <f aca="true" t="shared" si="132" ref="G231:L232">G232</f>
        <v>#REF!</v>
      </c>
      <c r="H231" s="118" t="e">
        <f t="shared" si="132"/>
        <v>#REF!</v>
      </c>
      <c r="I231" s="118" t="e">
        <f t="shared" si="132"/>
        <v>#REF!</v>
      </c>
      <c r="J231" s="118" t="e">
        <f t="shared" si="132"/>
        <v>#REF!</v>
      </c>
      <c r="K231" s="118">
        <f t="shared" si="132"/>
        <v>0</v>
      </c>
      <c r="L231" s="118">
        <f t="shared" si="132"/>
        <v>0</v>
      </c>
      <c r="M231" s="7" t="e">
        <f t="shared" si="121"/>
        <v>#DIV/0!</v>
      </c>
    </row>
    <row r="232" spans="1:13" ht="31.5" hidden="1">
      <c r="A232" s="26" t="s">
        <v>237</v>
      </c>
      <c r="B232" s="21" t="s">
        <v>254</v>
      </c>
      <c r="C232" s="21" t="s">
        <v>258</v>
      </c>
      <c r="D232" s="21" t="s">
        <v>266</v>
      </c>
      <c r="E232" s="21" t="s">
        <v>171</v>
      </c>
      <c r="F232" s="118" t="e">
        <f>F233</f>
        <v>#REF!</v>
      </c>
      <c r="G232" s="118" t="e">
        <f t="shared" si="132"/>
        <v>#REF!</v>
      </c>
      <c r="H232" s="118" t="e">
        <f t="shared" si="132"/>
        <v>#REF!</v>
      </c>
      <c r="I232" s="118" t="e">
        <f t="shared" si="132"/>
        <v>#REF!</v>
      </c>
      <c r="J232" s="118" t="e">
        <f t="shared" si="132"/>
        <v>#REF!</v>
      </c>
      <c r="K232" s="118">
        <f t="shared" si="132"/>
        <v>0</v>
      </c>
      <c r="L232" s="118">
        <f t="shared" si="132"/>
        <v>0</v>
      </c>
      <c r="M232" s="7" t="e">
        <f t="shared" si="121"/>
        <v>#DIV/0!</v>
      </c>
    </row>
    <row r="233" spans="1:13" ht="47.25" hidden="1">
      <c r="A233" s="26" t="s">
        <v>172</v>
      </c>
      <c r="B233" s="21" t="s">
        <v>254</v>
      </c>
      <c r="C233" s="21" t="s">
        <v>258</v>
      </c>
      <c r="D233" s="21" t="s">
        <v>266</v>
      </c>
      <c r="E233" s="21" t="s">
        <v>173</v>
      </c>
      <c r="F233" s="118" t="e">
        <f>#REF!</f>
        <v>#REF!</v>
      </c>
      <c r="G233" s="118" t="e">
        <f>#REF!</f>
        <v>#REF!</v>
      </c>
      <c r="H233" s="118" t="e">
        <f>#REF!</f>
        <v>#REF!</v>
      </c>
      <c r="I233" s="118" t="e">
        <f>#REF!</f>
        <v>#REF!</v>
      </c>
      <c r="J233" s="118" t="e">
        <f>#REF!</f>
        <v>#REF!</v>
      </c>
      <c r="K233" s="118">
        <f>'Прил.№4 ведомств.'!G179</f>
        <v>0</v>
      </c>
      <c r="L233" s="118">
        <f>'Прил.№4 ведомств.'!H179</f>
        <v>0</v>
      </c>
      <c r="M233" s="7" t="e">
        <f t="shared" si="121"/>
        <v>#DIV/0!</v>
      </c>
    </row>
    <row r="234" spans="1:13" ht="31.5">
      <c r="A234" s="31" t="s">
        <v>267</v>
      </c>
      <c r="B234" s="42" t="s">
        <v>254</v>
      </c>
      <c r="C234" s="42" t="s">
        <v>258</v>
      </c>
      <c r="D234" s="42" t="s">
        <v>268</v>
      </c>
      <c r="E234" s="42"/>
      <c r="F234" s="7" t="e">
        <f aca="true" t="shared" si="133" ref="F234:K234">F235+F237</f>
        <v>#REF!</v>
      </c>
      <c r="G234" s="7" t="e">
        <f t="shared" si="133"/>
        <v>#REF!</v>
      </c>
      <c r="H234" s="7" t="e">
        <f t="shared" si="133"/>
        <v>#REF!</v>
      </c>
      <c r="I234" s="7" t="e">
        <f t="shared" si="133"/>
        <v>#REF!</v>
      </c>
      <c r="J234" s="7" t="e">
        <f t="shared" si="133"/>
        <v>#REF!</v>
      </c>
      <c r="K234" s="7">
        <f t="shared" si="133"/>
        <v>6059.4</v>
      </c>
      <c r="L234" s="7">
        <f aca="true" t="shared" si="134" ref="L234">L235+L237</f>
        <v>4005.2000000000003</v>
      </c>
      <c r="M234" s="7">
        <f t="shared" si="121"/>
        <v>66.09895369178467</v>
      </c>
    </row>
    <row r="235" spans="1:13" ht="78.75">
      <c r="A235" s="31" t="s">
        <v>166</v>
      </c>
      <c r="B235" s="42" t="s">
        <v>254</v>
      </c>
      <c r="C235" s="42" t="s">
        <v>258</v>
      </c>
      <c r="D235" s="42" t="s">
        <v>268</v>
      </c>
      <c r="E235" s="42" t="s">
        <v>167</v>
      </c>
      <c r="F235" s="63" t="e">
        <f aca="true" t="shared" si="135" ref="F235:L235">F236</f>
        <v>#REF!</v>
      </c>
      <c r="G235" s="63" t="e">
        <f t="shared" si="135"/>
        <v>#REF!</v>
      </c>
      <c r="H235" s="63" t="e">
        <f t="shared" si="135"/>
        <v>#REF!</v>
      </c>
      <c r="I235" s="63" t="e">
        <f t="shared" si="135"/>
        <v>#REF!</v>
      </c>
      <c r="J235" s="63" t="e">
        <f t="shared" si="135"/>
        <v>#REF!</v>
      </c>
      <c r="K235" s="63">
        <f t="shared" si="135"/>
        <v>4817.5</v>
      </c>
      <c r="L235" s="63">
        <f t="shared" si="135"/>
        <v>3884.3</v>
      </c>
      <c r="M235" s="7">
        <f t="shared" si="121"/>
        <v>80.62895692786715</v>
      </c>
    </row>
    <row r="236" spans="1:13" ht="31.5">
      <c r="A236" s="31" t="s">
        <v>381</v>
      </c>
      <c r="B236" s="42" t="s">
        <v>254</v>
      </c>
      <c r="C236" s="42" t="s">
        <v>258</v>
      </c>
      <c r="D236" s="42" t="s">
        <v>268</v>
      </c>
      <c r="E236" s="42" t="s">
        <v>248</v>
      </c>
      <c r="F236" s="63" t="e">
        <f>#REF!</f>
        <v>#REF!</v>
      </c>
      <c r="G236" s="63" t="e">
        <f>#REF!</f>
        <v>#REF!</v>
      </c>
      <c r="H236" s="63" t="e">
        <f>#REF!</f>
        <v>#REF!</v>
      </c>
      <c r="I236" s="63" t="e">
        <f>#REF!</f>
        <v>#REF!</v>
      </c>
      <c r="J236" s="63" t="e">
        <f>#REF!</f>
        <v>#REF!</v>
      </c>
      <c r="K236" s="63">
        <f>'Прил.№4 ведомств.'!G182</f>
        <v>4817.5</v>
      </c>
      <c r="L236" s="63">
        <f>'Прил.№4 ведомств.'!H182</f>
        <v>3884.3</v>
      </c>
      <c r="M236" s="7">
        <f t="shared" si="121"/>
        <v>80.62895692786715</v>
      </c>
    </row>
    <row r="237" spans="1:13" ht="31.5">
      <c r="A237" s="31" t="s">
        <v>170</v>
      </c>
      <c r="B237" s="42" t="s">
        <v>254</v>
      </c>
      <c r="C237" s="42" t="s">
        <v>258</v>
      </c>
      <c r="D237" s="42" t="s">
        <v>268</v>
      </c>
      <c r="E237" s="42" t="s">
        <v>171</v>
      </c>
      <c r="F237" s="7" t="e">
        <f aca="true" t="shared" si="136" ref="F237:L237">F238</f>
        <v>#REF!</v>
      </c>
      <c r="G237" s="7" t="e">
        <f t="shared" si="136"/>
        <v>#REF!</v>
      </c>
      <c r="H237" s="7" t="e">
        <f t="shared" si="136"/>
        <v>#REF!</v>
      </c>
      <c r="I237" s="7" t="e">
        <f t="shared" si="136"/>
        <v>#REF!</v>
      </c>
      <c r="J237" s="7" t="e">
        <f t="shared" si="136"/>
        <v>#REF!</v>
      </c>
      <c r="K237" s="7">
        <f t="shared" si="136"/>
        <v>1241.9</v>
      </c>
      <c r="L237" s="7">
        <f t="shared" si="136"/>
        <v>120.9</v>
      </c>
      <c r="M237" s="7">
        <f t="shared" si="121"/>
        <v>9.735083340043483</v>
      </c>
    </row>
    <row r="238" spans="1:13" ht="47.25">
      <c r="A238" s="31" t="s">
        <v>172</v>
      </c>
      <c r="B238" s="42" t="s">
        <v>254</v>
      </c>
      <c r="C238" s="42" t="s">
        <v>258</v>
      </c>
      <c r="D238" s="42" t="s">
        <v>268</v>
      </c>
      <c r="E238" s="42" t="s">
        <v>173</v>
      </c>
      <c r="F238" s="7" t="e">
        <f>#REF!</f>
        <v>#REF!</v>
      </c>
      <c r="G238" s="7" t="e">
        <f>#REF!</f>
        <v>#REF!</v>
      </c>
      <c r="H238" s="7" t="e">
        <f>#REF!</f>
        <v>#REF!</v>
      </c>
      <c r="I238" s="7" t="e">
        <f>#REF!</f>
        <v>#REF!</v>
      </c>
      <c r="J238" s="7" t="e">
        <f>#REF!</f>
        <v>#REF!</v>
      </c>
      <c r="K238" s="7">
        <f>'Прил.№4 ведомств.'!G184</f>
        <v>1241.9</v>
      </c>
      <c r="L238" s="7">
        <f>'Прил.№4 ведомств.'!H184</f>
        <v>120.9</v>
      </c>
      <c r="M238" s="7">
        <f t="shared" si="121"/>
        <v>9.735083340043483</v>
      </c>
    </row>
    <row r="239" spans="1:13" ht="15.75">
      <c r="A239" s="31" t="s">
        <v>269</v>
      </c>
      <c r="B239" s="42" t="s">
        <v>254</v>
      </c>
      <c r="C239" s="42" t="s">
        <v>258</v>
      </c>
      <c r="D239" s="42" t="s">
        <v>270</v>
      </c>
      <c r="E239" s="42"/>
      <c r="F239" s="7" t="e">
        <f>F240</f>
        <v>#REF!</v>
      </c>
      <c r="G239" s="7" t="e">
        <f aca="true" t="shared" si="137" ref="G239:L240">G240</f>
        <v>#REF!</v>
      </c>
      <c r="H239" s="7" t="e">
        <f t="shared" si="137"/>
        <v>#REF!</v>
      </c>
      <c r="I239" s="7" t="e">
        <f t="shared" si="137"/>
        <v>#REF!</v>
      </c>
      <c r="J239" s="7" t="e">
        <f t="shared" si="137"/>
        <v>#REF!</v>
      </c>
      <c r="K239" s="7">
        <f t="shared" si="137"/>
        <v>303.9</v>
      </c>
      <c r="L239" s="7">
        <f t="shared" si="137"/>
        <v>106.9</v>
      </c>
      <c r="M239" s="7">
        <f t="shared" si="121"/>
        <v>35.17604475156302</v>
      </c>
    </row>
    <row r="240" spans="1:13" ht="31.5">
      <c r="A240" s="31" t="s">
        <v>170</v>
      </c>
      <c r="B240" s="42" t="s">
        <v>254</v>
      </c>
      <c r="C240" s="42" t="s">
        <v>258</v>
      </c>
      <c r="D240" s="42" t="s">
        <v>270</v>
      </c>
      <c r="E240" s="42" t="s">
        <v>171</v>
      </c>
      <c r="F240" s="7" t="e">
        <f>F241</f>
        <v>#REF!</v>
      </c>
      <c r="G240" s="7" t="e">
        <f t="shared" si="137"/>
        <v>#REF!</v>
      </c>
      <c r="H240" s="7" t="e">
        <f t="shared" si="137"/>
        <v>#REF!</v>
      </c>
      <c r="I240" s="7" t="e">
        <f t="shared" si="137"/>
        <v>#REF!</v>
      </c>
      <c r="J240" s="7" t="e">
        <f t="shared" si="137"/>
        <v>#REF!</v>
      </c>
      <c r="K240" s="7">
        <f t="shared" si="137"/>
        <v>303.9</v>
      </c>
      <c r="L240" s="7">
        <f t="shared" si="137"/>
        <v>106.9</v>
      </c>
      <c r="M240" s="7">
        <f t="shared" si="121"/>
        <v>35.17604475156302</v>
      </c>
    </row>
    <row r="241" spans="1:13" ht="47.25">
      <c r="A241" s="31" t="s">
        <v>172</v>
      </c>
      <c r="B241" s="42" t="s">
        <v>254</v>
      </c>
      <c r="C241" s="42" t="s">
        <v>258</v>
      </c>
      <c r="D241" s="42" t="s">
        <v>270</v>
      </c>
      <c r="E241" s="42" t="s">
        <v>173</v>
      </c>
      <c r="F241" s="7" t="e">
        <f>#REF!+#REF!</f>
        <v>#REF!</v>
      </c>
      <c r="G241" s="7" t="e">
        <f>#REF!+#REF!</f>
        <v>#REF!</v>
      </c>
      <c r="H241" s="7" t="e">
        <f>#REF!+#REF!</f>
        <v>#REF!</v>
      </c>
      <c r="I241" s="7" t="e">
        <f>#REF!+#REF!</f>
        <v>#REF!</v>
      </c>
      <c r="J241" s="7" t="e">
        <f>#REF!+#REF!</f>
        <v>#REF!</v>
      </c>
      <c r="K241" s="7">
        <f>'Прил.№4 ведомств.'!G1034+'Прил.№4 ведомств.'!G187</f>
        <v>303.9</v>
      </c>
      <c r="L241" s="7">
        <f>'Прил.№4 ведомств.'!H1034+'Прил.№4 ведомств.'!H187</f>
        <v>106.9</v>
      </c>
      <c r="M241" s="7">
        <f t="shared" si="121"/>
        <v>35.17604475156302</v>
      </c>
    </row>
    <row r="242" spans="1:13" ht="15.75">
      <c r="A242" s="43" t="s">
        <v>271</v>
      </c>
      <c r="B242" s="8" t="s">
        <v>189</v>
      </c>
      <c r="C242" s="8"/>
      <c r="D242" s="8"/>
      <c r="E242" s="8"/>
      <c r="F242" s="4" t="e">
        <f aca="true" t="shared" si="138" ref="F242:K242">F259+F265+F272+F243</f>
        <v>#REF!</v>
      </c>
      <c r="G242" s="4" t="e">
        <f t="shared" si="138"/>
        <v>#REF!</v>
      </c>
      <c r="H242" s="4" t="e">
        <f t="shared" si="138"/>
        <v>#REF!</v>
      </c>
      <c r="I242" s="4" t="e">
        <f t="shared" si="138"/>
        <v>#REF!</v>
      </c>
      <c r="J242" s="4" t="e">
        <f t="shared" si="138"/>
        <v>#REF!</v>
      </c>
      <c r="K242" s="4">
        <f t="shared" si="138"/>
        <v>10461.5</v>
      </c>
      <c r="L242" s="4">
        <f aca="true" t="shared" si="139" ref="L242">L259+L265+L272+L243</f>
        <v>3464.8</v>
      </c>
      <c r="M242" s="4">
        <f t="shared" si="121"/>
        <v>33.119533527696795</v>
      </c>
    </row>
    <row r="243" spans="1:13" ht="15.75">
      <c r="A243" s="43" t="s">
        <v>272</v>
      </c>
      <c r="B243" s="8" t="s">
        <v>189</v>
      </c>
      <c r="C243" s="8" t="s">
        <v>273</v>
      </c>
      <c r="D243" s="8"/>
      <c r="E243" s="8"/>
      <c r="F243" s="4" t="e">
        <f aca="true" t="shared" si="140" ref="F243:K243">F251+F244</f>
        <v>#REF!</v>
      </c>
      <c r="G243" s="4" t="e">
        <f t="shared" si="140"/>
        <v>#REF!</v>
      </c>
      <c r="H243" s="4" t="e">
        <f t="shared" si="140"/>
        <v>#REF!</v>
      </c>
      <c r="I243" s="4" t="e">
        <f t="shared" si="140"/>
        <v>#REF!</v>
      </c>
      <c r="J243" s="4" t="e">
        <f t="shared" si="140"/>
        <v>#REF!</v>
      </c>
      <c r="K243" s="4">
        <f t="shared" si="140"/>
        <v>355</v>
      </c>
      <c r="L243" s="4">
        <f aca="true" t="shared" si="141" ref="L243">L251+L244</f>
        <v>182</v>
      </c>
      <c r="M243" s="4">
        <f t="shared" si="121"/>
        <v>51.267605633802816</v>
      </c>
    </row>
    <row r="244" spans="1:13" ht="47.25">
      <c r="A244" s="33" t="s">
        <v>220</v>
      </c>
      <c r="B244" s="21" t="s">
        <v>189</v>
      </c>
      <c r="C244" s="21" t="s">
        <v>273</v>
      </c>
      <c r="D244" s="32" t="s">
        <v>221</v>
      </c>
      <c r="E244" s="34"/>
      <c r="F244" s="7" t="e">
        <f>F245</f>
        <v>#REF!</v>
      </c>
      <c r="G244" s="7" t="e">
        <f aca="true" t="shared" si="142" ref="G244:L246">G245</f>
        <v>#REF!</v>
      </c>
      <c r="H244" s="7" t="e">
        <f t="shared" si="142"/>
        <v>#REF!</v>
      </c>
      <c r="I244" s="7" t="e">
        <f t="shared" si="142"/>
        <v>#REF!</v>
      </c>
      <c r="J244" s="7" t="e">
        <f t="shared" si="142"/>
        <v>#REF!</v>
      </c>
      <c r="K244" s="7">
        <f>K245+K249</f>
        <v>100</v>
      </c>
      <c r="L244" s="7">
        <f aca="true" t="shared" si="143" ref="L244">L245+L249</f>
        <v>42</v>
      </c>
      <c r="M244" s="7">
        <f t="shared" si="121"/>
        <v>42</v>
      </c>
    </row>
    <row r="245" spans="1:13" ht="31.5">
      <c r="A245" s="26" t="s">
        <v>196</v>
      </c>
      <c r="B245" s="21" t="s">
        <v>189</v>
      </c>
      <c r="C245" s="21" t="s">
        <v>273</v>
      </c>
      <c r="D245" s="21" t="s">
        <v>222</v>
      </c>
      <c r="E245" s="34"/>
      <c r="F245" s="7" t="e">
        <f>F246</f>
        <v>#REF!</v>
      </c>
      <c r="G245" s="7" t="e">
        <f t="shared" si="142"/>
        <v>#REF!</v>
      </c>
      <c r="H245" s="7" t="e">
        <f t="shared" si="142"/>
        <v>#REF!</v>
      </c>
      <c r="I245" s="7" t="e">
        <f t="shared" si="142"/>
        <v>#REF!</v>
      </c>
      <c r="J245" s="7" t="e">
        <f t="shared" si="142"/>
        <v>#REF!</v>
      </c>
      <c r="K245" s="7">
        <f t="shared" si="142"/>
        <v>100</v>
      </c>
      <c r="L245" s="7">
        <f t="shared" si="142"/>
        <v>42</v>
      </c>
      <c r="M245" s="7">
        <f t="shared" si="121"/>
        <v>42</v>
      </c>
    </row>
    <row r="246" spans="1:13" ht="15.75">
      <c r="A246" s="31" t="s">
        <v>174</v>
      </c>
      <c r="B246" s="21" t="s">
        <v>189</v>
      </c>
      <c r="C246" s="21" t="s">
        <v>273</v>
      </c>
      <c r="D246" s="21" t="s">
        <v>222</v>
      </c>
      <c r="E246" s="34" t="s">
        <v>184</v>
      </c>
      <c r="F246" s="7" t="e">
        <f>F247</f>
        <v>#REF!</v>
      </c>
      <c r="G246" s="7" t="e">
        <f t="shared" si="142"/>
        <v>#REF!</v>
      </c>
      <c r="H246" s="7" t="e">
        <f t="shared" si="142"/>
        <v>#REF!</v>
      </c>
      <c r="I246" s="7" t="e">
        <f t="shared" si="142"/>
        <v>#REF!</v>
      </c>
      <c r="J246" s="7" t="e">
        <f t="shared" si="142"/>
        <v>#REF!</v>
      </c>
      <c r="K246" s="7">
        <f t="shared" si="142"/>
        <v>100</v>
      </c>
      <c r="L246" s="7">
        <f t="shared" si="142"/>
        <v>42</v>
      </c>
      <c r="M246" s="7">
        <f t="shared" si="121"/>
        <v>42</v>
      </c>
    </row>
    <row r="247" spans="1:13" ht="47.25">
      <c r="A247" s="31" t="s">
        <v>223</v>
      </c>
      <c r="B247" s="21" t="s">
        <v>189</v>
      </c>
      <c r="C247" s="21" t="s">
        <v>273</v>
      </c>
      <c r="D247" s="21" t="s">
        <v>222</v>
      </c>
      <c r="E247" s="34" t="s">
        <v>199</v>
      </c>
      <c r="F247" s="7" t="e">
        <f>#REF!</f>
        <v>#REF!</v>
      </c>
      <c r="G247" s="7" t="e">
        <f>#REF!</f>
        <v>#REF!</v>
      </c>
      <c r="H247" s="7" t="e">
        <f>#REF!</f>
        <v>#REF!</v>
      </c>
      <c r="I247" s="7" t="e">
        <f>#REF!</f>
        <v>#REF!</v>
      </c>
      <c r="J247" s="7" t="e">
        <f>#REF!</f>
        <v>#REF!</v>
      </c>
      <c r="K247" s="7">
        <f>'Прил.№4 ведомств.'!G193</f>
        <v>100</v>
      </c>
      <c r="L247" s="7">
        <f>'Прил.№4 ведомств.'!H193</f>
        <v>42</v>
      </c>
      <c r="M247" s="7">
        <f t="shared" si="121"/>
        <v>42</v>
      </c>
    </row>
    <row r="248" spans="1:13" ht="31.5" hidden="1">
      <c r="A248" s="26" t="s">
        <v>932</v>
      </c>
      <c r="B248" s="21" t="s">
        <v>189</v>
      </c>
      <c r="C248" s="21" t="s">
        <v>273</v>
      </c>
      <c r="D248" s="21" t="s">
        <v>934</v>
      </c>
      <c r="E248" s="34"/>
      <c r="F248" s="7"/>
      <c r="G248" s="7"/>
      <c r="H248" s="7"/>
      <c r="I248" s="7"/>
      <c r="J248" s="7"/>
      <c r="K248" s="7">
        <f>K249</f>
        <v>0</v>
      </c>
      <c r="L248" s="7">
        <f aca="true" t="shared" si="144" ref="L248:L249">L249</f>
        <v>0</v>
      </c>
      <c r="M248" s="7" t="e">
        <f t="shared" si="121"/>
        <v>#DIV/0!</v>
      </c>
    </row>
    <row r="249" spans="1:13" ht="15.75" hidden="1">
      <c r="A249" s="31" t="s">
        <v>174</v>
      </c>
      <c r="B249" s="21" t="s">
        <v>189</v>
      </c>
      <c r="C249" s="21" t="s">
        <v>273</v>
      </c>
      <c r="D249" s="21" t="s">
        <v>934</v>
      </c>
      <c r="E249" s="34" t="s">
        <v>184</v>
      </c>
      <c r="F249" s="7"/>
      <c r="G249" s="7"/>
      <c r="H249" s="7"/>
      <c r="I249" s="7"/>
      <c r="J249" s="7"/>
      <c r="K249" s="7">
        <f>K250</f>
        <v>0</v>
      </c>
      <c r="L249" s="7">
        <f t="shared" si="144"/>
        <v>0</v>
      </c>
      <c r="M249" s="7" t="e">
        <f t="shared" si="121"/>
        <v>#DIV/0!</v>
      </c>
    </row>
    <row r="250" spans="1:13" ht="47.25" hidden="1">
      <c r="A250" s="31" t="s">
        <v>223</v>
      </c>
      <c r="B250" s="21" t="s">
        <v>189</v>
      </c>
      <c r="C250" s="21" t="s">
        <v>273</v>
      </c>
      <c r="D250" s="21" t="s">
        <v>934</v>
      </c>
      <c r="E250" s="34" t="s">
        <v>199</v>
      </c>
      <c r="F250" s="7"/>
      <c r="G250" s="7"/>
      <c r="H250" s="7"/>
      <c r="I250" s="7"/>
      <c r="J250" s="7"/>
      <c r="K250" s="7">
        <f>'Прил.№4 ведомств.'!G196</f>
        <v>0</v>
      </c>
      <c r="L250" s="7">
        <f>'Прил.№4 ведомств.'!H196</f>
        <v>0</v>
      </c>
      <c r="M250" s="7" t="e">
        <f t="shared" si="121"/>
        <v>#DIV/0!</v>
      </c>
    </row>
    <row r="251" spans="1:13" ht="15.75">
      <c r="A251" s="31" t="s">
        <v>160</v>
      </c>
      <c r="B251" s="42" t="s">
        <v>189</v>
      </c>
      <c r="C251" s="42" t="s">
        <v>273</v>
      </c>
      <c r="D251" s="42" t="s">
        <v>161</v>
      </c>
      <c r="E251" s="42"/>
      <c r="F251" s="7" t="e">
        <f aca="true" t="shared" si="145" ref="F251:L251">F252</f>
        <v>#REF!</v>
      </c>
      <c r="G251" s="7" t="e">
        <f t="shared" si="145"/>
        <v>#REF!</v>
      </c>
      <c r="H251" s="7" t="e">
        <f t="shared" si="145"/>
        <v>#REF!</v>
      </c>
      <c r="I251" s="7" t="e">
        <f t="shared" si="145"/>
        <v>#REF!</v>
      </c>
      <c r="J251" s="7" t="e">
        <f t="shared" si="145"/>
        <v>#REF!</v>
      </c>
      <c r="K251" s="7">
        <f t="shared" si="145"/>
        <v>255</v>
      </c>
      <c r="L251" s="7">
        <f t="shared" si="145"/>
        <v>140</v>
      </c>
      <c r="M251" s="7">
        <f t="shared" si="121"/>
        <v>54.90196078431373</v>
      </c>
    </row>
    <row r="252" spans="1:13" ht="31.5">
      <c r="A252" s="31" t="s">
        <v>224</v>
      </c>
      <c r="B252" s="42" t="s">
        <v>189</v>
      </c>
      <c r="C252" s="42" t="s">
        <v>273</v>
      </c>
      <c r="D252" s="42" t="s">
        <v>225</v>
      </c>
      <c r="E252" s="42"/>
      <c r="F252" s="7" t="e">
        <f>F256</f>
        <v>#REF!</v>
      </c>
      <c r="G252" s="7" t="e">
        <f>G256</f>
        <v>#REF!</v>
      </c>
      <c r="H252" s="7" t="e">
        <f>H256</f>
        <v>#REF!</v>
      </c>
      <c r="I252" s="7" t="e">
        <f>I256</f>
        <v>#REF!</v>
      </c>
      <c r="J252" s="7" t="e">
        <f>J256</f>
        <v>#REF!</v>
      </c>
      <c r="K252" s="7">
        <f>K256+K253</f>
        <v>255</v>
      </c>
      <c r="L252" s="7">
        <f aca="true" t="shared" si="146" ref="L252">L256+L253</f>
        <v>140</v>
      </c>
      <c r="M252" s="7">
        <f t="shared" si="121"/>
        <v>54.90196078431373</v>
      </c>
    </row>
    <row r="253" spans="1:13" ht="31.5" hidden="1">
      <c r="A253" s="26" t="s">
        <v>932</v>
      </c>
      <c r="B253" s="42" t="s">
        <v>189</v>
      </c>
      <c r="C253" s="42" t="s">
        <v>273</v>
      </c>
      <c r="D253" s="21" t="s">
        <v>933</v>
      </c>
      <c r="E253" s="42"/>
      <c r="F253" s="7"/>
      <c r="G253" s="7"/>
      <c r="H253" s="7"/>
      <c r="I253" s="7"/>
      <c r="J253" s="7"/>
      <c r="K253" s="7">
        <f>K254</f>
        <v>0</v>
      </c>
      <c r="L253" s="7">
        <f aca="true" t="shared" si="147" ref="L253:L254">L254</f>
        <v>0</v>
      </c>
      <c r="M253" s="7" t="e">
        <f t="shared" si="121"/>
        <v>#DIV/0!</v>
      </c>
    </row>
    <row r="254" spans="1:13" ht="15.75" hidden="1">
      <c r="A254" s="31" t="s">
        <v>174</v>
      </c>
      <c r="B254" s="42" t="s">
        <v>189</v>
      </c>
      <c r="C254" s="42" t="s">
        <v>273</v>
      </c>
      <c r="D254" s="21" t="s">
        <v>933</v>
      </c>
      <c r="E254" s="42" t="s">
        <v>184</v>
      </c>
      <c r="F254" s="7"/>
      <c r="G254" s="7"/>
      <c r="H254" s="7"/>
      <c r="I254" s="7"/>
      <c r="J254" s="7"/>
      <c r="K254" s="7">
        <f>K255</f>
        <v>0</v>
      </c>
      <c r="L254" s="7">
        <f t="shared" si="147"/>
        <v>0</v>
      </c>
      <c r="M254" s="7" t="e">
        <f t="shared" si="121"/>
        <v>#DIV/0!</v>
      </c>
    </row>
    <row r="255" spans="1:13" ht="47.25" hidden="1">
      <c r="A255" s="31" t="s">
        <v>223</v>
      </c>
      <c r="B255" s="42" t="s">
        <v>189</v>
      </c>
      <c r="C255" s="42" t="s">
        <v>273</v>
      </c>
      <c r="D255" s="21" t="s">
        <v>933</v>
      </c>
      <c r="E255" s="42" t="s">
        <v>199</v>
      </c>
      <c r="F255" s="7"/>
      <c r="G255" s="7"/>
      <c r="H255" s="7"/>
      <c r="I255" s="7"/>
      <c r="J255" s="7"/>
      <c r="K255" s="7">
        <f>'Прил.№4 ведомств.'!G201</f>
        <v>0</v>
      </c>
      <c r="L255" s="7">
        <f>'Прил.№4 ведомств.'!H201</f>
        <v>0</v>
      </c>
      <c r="M255" s="7" t="e">
        <f t="shared" si="121"/>
        <v>#DIV/0!</v>
      </c>
    </row>
    <row r="256" spans="1:13" ht="31.5">
      <c r="A256" s="26" t="s">
        <v>640</v>
      </c>
      <c r="B256" s="42" t="s">
        <v>189</v>
      </c>
      <c r="C256" s="42" t="s">
        <v>273</v>
      </c>
      <c r="D256" s="42" t="s">
        <v>275</v>
      </c>
      <c r="E256" s="42"/>
      <c r="F256" s="7" t="e">
        <f aca="true" t="shared" si="148" ref="F256:L257">F257</f>
        <v>#REF!</v>
      </c>
      <c r="G256" s="7" t="e">
        <f t="shared" si="148"/>
        <v>#REF!</v>
      </c>
      <c r="H256" s="7" t="e">
        <f t="shared" si="148"/>
        <v>#REF!</v>
      </c>
      <c r="I256" s="7" t="e">
        <f t="shared" si="148"/>
        <v>#REF!</v>
      </c>
      <c r="J256" s="7" t="e">
        <f t="shared" si="148"/>
        <v>#REF!</v>
      </c>
      <c r="K256" s="7">
        <f t="shared" si="148"/>
        <v>255</v>
      </c>
      <c r="L256" s="7">
        <f t="shared" si="148"/>
        <v>140</v>
      </c>
      <c r="M256" s="7">
        <f t="shared" si="121"/>
        <v>54.90196078431373</v>
      </c>
    </row>
    <row r="257" spans="1:13" ht="15.75">
      <c r="A257" s="31" t="s">
        <v>174</v>
      </c>
      <c r="B257" s="42" t="s">
        <v>189</v>
      </c>
      <c r="C257" s="42" t="s">
        <v>273</v>
      </c>
      <c r="D257" s="42" t="s">
        <v>275</v>
      </c>
      <c r="E257" s="42" t="s">
        <v>184</v>
      </c>
      <c r="F257" s="7" t="e">
        <f t="shared" si="148"/>
        <v>#REF!</v>
      </c>
      <c r="G257" s="7" t="e">
        <f t="shared" si="148"/>
        <v>#REF!</v>
      </c>
      <c r="H257" s="7" t="e">
        <f t="shared" si="148"/>
        <v>#REF!</v>
      </c>
      <c r="I257" s="7" t="e">
        <f t="shared" si="148"/>
        <v>#REF!</v>
      </c>
      <c r="J257" s="7" t="e">
        <f t="shared" si="148"/>
        <v>#REF!</v>
      </c>
      <c r="K257" s="7">
        <f t="shared" si="148"/>
        <v>255</v>
      </c>
      <c r="L257" s="7">
        <f t="shared" si="148"/>
        <v>140</v>
      </c>
      <c r="M257" s="7">
        <f t="shared" si="121"/>
        <v>54.90196078431373</v>
      </c>
    </row>
    <row r="258" spans="1:13" ht="47.25">
      <c r="A258" s="26" t="s">
        <v>223</v>
      </c>
      <c r="B258" s="42" t="s">
        <v>189</v>
      </c>
      <c r="C258" s="42" t="s">
        <v>273</v>
      </c>
      <c r="D258" s="42" t="s">
        <v>275</v>
      </c>
      <c r="E258" s="42" t="s">
        <v>199</v>
      </c>
      <c r="F258" s="7" t="e">
        <f>#REF!</f>
        <v>#REF!</v>
      </c>
      <c r="G258" s="7" t="e">
        <f>#REF!</f>
        <v>#REF!</v>
      </c>
      <c r="H258" s="7" t="e">
        <f>#REF!</f>
        <v>#REF!</v>
      </c>
      <c r="I258" s="7" t="e">
        <f>#REF!</f>
        <v>#REF!</v>
      </c>
      <c r="J258" s="7" t="e">
        <f>#REF!</f>
        <v>#REF!</v>
      </c>
      <c r="K258" s="7">
        <f>'Прил.№4 ведомств.'!G204</f>
        <v>255</v>
      </c>
      <c r="L258" s="7">
        <f>'Прил.№4 ведомств.'!H204</f>
        <v>140</v>
      </c>
      <c r="M258" s="7">
        <f t="shared" si="121"/>
        <v>54.90196078431373</v>
      </c>
    </row>
    <row r="259" spans="1:13" ht="15.75">
      <c r="A259" s="43" t="s">
        <v>545</v>
      </c>
      <c r="B259" s="8" t="s">
        <v>189</v>
      </c>
      <c r="C259" s="8" t="s">
        <v>338</v>
      </c>
      <c r="D259" s="8"/>
      <c r="E259" s="8"/>
      <c r="F259" s="4" t="e">
        <f>F260</f>
        <v>#REF!</v>
      </c>
      <c r="G259" s="4" t="e">
        <f aca="true" t="shared" si="149" ref="G259:L263">G260</f>
        <v>#REF!</v>
      </c>
      <c r="H259" s="4" t="e">
        <f t="shared" si="149"/>
        <v>#REF!</v>
      </c>
      <c r="I259" s="4" t="e">
        <f t="shared" si="149"/>
        <v>#REF!</v>
      </c>
      <c r="J259" s="4" t="e">
        <f t="shared" si="149"/>
        <v>#REF!</v>
      </c>
      <c r="K259" s="4">
        <f t="shared" si="149"/>
        <v>3258.3</v>
      </c>
      <c r="L259" s="4">
        <f t="shared" si="149"/>
        <v>2136</v>
      </c>
      <c r="M259" s="4">
        <f t="shared" si="121"/>
        <v>65.55565785839241</v>
      </c>
    </row>
    <row r="260" spans="1:13" ht="15.75">
      <c r="A260" s="31" t="s">
        <v>160</v>
      </c>
      <c r="B260" s="42" t="s">
        <v>189</v>
      </c>
      <c r="C260" s="42" t="s">
        <v>338</v>
      </c>
      <c r="D260" s="42" t="s">
        <v>161</v>
      </c>
      <c r="E260" s="8"/>
      <c r="F260" s="7" t="e">
        <f>F261</f>
        <v>#REF!</v>
      </c>
      <c r="G260" s="7" t="e">
        <f t="shared" si="149"/>
        <v>#REF!</v>
      </c>
      <c r="H260" s="7" t="e">
        <f t="shared" si="149"/>
        <v>#REF!</v>
      </c>
      <c r="I260" s="7" t="e">
        <f t="shared" si="149"/>
        <v>#REF!</v>
      </c>
      <c r="J260" s="7" t="e">
        <f t="shared" si="149"/>
        <v>#REF!</v>
      </c>
      <c r="K260" s="7">
        <f t="shared" si="149"/>
        <v>3258.3</v>
      </c>
      <c r="L260" s="7">
        <f t="shared" si="149"/>
        <v>2136</v>
      </c>
      <c r="M260" s="7">
        <f t="shared" si="121"/>
        <v>65.55565785839241</v>
      </c>
    </row>
    <row r="261" spans="1:13" ht="15.75">
      <c r="A261" s="31" t="s">
        <v>180</v>
      </c>
      <c r="B261" s="42" t="s">
        <v>189</v>
      </c>
      <c r="C261" s="42" t="s">
        <v>338</v>
      </c>
      <c r="D261" s="42" t="s">
        <v>181</v>
      </c>
      <c r="E261" s="8"/>
      <c r="F261" s="7" t="e">
        <f>F262</f>
        <v>#REF!</v>
      </c>
      <c r="G261" s="7" t="e">
        <f t="shared" si="149"/>
        <v>#REF!</v>
      </c>
      <c r="H261" s="7" t="e">
        <f t="shared" si="149"/>
        <v>#REF!</v>
      </c>
      <c r="I261" s="7" t="e">
        <f t="shared" si="149"/>
        <v>#REF!</v>
      </c>
      <c r="J261" s="7" t="e">
        <f t="shared" si="149"/>
        <v>#REF!</v>
      </c>
      <c r="K261" s="7">
        <f t="shared" si="149"/>
        <v>3258.3</v>
      </c>
      <c r="L261" s="7">
        <f t="shared" si="149"/>
        <v>2136</v>
      </c>
      <c r="M261" s="7">
        <f t="shared" si="121"/>
        <v>65.55565785839241</v>
      </c>
    </row>
    <row r="262" spans="1:13" ht="18.75" customHeight="1">
      <c r="A262" s="31" t="s">
        <v>546</v>
      </c>
      <c r="B262" s="42" t="s">
        <v>189</v>
      </c>
      <c r="C262" s="42" t="s">
        <v>338</v>
      </c>
      <c r="D262" s="42" t="s">
        <v>547</v>
      </c>
      <c r="E262" s="42"/>
      <c r="F262" s="7" t="e">
        <f>F263</f>
        <v>#REF!</v>
      </c>
      <c r="G262" s="7" t="e">
        <f t="shared" si="149"/>
        <v>#REF!</v>
      </c>
      <c r="H262" s="7" t="e">
        <f t="shared" si="149"/>
        <v>#REF!</v>
      </c>
      <c r="I262" s="7" t="e">
        <f t="shared" si="149"/>
        <v>#REF!</v>
      </c>
      <c r="J262" s="7" t="e">
        <f t="shared" si="149"/>
        <v>#REF!</v>
      </c>
      <c r="K262" s="7">
        <f t="shared" si="149"/>
        <v>3258.3</v>
      </c>
      <c r="L262" s="7">
        <f t="shared" si="149"/>
        <v>2136</v>
      </c>
      <c r="M262" s="7">
        <f t="shared" si="121"/>
        <v>65.55565785839241</v>
      </c>
    </row>
    <row r="263" spans="1:13" ht="31.5">
      <c r="A263" s="31" t="s">
        <v>170</v>
      </c>
      <c r="B263" s="42" t="s">
        <v>189</v>
      </c>
      <c r="C263" s="42" t="s">
        <v>338</v>
      </c>
      <c r="D263" s="42" t="s">
        <v>547</v>
      </c>
      <c r="E263" s="42" t="s">
        <v>171</v>
      </c>
      <c r="F263" s="7" t="e">
        <f>F264</f>
        <v>#REF!</v>
      </c>
      <c r="G263" s="7" t="e">
        <f t="shared" si="149"/>
        <v>#REF!</v>
      </c>
      <c r="H263" s="7" t="e">
        <f t="shared" si="149"/>
        <v>#REF!</v>
      </c>
      <c r="I263" s="7" t="e">
        <f t="shared" si="149"/>
        <v>#REF!</v>
      </c>
      <c r="J263" s="7" t="e">
        <f t="shared" si="149"/>
        <v>#REF!</v>
      </c>
      <c r="K263" s="7">
        <f t="shared" si="149"/>
        <v>3258.3</v>
      </c>
      <c r="L263" s="7">
        <f t="shared" si="149"/>
        <v>2136</v>
      </c>
      <c r="M263" s="7">
        <f t="shared" si="121"/>
        <v>65.55565785839241</v>
      </c>
    </row>
    <row r="264" spans="1:13" ht="47.25">
      <c r="A264" s="31" t="s">
        <v>172</v>
      </c>
      <c r="B264" s="42" t="s">
        <v>189</v>
      </c>
      <c r="C264" s="42" t="s">
        <v>338</v>
      </c>
      <c r="D264" s="42" t="s">
        <v>547</v>
      </c>
      <c r="E264" s="42" t="s">
        <v>173</v>
      </c>
      <c r="F264" s="63" t="e">
        <f>#REF!</f>
        <v>#REF!</v>
      </c>
      <c r="G264" s="63" t="e">
        <f>#REF!</f>
        <v>#REF!</v>
      </c>
      <c r="H264" s="63" t="e">
        <f>#REF!</f>
        <v>#REF!</v>
      </c>
      <c r="I264" s="63" t="e">
        <f>#REF!</f>
        <v>#REF!</v>
      </c>
      <c r="J264" s="63" t="e">
        <f>#REF!</f>
        <v>#REF!</v>
      </c>
      <c r="K264" s="63">
        <f>'Прил.№4 ведомств.'!G1041</f>
        <v>3258.3</v>
      </c>
      <c r="L264" s="63">
        <f>'Прил.№4 ведомств.'!H1041</f>
        <v>2136</v>
      </c>
      <c r="M264" s="7">
        <f t="shared" si="121"/>
        <v>65.55565785839241</v>
      </c>
    </row>
    <row r="265" spans="1:13" ht="15.75">
      <c r="A265" s="43" t="s">
        <v>548</v>
      </c>
      <c r="B265" s="8" t="s">
        <v>189</v>
      </c>
      <c r="C265" s="8" t="s">
        <v>258</v>
      </c>
      <c r="D265" s="42"/>
      <c r="E265" s="8"/>
      <c r="F265" s="4" t="e">
        <f>F266</f>
        <v>#REF!</v>
      </c>
      <c r="G265" s="4" t="e">
        <f aca="true" t="shared" si="150" ref="G265:L266">G266</f>
        <v>#REF!</v>
      </c>
      <c r="H265" s="4" t="e">
        <f t="shared" si="150"/>
        <v>#REF!</v>
      </c>
      <c r="I265" s="4" t="e">
        <f t="shared" si="150"/>
        <v>#REF!</v>
      </c>
      <c r="J265" s="4" t="e">
        <f t="shared" si="150"/>
        <v>#REF!</v>
      </c>
      <c r="K265" s="4">
        <f t="shared" si="150"/>
        <v>5926.9</v>
      </c>
      <c r="L265" s="4">
        <f t="shared" si="150"/>
        <v>815.9</v>
      </c>
      <c r="M265" s="4">
        <f t="shared" si="121"/>
        <v>13.766049705579647</v>
      </c>
    </row>
    <row r="266" spans="1:13" ht="47.25">
      <c r="A266" s="31" t="s">
        <v>958</v>
      </c>
      <c r="B266" s="42" t="s">
        <v>189</v>
      </c>
      <c r="C266" s="42" t="s">
        <v>258</v>
      </c>
      <c r="D266" s="42" t="s">
        <v>550</v>
      </c>
      <c r="E266" s="42"/>
      <c r="F266" s="11" t="e">
        <f>F267</f>
        <v>#REF!</v>
      </c>
      <c r="G266" s="11" t="e">
        <f t="shared" si="150"/>
        <v>#REF!</v>
      </c>
      <c r="H266" s="11" t="e">
        <f t="shared" si="150"/>
        <v>#REF!</v>
      </c>
      <c r="I266" s="11" t="e">
        <f t="shared" si="150"/>
        <v>#REF!</v>
      </c>
      <c r="J266" s="11" t="e">
        <f t="shared" si="150"/>
        <v>#REF!</v>
      </c>
      <c r="K266" s="11">
        <f t="shared" si="150"/>
        <v>5926.9</v>
      </c>
      <c r="L266" s="11">
        <f t="shared" si="150"/>
        <v>815.9</v>
      </c>
      <c r="M266" s="7">
        <f t="shared" si="121"/>
        <v>13.766049705579647</v>
      </c>
    </row>
    <row r="267" spans="1:13" ht="15.75">
      <c r="A267" s="31" t="s">
        <v>551</v>
      </c>
      <c r="B267" s="42" t="s">
        <v>189</v>
      </c>
      <c r="C267" s="42" t="s">
        <v>258</v>
      </c>
      <c r="D267" s="42" t="s">
        <v>552</v>
      </c>
      <c r="E267" s="42"/>
      <c r="F267" s="11" t="e">
        <f aca="true" t="shared" si="151" ref="F267:K267">F268+F270</f>
        <v>#REF!</v>
      </c>
      <c r="G267" s="11" t="e">
        <f t="shared" si="151"/>
        <v>#REF!</v>
      </c>
      <c r="H267" s="11" t="e">
        <f t="shared" si="151"/>
        <v>#REF!</v>
      </c>
      <c r="I267" s="11" t="e">
        <f t="shared" si="151"/>
        <v>#REF!</v>
      </c>
      <c r="J267" s="11" t="e">
        <f t="shared" si="151"/>
        <v>#REF!</v>
      </c>
      <c r="K267" s="11">
        <f t="shared" si="151"/>
        <v>5926.9</v>
      </c>
      <c r="L267" s="11">
        <f aca="true" t="shared" si="152" ref="L267">L268+L270</f>
        <v>815.9</v>
      </c>
      <c r="M267" s="7">
        <f t="shared" si="121"/>
        <v>13.766049705579647</v>
      </c>
    </row>
    <row r="268" spans="1:13" ht="31.5">
      <c r="A268" s="31" t="s">
        <v>170</v>
      </c>
      <c r="B268" s="42" t="s">
        <v>189</v>
      </c>
      <c r="C268" s="42" t="s">
        <v>258</v>
      </c>
      <c r="D268" s="42" t="s">
        <v>552</v>
      </c>
      <c r="E268" s="42" t="s">
        <v>171</v>
      </c>
      <c r="F268" s="11" t="e">
        <f aca="true" t="shared" si="153" ref="F268:L268">F269</f>
        <v>#REF!</v>
      </c>
      <c r="G268" s="11" t="e">
        <f t="shared" si="153"/>
        <v>#REF!</v>
      </c>
      <c r="H268" s="11" t="e">
        <f t="shared" si="153"/>
        <v>#REF!</v>
      </c>
      <c r="I268" s="11" t="e">
        <f t="shared" si="153"/>
        <v>#REF!</v>
      </c>
      <c r="J268" s="11" t="e">
        <f t="shared" si="153"/>
        <v>#REF!</v>
      </c>
      <c r="K268" s="11">
        <f t="shared" si="153"/>
        <v>5900.799999999999</v>
      </c>
      <c r="L268" s="11">
        <f t="shared" si="153"/>
        <v>795.9</v>
      </c>
      <c r="M268" s="7">
        <f t="shared" si="121"/>
        <v>13.48800162689805</v>
      </c>
    </row>
    <row r="269" spans="1:13" ht="47.25">
      <c r="A269" s="31" t="s">
        <v>172</v>
      </c>
      <c r="B269" s="42" t="s">
        <v>189</v>
      </c>
      <c r="C269" s="42" t="s">
        <v>258</v>
      </c>
      <c r="D269" s="42" t="s">
        <v>552</v>
      </c>
      <c r="E269" s="42" t="s">
        <v>173</v>
      </c>
      <c r="F269" s="63" t="e">
        <f>#REF!</f>
        <v>#REF!</v>
      </c>
      <c r="G269" s="63" t="e">
        <f>#REF!</f>
        <v>#REF!</v>
      </c>
      <c r="H269" s="63" t="e">
        <f>#REF!</f>
        <v>#REF!</v>
      </c>
      <c r="I269" s="63" t="e">
        <f>#REF!</f>
        <v>#REF!</v>
      </c>
      <c r="J269" s="63" t="e">
        <f>#REF!</f>
        <v>#REF!</v>
      </c>
      <c r="K269" s="63">
        <f>'Прил.№4 ведомств.'!G1046</f>
        <v>5900.799999999999</v>
      </c>
      <c r="L269" s="63">
        <f>'Прил.№4 ведомств.'!H1046</f>
        <v>795.9</v>
      </c>
      <c r="M269" s="7">
        <f t="shared" si="121"/>
        <v>13.48800162689805</v>
      </c>
    </row>
    <row r="270" spans="1:13" ht="15.75">
      <c r="A270" s="31" t="s">
        <v>174</v>
      </c>
      <c r="B270" s="42" t="s">
        <v>189</v>
      </c>
      <c r="C270" s="42" t="s">
        <v>258</v>
      </c>
      <c r="D270" s="42" t="s">
        <v>552</v>
      </c>
      <c r="E270" s="42" t="s">
        <v>184</v>
      </c>
      <c r="F270" s="63" t="e">
        <f aca="true" t="shared" si="154" ref="F270:L270">F271</f>
        <v>#REF!</v>
      </c>
      <c r="G270" s="63" t="e">
        <f t="shared" si="154"/>
        <v>#REF!</v>
      </c>
      <c r="H270" s="63" t="e">
        <f t="shared" si="154"/>
        <v>#REF!</v>
      </c>
      <c r="I270" s="63" t="e">
        <f t="shared" si="154"/>
        <v>#REF!</v>
      </c>
      <c r="J270" s="63" t="e">
        <f t="shared" si="154"/>
        <v>#REF!</v>
      </c>
      <c r="K270" s="63">
        <f t="shared" si="154"/>
        <v>26.1</v>
      </c>
      <c r="L270" s="63">
        <f t="shared" si="154"/>
        <v>20</v>
      </c>
      <c r="M270" s="7">
        <f aca="true" t="shared" si="155" ref="M270:M333">L270/K270*100</f>
        <v>76.62835249042145</v>
      </c>
    </row>
    <row r="271" spans="1:13" ht="15.75">
      <c r="A271" s="31" t="s">
        <v>608</v>
      </c>
      <c r="B271" s="42" t="s">
        <v>189</v>
      </c>
      <c r="C271" s="42" t="s">
        <v>258</v>
      </c>
      <c r="D271" s="42" t="s">
        <v>552</v>
      </c>
      <c r="E271" s="42" t="s">
        <v>177</v>
      </c>
      <c r="F271" s="63" t="e">
        <f>#REF!</f>
        <v>#REF!</v>
      </c>
      <c r="G271" s="63" t="e">
        <f>#REF!</f>
        <v>#REF!</v>
      </c>
      <c r="H271" s="63" t="e">
        <f>#REF!</f>
        <v>#REF!</v>
      </c>
      <c r="I271" s="63" t="e">
        <f>#REF!</f>
        <v>#REF!</v>
      </c>
      <c r="J271" s="63" t="e">
        <f>#REF!</f>
        <v>#REF!</v>
      </c>
      <c r="K271" s="63">
        <f>'Прил.№4 ведомств.'!G1048</f>
        <v>26.1</v>
      </c>
      <c r="L271" s="63">
        <f>'Прил.№4 ведомств.'!H1048</f>
        <v>20</v>
      </c>
      <c r="M271" s="7">
        <f t="shared" si="155"/>
        <v>76.62835249042145</v>
      </c>
    </row>
    <row r="272" spans="1:13" ht="31.5">
      <c r="A272" s="43" t="s">
        <v>276</v>
      </c>
      <c r="B272" s="8" t="s">
        <v>189</v>
      </c>
      <c r="C272" s="8" t="s">
        <v>277</v>
      </c>
      <c r="D272" s="8"/>
      <c r="E272" s="8"/>
      <c r="F272" s="68" t="e">
        <f>F285+F281</f>
        <v>#REF!</v>
      </c>
      <c r="G272" s="68" t="e">
        <f>G285+G281</f>
        <v>#REF!</v>
      </c>
      <c r="H272" s="68" t="e">
        <f>H285+H281</f>
        <v>#REF!</v>
      </c>
      <c r="I272" s="68" t="e">
        <f>I285+I281</f>
        <v>#REF!</v>
      </c>
      <c r="J272" s="68" t="e">
        <f>J285+J281</f>
        <v>#REF!</v>
      </c>
      <c r="K272" s="68">
        <f>K285+K281+K273</f>
        <v>921.3</v>
      </c>
      <c r="L272" s="68">
        <f aca="true" t="shared" si="156" ref="L272">L285+L281+L273</f>
        <v>330.9</v>
      </c>
      <c r="M272" s="4">
        <f t="shared" si="155"/>
        <v>35.91663953109736</v>
      </c>
    </row>
    <row r="273" spans="1:13" ht="47.25">
      <c r="A273" s="26" t="s">
        <v>382</v>
      </c>
      <c r="B273" s="21" t="s">
        <v>189</v>
      </c>
      <c r="C273" s="21" t="s">
        <v>277</v>
      </c>
      <c r="D273" s="21" t="s">
        <v>383</v>
      </c>
      <c r="E273" s="34"/>
      <c r="F273" s="68"/>
      <c r="G273" s="68"/>
      <c r="H273" s="68"/>
      <c r="I273" s="68"/>
      <c r="J273" s="68"/>
      <c r="K273" s="11">
        <f>K274</f>
        <v>20</v>
      </c>
      <c r="L273" s="11">
        <f aca="true" t="shared" si="157" ref="L273">L274</f>
        <v>0</v>
      </c>
      <c r="M273" s="7">
        <f t="shared" si="155"/>
        <v>0</v>
      </c>
    </row>
    <row r="274" spans="1:13" ht="47.25">
      <c r="A274" s="26" t="s">
        <v>406</v>
      </c>
      <c r="B274" s="21" t="s">
        <v>189</v>
      </c>
      <c r="C274" s="21" t="s">
        <v>277</v>
      </c>
      <c r="D274" s="21" t="s">
        <v>407</v>
      </c>
      <c r="E274" s="21"/>
      <c r="F274" s="68"/>
      <c r="G274" s="68"/>
      <c r="H274" s="68"/>
      <c r="I274" s="68"/>
      <c r="J274" s="68"/>
      <c r="K274" s="11">
        <f>K275+K278</f>
        <v>20</v>
      </c>
      <c r="L274" s="11">
        <f aca="true" t="shared" si="158" ref="L274">L275+L278</f>
        <v>0</v>
      </c>
      <c r="M274" s="7">
        <f t="shared" si="155"/>
        <v>0</v>
      </c>
    </row>
    <row r="275" spans="1:13" ht="31.5">
      <c r="A275" s="26" t="s">
        <v>408</v>
      </c>
      <c r="B275" s="21" t="s">
        <v>189</v>
      </c>
      <c r="C275" s="21" t="s">
        <v>277</v>
      </c>
      <c r="D275" s="21" t="s">
        <v>409</v>
      </c>
      <c r="E275" s="21"/>
      <c r="F275" s="68"/>
      <c r="G275" s="68"/>
      <c r="H275" s="68"/>
      <c r="I275" s="68"/>
      <c r="J275" s="68"/>
      <c r="K275" s="11">
        <f>K276</f>
        <v>10</v>
      </c>
      <c r="L275" s="11">
        <f aca="true" t="shared" si="159" ref="L275:L276">L276</f>
        <v>0</v>
      </c>
      <c r="M275" s="7">
        <f t="shared" si="155"/>
        <v>0</v>
      </c>
    </row>
    <row r="276" spans="1:13" ht="47.25">
      <c r="A276" s="26" t="s">
        <v>311</v>
      </c>
      <c r="B276" s="21" t="s">
        <v>189</v>
      </c>
      <c r="C276" s="21" t="s">
        <v>277</v>
      </c>
      <c r="D276" s="21" t="s">
        <v>409</v>
      </c>
      <c r="E276" s="21" t="s">
        <v>312</v>
      </c>
      <c r="F276" s="68"/>
      <c r="G276" s="68"/>
      <c r="H276" s="68"/>
      <c r="I276" s="68"/>
      <c r="J276" s="68"/>
      <c r="K276" s="11">
        <f>K277</f>
        <v>10</v>
      </c>
      <c r="L276" s="11">
        <f t="shared" si="159"/>
        <v>0</v>
      </c>
      <c r="M276" s="7">
        <f t="shared" si="155"/>
        <v>0</v>
      </c>
    </row>
    <row r="277" spans="1:13" ht="53.25" customHeight="1">
      <c r="A277" s="41" t="s">
        <v>410</v>
      </c>
      <c r="B277" s="21" t="s">
        <v>189</v>
      </c>
      <c r="C277" s="21" t="s">
        <v>277</v>
      </c>
      <c r="D277" s="21" t="s">
        <v>409</v>
      </c>
      <c r="E277" s="21" t="s">
        <v>411</v>
      </c>
      <c r="F277" s="68"/>
      <c r="G277" s="68"/>
      <c r="H277" s="68"/>
      <c r="I277" s="68"/>
      <c r="J277" s="68"/>
      <c r="K277" s="11">
        <f>'Прил.№4 ведомств.'!G291</f>
        <v>10</v>
      </c>
      <c r="L277" s="11">
        <f>'Прил.№4 ведомств.'!H291</f>
        <v>0</v>
      </c>
      <c r="M277" s="7">
        <f t="shared" si="155"/>
        <v>0</v>
      </c>
    </row>
    <row r="278" spans="1:13" ht="47.25">
      <c r="A278" s="26" t="s">
        <v>414</v>
      </c>
      <c r="B278" s="21" t="s">
        <v>189</v>
      </c>
      <c r="C278" s="21" t="s">
        <v>277</v>
      </c>
      <c r="D278" s="21" t="s">
        <v>415</v>
      </c>
      <c r="E278" s="21"/>
      <c r="F278" s="68"/>
      <c r="G278" s="68"/>
      <c r="H278" s="68"/>
      <c r="I278" s="68"/>
      <c r="J278" s="68"/>
      <c r="K278" s="11">
        <f>K279</f>
        <v>10</v>
      </c>
      <c r="L278" s="11">
        <f aca="true" t="shared" si="160" ref="L278:L279">L279</f>
        <v>0</v>
      </c>
      <c r="M278" s="7">
        <f t="shared" si="155"/>
        <v>0</v>
      </c>
    </row>
    <row r="279" spans="1:13" ht="31.5">
      <c r="A279" s="26" t="s">
        <v>287</v>
      </c>
      <c r="B279" s="21" t="s">
        <v>189</v>
      </c>
      <c r="C279" s="21" t="s">
        <v>277</v>
      </c>
      <c r="D279" s="21" t="s">
        <v>415</v>
      </c>
      <c r="E279" s="21" t="s">
        <v>288</v>
      </c>
      <c r="F279" s="68"/>
      <c r="G279" s="68"/>
      <c r="H279" s="68"/>
      <c r="I279" s="68"/>
      <c r="J279" s="68"/>
      <c r="K279" s="11">
        <f>K280</f>
        <v>10</v>
      </c>
      <c r="L279" s="11">
        <f t="shared" si="160"/>
        <v>0</v>
      </c>
      <c r="M279" s="7">
        <f t="shared" si="155"/>
        <v>0</v>
      </c>
    </row>
    <row r="280" spans="1:13" ht="31.5">
      <c r="A280" s="26" t="s">
        <v>289</v>
      </c>
      <c r="B280" s="21" t="s">
        <v>189</v>
      </c>
      <c r="C280" s="21" t="s">
        <v>277</v>
      </c>
      <c r="D280" s="21" t="s">
        <v>415</v>
      </c>
      <c r="E280" s="21" t="s">
        <v>290</v>
      </c>
      <c r="F280" s="68"/>
      <c r="G280" s="68"/>
      <c r="H280" s="68"/>
      <c r="I280" s="68"/>
      <c r="J280" s="68"/>
      <c r="K280" s="11">
        <f>'Прил.№4 ведомств.'!G294</f>
        <v>10</v>
      </c>
      <c r="L280" s="11">
        <f>'Прил.№4 ведомств.'!H294</f>
        <v>0</v>
      </c>
      <c r="M280" s="7">
        <f t="shared" si="155"/>
        <v>0</v>
      </c>
    </row>
    <row r="281" spans="1:13" ht="47.25" hidden="1">
      <c r="A281" s="26" t="s">
        <v>942</v>
      </c>
      <c r="B281" s="21" t="s">
        <v>189</v>
      </c>
      <c r="C281" s="21" t="s">
        <v>277</v>
      </c>
      <c r="D281" s="21" t="s">
        <v>195</v>
      </c>
      <c r="E281" s="21"/>
      <c r="F281" s="11" t="e">
        <f>F282</f>
        <v>#REF!</v>
      </c>
      <c r="G281" s="11" t="e">
        <f aca="true" t="shared" si="161" ref="G281:L283">G282</f>
        <v>#REF!</v>
      </c>
      <c r="H281" s="11" t="e">
        <f t="shared" si="161"/>
        <v>#REF!</v>
      </c>
      <c r="I281" s="11" t="e">
        <f t="shared" si="161"/>
        <v>#REF!</v>
      </c>
      <c r="J281" s="11" t="e">
        <f t="shared" si="161"/>
        <v>#REF!</v>
      </c>
      <c r="K281" s="11">
        <f t="shared" si="161"/>
        <v>0</v>
      </c>
      <c r="L281" s="11">
        <f t="shared" si="161"/>
        <v>0</v>
      </c>
      <c r="M281" s="7" t="e">
        <f t="shared" si="155"/>
        <v>#DIV/0!</v>
      </c>
    </row>
    <row r="282" spans="1:13" ht="31.5" hidden="1">
      <c r="A282" s="26" t="s">
        <v>196</v>
      </c>
      <c r="B282" s="21" t="s">
        <v>189</v>
      </c>
      <c r="C282" s="21" t="s">
        <v>277</v>
      </c>
      <c r="D282" s="21" t="s">
        <v>197</v>
      </c>
      <c r="E282" s="21"/>
      <c r="F282" s="11" t="e">
        <f>F283</f>
        <v>#REF!</v>
      </c>
      <c r="G282" s="11" t="e">
        <f t="shared" si="161"/>
        <v>#REF!</v>
      </c>
      <c r="H282" s="11" t="e">
        <f t="shared" si="161"/>
        <v>#REF!</v>
      </c>
      <c r="I282" s="11" t="e">
        <f t="shared" si="161"/>
        <v>#REF!</v>
      </c>
      <c r="J282" s="11" t="e">
        <f t="shared" si="161"/>
        <v>#REF!</v>
      </c>
      <c r="K282" s="11">
        <f t="shared" si="161"/>
        <v>0</v>
      </c>
      <c r="L282" s="11">
        <f t="shared" si="161"/>
        <v>0</v>
      </c>
      <c r="M282" s="7" t="e">
        <f t="shared" si="155"/>
        <v>#DIV/0!</v>
      </c>
    </row>
    <row r="283" spans="1:13" ht="15.75" hidden="1">
      <c r="A283" s="26" t="s">
        <v>174</v>
      </c>
      <c r="B283" s="21" t="s">
        <v>189</v>
      </c>
      <c r="C283" s="21" t="s">
        <v>277</v>
      </c>
      <c r="D283" s="21" t="s">
        <v>197</v>
      </c>
      <c r="E283" s="21" t="s">
        <v>184</v>
      </c>
      <c r="F283" s="11" t="e">
        <f>F284</f>
        <v>#REF!</v>
      </c>
      <c r="G283" s="11" t="e">
        <f t="shared" si="161"/>
        <v>#REF!</v>
      </c>
      <c r="H283" s="11" t="e">
        <f t="shared" si="161"/>
        <v>#REF!</v>
      </c>
      <c r="I283" s="11" t="e">
        <f t="shared" si="161"/>
        <v>#REF!</v>
      </c>
      <c r="J283" s="11" t="e">
        <f t="shared" si="161"/>
        <v>#REF!</v>
      </c>
      <c r="K283" s="11">
        <f t="shared" si="161"/>
        <v>0</v>
      </c>
      <c r="L283" s="11">
        <f t="shared" si="161"/>
        <v>0</v>
      </c>
      <c r="M283" s="7" t="e">
        <f t="shared" si="155"/>
        <v>#DIV/0!</v>
      </c>
    </row>
    <row r="284" spans="1:13" ht="63" hidden="1">
      <c r="A284" s="26" t="s">
        <v>198</v>
      </c>
      <c r="B284" s="21" t="s">
        <v>189</v>
      </c>
      <c r="C284" s="21" t="s">
        <v>277</v>
      </c>
      <c r="D284" s="21" t="s">
        <v>197</v>
      </c>
      <c r="E284" s="21" t="s">
        <v>199</v>
      </c>
      <c r="F284" s="11" t="e">
        <f>#REF!</f>
        <v>#REF!</v>
      </c>
      <c r="G284" s="11" t="e">
        <f>#REF!</f>
        <v>#REF!</v>
      </c>
      <c r="H284" s="11" t="e">
        <f>#REF!</f>
        <v>#REF!</v>
      </c>
      <c r="I284" s="11" t="e">
        <f>#REF!</f>
        <v>#REF!</v>
      </c>
      <c r="J284" s="11" t="e">
        <f>#REF!</f>
        <v>#REF!</v>
      </c>
      <c r="K284" s="11">
        <f>'Прил.№4 ведомств.'!G209</f>
        <v>0</v>
      </c>
      <c r="L284" s="11">
        <f>'Прил.№4 ведомств.'!H209</f>
        <v>0</v>
      </c>
      <c r="M284" s="7" t="e">
        <f t="shared" si="155"/>
        <v>#DIV/0!</v>
      </c>
    </row>
    <row r="285" spans="1:13" ht="15.75">
      <c r="A285" s="31" t="s">
        <v>160</v>
      </c>
      <c r="B285" s="42" t="s">
        <v>189</v>
      </c>
      <c r="C285" s="42" t="s">
        <v>277</v>
      </c>
      <c r="D285" s="42" t="s">
        <v>161</v>
      </c>
      <c r="E285" s="8"/>
      <c r="F285" s="11" t="e">
        <f aca="true" t="shared" si="162" ref="F285:L285">F286</f>
        <v>#REF!</v>
      </c>
      <c r="G285" s="11" t="e">
        <f t="shared" si="162"/>
        <v>#REF!</v>
      </c>
      <c r="H285" s="11" t="e">
        <f t="shared" si="162"/>
        <v>#REF!</v>
      </c>
      <c r="I285" s="11" t="e">
        <f t="shared" si="162"/>
        <v>#REF!</v>
      </c>
      <c r="J285" s="11" t="e">
        <f t="shared" si="162"/>
        <v>#REF!</v>
      </c>
      <c r="K285" s="11">
        <f t="shared" si="162"/>
        <v>901.3</v>
      </c>
      <c r="L285" s="11">
        <f t="shared" si="162"/>
        <v>330.9</v>
      </c>
      <c r="M285" s="7">
        <f t="shared" si="155"/>
        <v>36.71363585931432</v>
      </c>
    </row>
    <row r="286" spans="1:13" ht="31.5">
      <c r="A286" s="31" t="s">
        <v>224</v>
      </c>
      <c r="B286" s="42" t="s">
        <v>189</v>
      </c>
      <c r="C286" s="42" t="s">
        <v>277</v>
      </c>
      <c r="D286" s="42" t="s">
        <v>225</v>
      </c>
      <c r="E286" s="8"/>
      <c r="F286" s="11" t="e">
        <f aca="true" t="shared" si="163" ref="F286:K286">F290+F287</f>
        <v>#REF!</v>
      </c>
      <c r="G286" s="11" t="e">
        <f t="shared" si="163"/>
        <v>#REF!</v>
      </c>
      <c r="H286" s="11" t="e">
        <f t="shared" si="163"/>
        <v>#REF!</v>
      </c>
      <c r="I286" s="11" t="e">
        <f t="shared" si="163"/>
        <v>#REF!</v>
      </c>
      <c r="J286" s="11" t="e">
        <f t="shared" si="163"/>
        <v>#REF!</v>
      </c>
      <c r="K286" s="11">
        <f t="shared" si="163"/>
        <v>901.3</v>
      </c>
      <c r="L286" s="11">
        <f aca="true" t="shared" si="164" ref="L286">L290+L287</f>
        <v>330.9</v>
      </c>
      <c r="M286" s="7">
        <f t="shared" si="155"/>
        <v>36.71363585931432</v>
      </c>
    </row>
    <row r="287" spans="1:13" ht="31.5" hidden="1">
      <c r="A287" s="26" t="s">
        <v>278</v>
      </c>
      <c r="B287" s="21" t="s">
        <v>189</v>
      </c>
      <c r="C287" s="21" t="s">
        <v>277</v>
      </c>
      <c r="D287" s="21" t="s">
        <v>279</v>
      </c>
      <c r="E287" s="25"/>
      <c r="F287" s="11" t="e">
        <f>F288</f>
        <v>#REF!</v>
      </c>
      <c r="G287" s="11" t="e">
        <f aca="true" t="shared" si="165" ref="G287:L288">G288</f>
        <v>#REF!</v>
      </c>
      <c r="H287" s="11" t="e">
        <f t="shared" si="165"/>
        <v>#REF!</v>
      </c>
      <c r="I287" s="11" t="e">
        <f t="shared" si="165"/>
        <v>#REF!</v>
      </c>
      <c r="J287" s="11" t="e">
        <f t="shared" si="165"/>
        <v>#REF!</v>
      </c>
      <c r="K287" s="11">
        <f t="shared" si="165"/>
        <v>0</v>
      </c>
      <c r="L287" s="11">
        <f t="shared" si="165"/>
        <v>0</v>
      </c>
      <c r="M287" s="7" t="e">
        <f t="shared" si="155"/>
        <v>#DIV/0!</v>
      </c>
    </row>
    <row r="288" spans="1:13" ht="15.75" hidden="1">
      <c r="A288" s="26" t="s">
        <v>174</v>
      </c>
      <c r="B288" s="21" t="s">
        <v>189</v>
      </c>
      <c r="C288" s="21" t="s">
        <v>277</v>
      </c>
      <c r="D288" s="21" t="s">
        <v>279</v>
      </c>
      <c r="E288" s="21" t="s">
        <v>184</v>
      </c>
      <c r="F288" s="11" t="e">
        <f>F289</f>
        <v>#REF!</v>
      </c>
      <c r="G288" s="11" t="e">
        <f t="shared" si="165"/>
        <v>#REF!</v>
      </c>
      <c r="H288" s="11" t="e">
        <f t="shared" si="165"/>
        <v>#REF!</v>
      </c>
      <c r="I288" s="11" t="e">
        <f t="shared" si="165"/>
        <v>#REF!</v>
      </c>
      <c r="J288" s="11" t="e">
        <f t="shared" si="165"/>
        <v>#REF!</v>
      </c>
      <c r="K288" s="11">
        <f t="shared" si="165"/>
        <v>0</v>
      </c>
      <c r="L288" s="11">
        <f t="shared" si="165"/>
        <v>0</v>
      </c>
      <c r="M288" s="7" t="e">
        <f t="shared" si="155"/>
        <v>#DIV/0!</v>
      </c>
    </row>
    <row r="289" spans="1:13" ht="47.25" hidden="1">
      <c r="A289" s="26" t="s">
        <v>223</v>
      </c>
      <c r="B289" s="21" t="s">
        <v>189</v>
      </c>
      <c r="C289" s="21" t="s">
        <v>277</v>
      </c>
      <c r="D289" s="21" t="s">
        <v>279</v>
      </c>
      <c r="E289" s="21" t="s">
        <v>199</v>
      </c>
      <c r="F289" s="11" t="e">
        <f>#REF!</f>
        <v>#REF!</v>
      </c>
      <c r="G289" s="11" t="e">
        <f>#REF!</f>
        <v>#REF!</v>
      </c>
      <c r="H289" s="11" t="e">
        <f>#REF!</f>
        <v>#REF!</v>
      </c>
      <c r="I289" s="11" t="e">
        <f>#REF!</f>
        <v>#REF!</v>
      </c>
      <c r="J289" s="11" t="e">
        <f>#REF!</f>
        <v>#REF!</v>
      </c>
      <c r="K289" s="11">
        <f>'Прил.№4 ведомств.'!G214</f>
        <v>0</v>
      </c>
      <c r="L289" s="11">
        <f>'Прил.№4 ведомств.'!H214</f>
        <v>0</v>
      </c>
      <c r="M289" s="7" t="e">
        <f t="shared" si="155"/>
        <v>#DIV/0!</v>
      </c>
    </row>
    <row r="290" spans="1:13" ht="63">
      <c r="A290" s="47" t="s">
        <v>280</v>
      </c>
      <c r="B290" s="42" t="s">
        <v>189</v>
      </c>
      <c r="C290" s="42" t="s">
        <v>277</v>
      </c>
      <c r="D290" s="42" t="s">
        <v>281</v>
      </c>
      <c r="E290" s="42"/>
      <c r="F290" s="7" t="e">
        <f aca="true" t="shared" si="166" ref="F290:K290">F291+F293</f>
        <v>#REF!</v>
      </c>
      <c r="G290" s="7" t="e">
        <f t="shared" si="166"/>
        <v>#REF!</v>
      </c>
      <c r="H290" s="7" t="e">
        <f t="shared" si="166"/>
        <v>#REF!</v>
      </c>
      <c r="I290" s="7" t="e">
        <f t="shared" si="166"/>
        <v>#REF!</v>
      </c>
      <c r="J290" s="7" t="e">
        <f t="shared" si="166"/>
        <v>#REF!</v>
      </c>
      <c r="K290" s="7">
        <f t="shared" si="166"/>
        <v>901.3</v>
      </c>
      <c r="L290" s="7">
        <f aca="true" t="shared" si="167" ref="L290">L291+L293</f>
        <v>330.9</v>
      </c>
      <c r="M290" s="7">
        <f t="shared" si="155"/>
        <v>36.71363585931432</v>
      </c>
    </row>
    <row r="291" spans="1:13" ht="78.75">
      <c r="A291" s="31" t="s">
        <v>166</v>
      </c>
      <c r="B291" s="42" t="s">
        <v>189</v>
      </c>
      <c r="C291" s="42" t="s">
        <v>277</v>
      </c>
      <c r="D291" s="42" t="s">
        <v>281</v>
      </c>
      <c r="E291" s="42" t="s">
        <v>167</v>
      </c>
      <c r="F291" s="7" t="e">
        <f aca="true" t="shared" si="168" ref="F291:L291">F292</f>
        <v>#REF!</v>
      </c>
      <c r="G291" s="7" t="e">
        <f t="shared" si="168"/>
        <v>#REF!</v>
      </c>
      <c r="H291" s="7" t="e">
        <f t="shared" si="168"/>
        <v>#REF!</v>
      </c>
      <c r="I291" s="7" t="e">
        <f t="shared" si="168"/>
        <v>#REF!</v>
      </c>
      <c r="J291" s="7" t="e">
        <f t="shared" si="168"/>
        <v>#REF!</v>
      </c>
      <c r="K291" s="7">
        <f t="shared" si="168"/>
        <v>689.3599999999999</v>
      </c>
      <c r="L291" s="7">
        <f t="shared" si="168"/>
        <v>318.9</v>
      </c>
      <c r="M291" s="7">
        <f t="shared" si="155"/>
        <v>46.260299408146686</v>
      </c>
    </row>
    <row r="292" spans="1:13" ht="31.5">
      <c r="A292" s="31" t="s">
        <v>168</v>
      </c>
      <c r="B292" s="42" t="s">
        <v>189</v>
      </c>
      <c r="C292" s="42" t="s">
        <v>277</v>
      </c>
      <c r="D292" s="42" t="s">
        <v>281</v>
      </c>
      <c r="E292" s="42" t="s">
        <v>169</v>
      </c>
      <c r="F292" s="7" t="e">
        <f>#REF!</f>
        <v>#REF!</v>
      </c>
      <c r="G292" s="7" t="e">
        <f>#REF!</f>
        <v>#REF!</v>
      </c>
      <c r="H292" s="7" t="e">
        <f>#REF!</f>
        <v>#REF!</v>
      </c>
      <c r="I292" s="7" t="e">
        <f>#REF!</f>
        <v>#REF!</v>
      </c>
      <c r="J292" s="7" t="e">
        <f>#REF!</f>
        <v>#REF!</v>
      </c>
      <c r="K292" s="7">
        <f>'Прил.№4 ведомств.'!G217</f>
        <v>689.3599999999999</v>
      </c>
      <c r="L292" s="7">
        <f>'Прил.№4 ведомств.'!H217</f>
        <v>318.9</v>
      </c>
      <c r="M292" s="7">
        <f t="shared" si="155"/>
        <v>46.260299408146686</v>
      </c>
    </row>
    <row r="293" spans="1:13" ht="31.5">
      <c r="A293" s="31" t="s">
        <v>170</v>
      </c>
      <c r="B293" s="42" t="s">
        <v>189</v>
      </c>
      <c r="C293" s="42" t="s">
        <v>277</v>
      </c>
      <c r="D293" s="42" t="s">
        <v>281</v>
      </c>
      <c r="E293" s="42" t="s">
        <v>171</v>
      </c>
      <c r="F293" s="7" t="e">
        <f aca="true" t="shared" si="169" ref="F293:L293">F294</f>
        <v>#REF!</v>
      </c>
      <c r="G293" s="7" t="e">
        <f t="shared" si="169"/>
        <v>#REF!</v>
      </c>
      <c r="H293" s="7" t="e">
        <f t="shared" si="169"/>
        <v>#REF!</v>
      </c>
      <c r="I293" s="7" t="e">
        <f t="shared" si="169"/>
        <v>#REF!</v>
      </c>
      <c r="J293" s="7" t="e">
        <f t="shared" si="169"/>
        <v>#REF!</v>
      </c>
      <c r="K293" s="7">
        <f t="shared" si="169"/>
        <v>211.94000000000003</v>
      </c>
      <c r="L293" s="7">
        <f t="shared" si="169"/>
        <v>12</v>
      </c>
      <c r="M293" s="7">
        <f t="shared" si="155"/>
        <v>5.661979805605359</v>
      </c>
    </row>
    <row r="294" spans="1:13" ht="47.25">
      <c r="A294" s="31" t="s">
        <v>172</v>
      </c>
      <c r="B294" s="42" t="s">
        <v>189</v>
      </c>
      <c r="C294" s="42" t="s">
        <v>277</v>
      </c>
      <c r="D294" s="42" t="s">
        <v>281</v>
      </c>
      <c r="E294" s="42" t="s">
        <v>173</v>
      </c>
      <c r="F294" s="7" t="e">
        <f>#REF!</f>
        <v>#REF!</v>
      </c>
      <c r="G294" s="7" t="e">
        <f>#REF!</f>
        <v>#REF!</v>
      </c>
      <c r="H294" s="7" t="e">
        <f>#REF!</f>
        <v>#REF!</v>
      </c>
      <c r="I294" s="7" t="e">
        <f>#REF!</f>
        <v>#REF!</v>
      </c>
      <c r="J294" s="7" t="e">
        <f>#REF!</f>
        <v>#REF!</v>
      </c>
      <c r="K294" s="7">
        <f>'Прил.№4 ведомств.'!G219</f>
        <v>211.94000000000003</v>
      </c>
      <c r="L294" s="7">
        <f>'Прил.№4 ведомств.'!H219</f>
        <v>12</v>
      </c>
      <c r="M294" s="7">
        <f t="shared" si="155"/>
        <v>5.661979805605359</v>
      </c>
    </row>
    <row r="295" spans="1:13" ht="15.75">
      <c r="A295" s="43" t="s">
        <v>430</v>
      </c>
      <c r="B295" s="8" t="s">
        <v>273</v>
      </c>
      <c r="C295" s="8"/>
      <c r="D295" s="8"/>
      <c r="E295" s="8"/>
      <c r="F295" s="4" t="e">
        <f aca="true" t="shared" si="170" ref="F295:K295">F296++F315+F385+F447</f>
        <v>#REF!</v>
      </c>
      <c r="G295" s="4" t="e">
        <f t="shared" si="170"/>
        <v>#REF!</v>
      </c>
      <c r="H295" s="4" t="e">
        <f t="shared" si="170"/>
        <v>#REF!</v>
      </c>
      <c r="I295" s="4" t="e">
        <f t="shared" si="170"/>
        <v>#REF!</v>
      </c>
      <c r="J295" s="4" t="e">
        <f t="shared" si="170"/>
        <v>#REF!</v>
      </c>
      <c r="K295" s="4">
        <f t="shared" si="170"/>
        <v>134730.72</v>
      </c>
      <c r="L295" s="4">
        <f aca="true" t="shared" si="171" ref="L295">L296++L315+L385+L447</f>
        <v>110569.8</v>
      </c>
      <c r="M295" s="4">
        <f t="shared" si="155"/>
        <v>82.06725236827948</v>
      </c>
    </row>
    <row r="296" spans="1:17" ht="15.75">
      <c r="A296" s="43" t="s">
        <v>431</v>
      </c>
      <c r="B296" s="8" t="s">
        <v>273</v>
      </c>
      <c r="C296" s="8" t="s">
        <v>157</v>
      </c>
      <c r="D296" s="8"/>
      <c r="E296" s="8"/>
      <c r="F296" s="4" t="e">
        <f>F297</f>
        <v>#REF!</v>
      </c>
      <c r="G296" s="4" t="e">
        <f aca="true" t="shared" si="172" ref="G296:L297">G297</f>
        <v>#REF!</v>
      </c>
      <c r="H296" s="4" t="e">
        <f t="shared" si="172"/>
        <v>#REF!</v>
      </c>
      <c r="I296" s="4" t="e">
        <f t="shared" si="172"/>
        <v>#REF!</v>
      </c>
      <c r="J296" s="4" t="e">
        <f t="shared" si="172"/>
        <v>#REF!</v>
      </c>
      <c r="K296" s="4">
        <f t="shared" si="172"/>
        <v>7279.5</v>
      </c>
      <c r="L296" s="4">
        <f t="shared" si="172"/>
        <v>4229.099999999999</v>
      </c>
      <c r="M296" s="4">
        <f t="shared" si="155"/>
        <v>58.09602307850813</v>
      </c>
      <c r="N296" s="23"/>
      <c r="Q296" s="23"/>
    </row>
    <row r="297" spans="1:13" ht="15.75">
      <c r="A297" s="31" t="s">
        <v>160</v>
      </c>
      <c r="B297" s="42" t="s">
        <v>273</v>
      </c>
      <c r="C297" s="42" t="s">
        <v>157</v>
      </c>
      <c r="D297" s="42" t="s">
        <v>161</v>
      </c>
      <c r="E297" s="42"/>
      <c r="F297" s="7" t="e">
        <f>F298</f>
        <v>#REF!</v>
      </c>
      <c r="G297" s="7" t="e">
        <f t="shared" si="172"/>
        <v>#REF!</v>
      </c>
      <c r="H297" s="7" t="e">
        <f t="shared" si="172"/>
        <v>#REF!</v>
      </c>
      <c r="I297" s="7" t="e">
        <f t="shared" si="172"/>
        <v>#REF!</v>
      </c>
      <c r="J297" s="7" t="e">
        <f t="shared" si="172"/>
        <v>#REF!</v>
      </c>
      <c r="K297" s="7">
        <f t="shared" si="172"/>
        <v>7279.5</v>
      </c>
      <c r="L297" s="7">
        <f t="shared" si="172"/>
        <v>4229.099999999999</v>
      </c>
      <c r="M297" s="7">
        <f t="shared" si="155"/>
        <v>58.09602307850813</v>
      </c>
    </row>
    <row r="298" spans="1:13" ht="15.75">
      <c r="A298" s="31" t="s">
        <v>180</v>
      </c>
      <c r="B298" s="42" t="s">
        <v>273</v>
      </c>
      <c r="C298" s="42" t="s">
        <v>157</v>
      </c>
      <c r="D298" s="42" t="s">
        <v>181</v>
      </c>
      <c r="E298" s="8"/>
      <c r="F298" s="7" t="e">
        <f>F310+F304+F299</f>
        <v>#REF!</v>
      </c>
      <c r="G298" s="7" t="e">
        <f>G310+G304+G299</f>
        <v>#REF!</v>
      </c>
      <c r="H298" s="7" t="e">
        <f>H310+H304+H299</f>
        <v>#REF!</v>
      </c>
      <c r="I298" s="7" t="e">
        <f>I310+I304+I299</f>
        <v>#REF!</v>
      </c>
      <c r="J298" s="7" t="e">
        <f>J310+J304+J299</f>
        <v>#REF!</v>
      </c>
      <c r="K298" s="7">
        <f>K304+K307+K310+K299</f>
        <v>7279.5</v>
      </c>
      <c r="L298" s="7">
        <f aca="true" t="shared" si="173" ref="L298">L304+L307+L310+L299</f>
        <v>4229.099999999999</v>
      </c>
      <c r="M298" s="7">
        <f t="shared" si="155"/>
        <v>58.09602307850813</v>
      </c>
    </row>
    <row r="299" spans="1:13" ht="15.75">
      <c r="A299" s="26" t="s">
        <v>555</v>
      </c>
      <c r="B299" s="42" t="s">
        <v>273</v>
      </c>
      <c r="C299" s="42" t="s">
        <v>157</v>
      </c>
      <c r="D299" s="42" t="s">
        <v>556</v>
      </c>
      <c r="E299" s="8"/>
      <c r="F299" s="7" t="e">
        <f aca="true" t="shared" si="174" ref="F299:K299">F300+F302</f>
        <v>#REF!</v>
      </c>
      <c r="G299" s="7" t="e">
        <f t="shared" si="174"/>
        <v>#REF!</v>
      </c>
      <c r="H299" s="7" t="e">
        <f t="shared" si="174"/>
        <v>#REF!</v>
      </c>
      <c r="I299" s="7" t="e">
        <f t="shared" si="174"/>
        <v>#REF!</v>
      </c>
      <c r="J299" s="7" t="e">
        <f t="shared" si="174"/>
        <v>#REF!</v>
      </c>
      <c r="K299" s="7">
        <f t="shared" si="174"/>
        <v>1525.6</v>
      </c>
      <c r="L299" s="7">
        <f aca="true" t="shared" si="175" ref="L299">L300+L302</f>
        <v>0</v>
      </c>
      <c r="M299" s="7">
        <f t="shared" si="155"/>
        <v>0</v>
      </c>
    </row>
    <row r="300" spans="1:13" ht="31.5" hidden="1">
      <c r="A300" s="31" t="s">
        <v>170</v>
      </c>
      <c r="B300" s="42" t="s">
        <v>273</v>
      </c>
      <c r="C300" s="42" t="s">
        <v>157</v>
      </c>
      <c r="D300" s="42" t="s">
        <v>556</v>
      </c>
      <c r="E300" s="42" t="s">
        <v>171</v>
      </c>
      <c r="F300" s="7" t="e">
        <f aca="true" t="shared" si="176" ref="F300:L300">F301</f>
        <v>#REF!</v>
      </c>
      <c r="G300" s="7" t="e">
        <f t="shared" si="176"/>
        <v>#REF!</v>
      </c>
      <c r="H300" s="7" t="e">
        <f t="shared" si="176"/>
        <v>#REF!</v>
      </c>
      <c r="I300" s="7" t="e">
        <f t="shared" si="176"/>
        <v>#REF!</v>
      </c>
      <c r="J300" s="7" t="e">
        <f t="shared" si="176"/>
        <v>#REF!</v>
      </c>
      <c r="K300" s="7">
        <f t="shared" si="176"/>
        <v>0</v>
      </c>
      <c r="L300" s="7">
        <f t="shared" si="176"/>
        <v>0</v>
      </c>
      <c r="M300" s="7" t="e">
        <f t="shared" si="155"/>
        <v>#DIV/0!</v>
      </c>
    </row>
    <row r="301" spans="1:13" ht="47.25" hidden="1">
      <c r="A301" s="31" t="s">
        <v>172</v>
      </c>
      <c r="B301" s="42" t="s">
        <v>273</v>
      </c>
      <c r="C301" s="42" t="s">
        <v>157</v>
      </c>
      <c r="D301" s="42" t="s">
        <v>556</v>
      </c>
      <c r="E301" s="42" t="s">
        <v>173</v>
      </c>
      <c r="F301" s="7" t="e">
        <f>#REF!</f>
        <v>#REF!</v>
      </c>
      <c r="G301" s="7" t="e">
        <f>#REF!</f>
        <v>#REF!</v>
      </c>
      <c r="H301" s="7" t="e">
        <f>#REF!</f>
        <v>#REF!</v>
      </c>
      <c r="I301" s="7" t="e">
        <f>#REF!</f>
        <v>#REF!</v>
      </c>
      <c r="J301" s="7" t="e">
        <f>#REF!</f>
        <v>#REF!</v>
      </c>
      <c r="K301" s="7"/>
      <c r="L301" s="7"/>
      <c r="M301" s="7" t="e">
        <f t="shared" si="155"/>
        <v>#DIV/0!</v>
      </c>
    </row>
    <row r="302" spans="1:13" ht="15.75">
      <c r="A302" s="31" t="s">
        <v>174</v>
      </c>
      <c r="B302" s="42" t="s">
        <v>273</v>
      </c>
      <c r="C302" s="42" t="s">
        <v>157</v>
      </c>
      <c r="D302" s="42" t="s">
        <v>556</v>
      </c>
      <c r="E302" s="42" t="s">
        <v>184</v>
      </c>
      <c r="F302" s="7" t="e">
        <f aca="true" t="shared" si="177" ref="F302:L302">F303</f>
        <v>#REF!</v>
      </c>
      <c r="G302" s="7" t="e">
        <f t="shared" si="177"/>
        <v>#REF!</v>
      </c>
      <c r="H302" s="7" t="e">
        <f t="shared" si="177"/>
        <v>#REF!</v>
      </c>
      <c r="I302" s="7" t="e">
        <f t="shared" si="177"/>
        <v>#REF!</v>
      </c>
      <c r="J302" s="7" t="e">
        <f t="shared" si="177"/>
        <v>#REF!</v>
      </c>
      <c r="K302" s="7">
        <f t="shared" si="177"/>
        <v>1525.6</v>
      </c>
      <c r="L302" s="7">
        <f t="shared" si="177"/>
        <v>0</v>
      </c>
      <c r="M302" s="7">
        <f t="shared" si="155"/>
        <v>0</v>
      </c>
    </row>
    <row r="303" spans="1:13" ht="47.25">
      <c r="A303" s="31" t="s">
        <v>223</v>
      </c>
      <c r="B303" s="42" t="s">
        <v>273</v>
      </c>
      <c r="C303" s="42" t="s">
        <v>157</v>
      </c>
      <c r="D303" s="42" t="s">
        <v>556</v>
      </c>
      <c r="E303" s="42" t="s">
        <v>199</v>
      </c>
      <c r="F303" s="7" t="e">
        <f>#REF!</f>
        <v>#REF!</v>
      </c>
      <c r="G303" s="7" t="e">
        <f>#REF!</f>
        <v>#REF!</v>
      </c>
      <c r="H303" s="7" t="e">
        <f>#REF!</f>
        <v>#REF!</v>
      </c>
      <c r="I303" s="7" t="e">
        <f>#REF!</f>
        <v>#REF!</v>
      </c>
      <c r="J303" s="7" t="e">
        <f>#REF!</f>
        <v>#REF!</v>
      </c>
      <c r="K303" s="7">
        <f>'Прил.№4 ведомств.'!G1059</f>
        <v>1525.6</v>
      </c>
      <c r="L303" s="7">
        <f>'Прил.№4 ведомств.'!H1059</f>
        <v>0</v>
      </c>
      <c r="M303" s="7">
        <f t="shared" si="155"/>
        <v>0</v>
      </c>
    </row>
    <row r="304" spans="1:13" ht="31.5">
      <c r="A304" s="31" t="s">
        <v>438</v>
      </c>
      <c r="B304" s="42" t="s">
        <v>273</v>
      </c>
      <c r="C304" s="42" t="s">
        <v>157</v>
      </c>
      <c r="D304" s="42" t="s">
        <v>439</v>
      </c>
      <c r="E304" s="8"/>
      <c r="F304" s="7" t="e">
        <f>F305</f>
        <v>#REF!</v>
      </c>
      <c r="G304" s="7" t="e">
        <f aca="true" t="shared" si="178" ref="G304:L305">G305</f>
        <v>#REF!</v>
      </c>
      <c r="H304" s="7" t="e">
        <f t="shared" si="178"/>
        <v>#REF!</v>
      </c>
      <c r="I304" s="7" t="e">
        <f t="shared" si="178"/>
        <v>#REF!</v>
      </c>
      <c r="J304" s="7" t="e">
        <f t="shared" si="178"/>
        <v>#REF!</v>
      </c>
      <c r="K304" s="7">
        <f t="shared" si="178"/>
        <v>4287.8</v>
      </c>
      <c r="L304" s="7">
        <f t="shared" si="178"/>
        <v>3336.2999999999997</v>
      </c>
      <c r="M304" s="7">
        <f t="shared" si="155"/>
        <v>77.80913288866084</v>
      </c>
    </row>
    <row r="305" spans="1:13" ht="31.5">
      <c r="A305" s="31" t="s">
        <v>170</v>
      </c>
      <c r="B305" s="42" t="s">
        <v>273</v>
      </c>
      <c r="C305" s="42" t="s">
        <v>157</v>
      </c>
      <c r="D305" s="42" t="s">
        <v>439</v>
      </c>
      <c r="E305" s="42" t="s">
        <v>171</v>
      </c>
      <c r="F305" s="7" t="e">
        <f>F306</f>
        <v>#REF!</v>
      </c>
      <c r="G305" s="7" t="e">
        <f t="shared" si="178"/>
        <v>#REF!</v>
      </c>
      <c r="H305" s="7" t="e">
        <f t="shared" si="178"/>
        <v>#REF!</v>
      </c>
      <c r="I305" s="7" t="e">
        <f t="shared" si="178"/>
        <v>#REF!</v>
      </c>
      <c r="J305" s="7" t="e">
        <f t="shared" si="178"/>
        <v>#REF!</v>
      </c>
      <c r="K305" s="7">
        <f t="shared" si="178"/>
        <v>4287.8</v>
      </c>
      <c r="L305" s="7">
        <f t="shared" si="178"/>
        <v>3336.2999999999997</v>
      </c>
      <c r="M305" s="7">
        <f t="shared" si="155"/>
        <v>77.80913288866084</v>
      </c>
    </row>
    <row r="306" spans="1:13" ht="47.25">
      <c r="A306" s="31" t="s">
        <v>172</v>
      </c>
      <c r="B306" s="42" t="s">
        <v>273</v>
      </c>
      <c r="C306" s="42" t="s">
        <v>157</v>
      </c>
      <c r="D306" s="42" t="s">
        <v>439</v>
      </c>
      <c r="E306" s="42" t="s">
        <v>173</v>
      </c>
      <c r="F306" s="7" t="e">
        <f>#REF!+#REF!</f>
        <v>#REF!</v>
      </c>
      <c r="G306" s="7" t="e">
        <f>#REF!+#REF!</f>
        <v>#REF!</v>
      </c>
      <c r="H306" s="7" t="e">
        <f>#REF!+#REF!</f>
        <v>#REF!</v>
      </c>
      <c r="I306" s="7" t="e">
        <f>#REF!+#REF!</f>
        <v>#REF!</v>
      </c>
      <c r="J306" s="7" t="e">
        <f>#REF!+#REF!</f>
        <v>#REF!</v>
      </c>
      <c r="K306" s="7">
        <f>'Прил.№4 ведомств.'!G1062+'Прил.№4 ведомств.'!G653</f>
        <v>4287.8</v>
      </c>
      <c r="L306" s="7">
        <f>'Прил.№4 ведомств.'!H1062+'Прил.№4 ведомств.'!H653</f>
        <v>3336.2999999999997</v>
      </c>
      <c r="M306" s="7">
        <f t="shared" si="155"/>
        <v>77.80913288866084</v>
      </c>
    </row>
    <row r="307" spans="1:13" ht="15.75">
      <c r="A307" s="26" t="s">
        <v>579</v>
      </c>
      <c r="B307" s="42" t="s">
        <v>273</v>
      </c>
      <c r="C307" s="42" t="s">
        <v>157</v>
      </c>
      <c r="D307" s="42" t="s">
        <v>580</v>
      </c>
      <c r="E307" s="42"/>
      <c r="F307" s="7"/>
      <c r="G307" s="7"/>
      <c r="H307" s="7"/>
      <c r="I307" s="7"/>
      <c r="J307" s="7"/>
      <c r="K307" s="7">
        <f>K308</f>
        <v>1191.6</v>
      </c>
      <c r="L307" s="7">
        <f aca="true" t="shared" si="179" ref="L307:L308">L308</f>
        <v>751.8</v>
      </c>
      <c r="M307" s="7">
        <f t="shared" si="155"/>
        <v>63.091641490433034</v>
      </c>
    </row>
    <row r="308" spans="1:13" ht="31.5">
      <c r="A308" s="26" t="s">
        <v>170</v>
      </c>
      <c r="B308" s="42" t="s">
        <v>273</v>
      </c>
      <c r="C308" s="42" t="s">
        <v>157</v>
      </c>
      <c r="D308" s="42" t="s">
        <v>580</v>
      </c>
      <c r="E308" s="42" t="s">
        <v>171</v>
      </c>
      <c r="F308" s="7"/>
      <c r="G308" s="7"/>
      <c r="H308" s="7"/>
      <c r="I308" s="7"/>
      <c r="J308" s="7"/>
      <c r="K308" s="7">
        <f>K309</f>
        <v>1191.6</v>
      </c>
      <c r="L308" s="7">
        <f t="shared" si="179"/>
        <v>751.8</v>
      </c>
      <c r="M308" s="7">
        <f t="shared" si="155"/>
        <v>63.091641490433034</v>
      </c>
    </row>
    <row r="309" spans="1:13" ht="47.25">
      <c r="A309" s="26" t="s">
        <v>172</v>
      </c>
      <c r="B309" s="42" t="s">
        <v>273</v>
      </c>
      <c r="C309" s="42" t="s">
        <v>157</v>
      </c>
      <c r="D309" s="42" t="s">
        <v>580</v>
      </c>
      <c r="E309" s="42" t="s">
        <v>173</v>
      </c>
      <c r="F309" s="7"/>
      <c r="G309" s="7"/>
      <c r="H309" s="7"/>
      <c r="I309" s="7"/>
      <c r="J309" s="7"/>
      <c r="K309" s="7">
        <f>'Прил.№4 ведомств.'!G1065</f>
        <v>1191.6</v>
      </c>
      <c r="L309" s="7">
        <f>'Прил.№4 ведомств.'!H1065</f>
        <v>751.8</v>
      </c>
      <c r="M309" s="7">
        <f t="shared" si="155"/>
        <v>63.091641490433034</v>
      </c>
    </row>
    <row r="310" spans="1:13" ht="15.75" hidden="1">
      <c r="A310" s="31" t="s">
        <v>436</v>
      </c>
      <c r="B310" s="42" t="s">
        <v>273</v>
      </c>
      <c r="C310" s="42" t="s">
        <v>157</v>
      </c>
      <c r="D310" s="42" t="s">
        <v>437</v>
      </c>
      <c r="E310" s="8"/>
      <c r="F310" s="7" t="e">
        <f aca="true" t="shared" si="180" ref="F310:K310">F313+F311</f>
        <v>#REF!</v>
      </c>
      <c r="G310" s="7" t="e">
        <f t="shared" si="180"/>
        <v>#REF!</v>
      </c>
      <c r="H310" s="7" t="e">
        <f t="shared" si="180"/>
        <v>#REF!</v>
      </c>
      <c r="I310" s="7" t="e">
        <f t="shared" si="180"/>
        <v>#REF!</v>
      </c>
      <c r="J310" s="7" t="e">
        <f t="shared" si="180"/>
        <v>#REF!</v>
      </c>
      <c r="K310" s="7">
        <f t="shared" si="180"/>
        <v>274.5</v>
      </c>
      <c r="L310" s="7">
        <f aca="true" t="shared" si="181" ref="L310">L313+L311</f>
        <v>141</v>
      </c>
      <c r="M310" s="4">
        <f t="shared" si="155"/>
        <v>51.36612021857923</v>
      </c>
    </row>
    <row r="311" spans="1:13" ht="31.5" hidden="1">
      <c r="A311" s="31" t="s">
        <v>170</v>
      </c>
      <c r="B311" s="42" t="s">
        <v>273</v>
      </c>
      <c r="C311" s="42" t="s">
        <v>157</v>
      </c>
      <c r="D311" s="42" t="s">
        <v>437</v>
      </c>
      <c r="E311" s="42" t="s">
        <v>171</v>
      </c>
      <c r="F311" s="7" t="e">
        <f aca="true" t="shared" si="182" ref="F311:L311">F312</f>
        <v>#REF!</v>
      </c>
      <c r="G311" s="7" t="e">
        <f t="shared" si="182"/>
        <v>#REF!</v>
      </c>
      <c r="H311" s="7" t="e">
        <f t="shared" si="182"/>
        <v>#REF!</v>
      </c>
      <c r="I311" s="7" t="e">
        <f t="shared" si="182"/>
        <v>#REF!</v>
      </c>
      <c r="J311" s="7" t="e">
        <f t="shared" si="182"/>
        <v>#REF!</v>
      </c>
      <c r="K311" s="7">
        <f t="shared" si="182"/>
        <v>274.5</v>
      </c>
      <c r="L311" s="7">
        <f t="shared" si="182"/>
        <v>141</v>
      </c>
      <c r="M311" s="4">
        <f t="shared" si="155"/>
        <v>51.36612021857923</v>
      </c>
    </row>
    <row r="312" spans="1:13" ht="47.25" hidden="1">
      <c r="A312" s="31" t="s">
        <v>172</v>
      </c>
      <c r="B312" s="42" t="s">
        <v>273</v>
      </c>
      <c r="C312" s="42" t="s">
        <v>157</v>
      </c>
      <c r="D312" s="42" t="s">
        <v>437</v>
      </c>
      <c r="E312" s="42" t="s">
        <v>173</v>
      </c>
      <c r="F312" s="7" t="e">
        <f>#REF!</f>
        <v>#REF!</v>
      </c>
      <c r="G312" s="7" t="e">
        <f>#REF!</f>
        <v>#REF!</v>
      </c>
      <c r="H312" s="7" t="e">
        <f>#REF!</f>
        <v>#REF!</v>
      </c>
      <c r="I312" s="7" t="e">
        <f>#REF!</f>
        <v>#REF!</v>
      </c>
      <c r="J312" s="7" t="e">
        <f>#REF!</f>
        <v>#REF!</v>
      </c>
      <c r="K312" s="7">
        <f>'Прил.№4 ведомств.'!G656</f>
        <v>274.5</v>
      </c>
      <c r="L312" s="7">
        <f>'Прил.№4 ведомств.'!H656</f>
        <v>141</v>
      </c>
      <c r="M312" s="4">
        <f t="shared" si="155"/>
        <v>51.36612021857923</v>
      </c>
    </row>
    <row r="313" spans="1:13" ht="15.75" customHeight="1" hidden="1">
      <c r="A313" s="31" t="s">
        <v>174</v>
      </c>
      <c r="B313" s="42" t="s">
        <v>273</v>
      </c>
      <c r="C313" s="42" t="s">
        <v>157</v>
      </c>
      <c r="D313" s="42" t="s">
        <v>437</v>
      </c>
      <c r="E313" s="42" t="s">
        <v>184</v>
      </c>
      <c r="F313" s="7">
        <f aca="true" t="shared" si="183" ref="F313:L313">F314</f>
        <v>0</v>
      </c>
      <c r="G313" s="7">
        <f t="shared" si="183"/>
        <v>0</v>
      </c>
      <c r="H313" s="7">
        <f t="shared" si="183"/>
        <v>0</v>
      </c>
      <c r="I313" s="7">
        <f t="shared" si="183"/>
        <v>0</v>
      </c>
      <c r="J313" s="7">
        <f t="shared" si="183"/>
        <v>0</v>
      </c>
      <c r="K313" s="7">
        <f t="shared" si="183"/>
        <v>0</v>
      </c>
      <c r="L313" s="7">
        <f t="shared" si="183"/>
        <v>0</v>
      </c>
      <c r="M313" s="4" t="e">
        <f t="shared" si="155"/>
        <v>#DIV/0!</v>
      </c>
    </row>
    <row r="314" spans="1:13" ht="47.25" customHeight="1" hidden="1">
      <c r="A314" s="31" t="s">
        <v>223</v>
      </c>
      <c r="B314" s="42" t="s">
        <v>273</v>
      </c>
      <c r="C314" s="42" t="s">
        <v>157</v>
      </c>
      <c r="D314" s="42" t="s">
        <v>437</v>
      </c>
      <c r="E314" s="42" t="s">
        <v>199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4" t="e">
        <f t="shared" si="155"/>
        <v>#DIV/0!</v>
      </c>
    </row>
    <row r="315" spans="1:13" ht="15.75">
      <c r="A315" s="43" t="s">
        <v>557</v>
      </c>
      <c r="B315" s="8" t="s">
        <v>273</v>
      </c>
      <c r="C315" s="8" t="s">
        <v>252</v>
      </c>
      <c r="D315" s="8"/>
      <c r="E315" s="8"/>
      <c r="F315" s="4" t="e">
        <f aca="true" t="shared" si="184" ref="F315:K315">F345+F316</f>
        <v>#REF!</v>
      </c>
      <c r="G315" s="4" t="e">
        <f t="shared" si="184"/>
        <v>#REF!</v>
      </c>
      <c r="H315" s="4" t="e">
        <f t="shared" si="184"/>
        <v>#REF!</v>
      </c>
      <c r="I315" s="4" t="e">
        <f t="shared" si="184"/>
        <v>#REF!</v>
      </c>
      <c r="J315" s="4" t="e">
        <f t="shared" si="184"/>
        <v>#REF!</v>
      </c>
      <c r="K315" s="4">
        <f t="shared" si="184"/>
        <v>91382.03</v>
      </c>
      <c r="L315" s="4">
        <f aca="true" t="shared" si="185" ref="L315">L345+L316</f>
        <v>79536.59999999999</v>
      </c>
      <c r="M315" s="4">
        <f t="shared" si="155"/>
        <v>87.03746239824174</v>
      </c>
    </row>
    <row r="316" spans="1:13" ht="63">
      <c r="A316" s="26" t="s">
        <v>1043</v>
      </c>
      <c r="B316" s="42" t="s">
        <v>273</v>
      </c>
      <c r="C316" s="42" t="s">
        <v>252</v>
      </c>
      <c r="D316" s="21" t="s">
        <v>558</v>
      </c>
      <c r="E316" s="8"/>
      <c r="F316" s="7" t="e">
        <f aca="true" t="shared" si="186" ref="F316:K316">F320+F323+F328+F333+F336+F339+F342</f>
        <v>#REF!</v>
      </c>
      <c r="G316" s="7" t="e">
        <f t="shared" si="186"/>
        <v>#REF!</v>
      </c>
      <c r="H316" s="7" t="e">
        <f t="shared" si="186"/>
        <v>#REF!</v>
      </c>
      <c r="I316" s="7" t="e">
        <f t="shared" si="186"/>
        <v>#REF!</v>
      </c>
      <c r="J316" s="7" t="e">
        <f t="shared" si="186"/>
        <v>#REF!</v>
      </c>
      <c r="K316" s="7">
        <f t="shared" si="186"/>
        <v>7797.5</v>
      </c>
      <c r="L316" s="7">
        <f aca="true" t="shared" si="187" ref="L316">L320+L323+L328+L333+L336+L339+L342</f>
        <v>6954.7</v>
      </c>
      <c r="M316" s="7">
        <f t="shared" si="155"/>
        <v>89.19140750240462</v>
      </c>
    </row>
    <row r="317" spans="1:13" ht="47.25" customHeight="1" hidden="1">
      <c r="A317" s="37" t="s">
        <v>559</v>
      </c>
      <c r="B317" s="42" t="s">
        <v>273</v>
      </c>
      <c r="C317" s="42" t="s">
        <v>252</v>
      </c>
      <c r="D317" s="21" t="s">
        <v>560</v>
      </c>
      <c r="E317" s="8"/>
      <c r="F317" s="7">
        <f>F318</f>
        <v>0</v>
      </c>
      <c r="G317" s="7">
        <f aca="true" t="shared" si="188" ref="G317:L318">G318</f>
        <v>0</v>
      </c>
      <c r="H317" s="7">
        <f t="shared" si="188"/>
        <v>0</v>
      </c>
      <c r="I317" s="7">
        <f t="shared" si="188"/>
        <v>0</v>
      </c>
      <c r="J317" s="7">
        <f t="shared" si="188"/>
        <v>0</v>
      </c>
      <c r="K317" s="7">
        <f t="shared" si="188"/>
        <v>0</v>
      </c>
      <c r="L317" s="7">
        <f t="shared" si="188"/>
        <v>0</v>
      </c>
      <c r="M317" s="7" t="e">
        <f t="shared" si="155"/>
        <v>#DIV/0!</v>
      </c>
    </row>
    <row r="318" spans="1:13" ht="31.5" customHeight="1" hidden="1">
      <c r="A318" s="26" t="s">
        <v>170</v>
      </c>
      <c r="B318" s="42" t="s">
        <v>273</v>
      </c>
      <c r="C318" s="42" t="s">
        <v>252</v>
      </c>
      <c r="D318" s="21" t="s">
        <v>560</v>
      </c>
      <c r="E318" s="42" t="s">
        <v>171</v>
      </c>
      <c r="F318" s="7">
        <f>F319</f>
        <v>0</v>
      </c>
      <c r="G318" s="7">
        <f t="shared" si="188"/>
        <v>0</v>
      </c>
      <c r="H318" s="7">
        <f t="shared" si="188"/>
        <v>0</v>
      </c>
      <c r="I318" s="7">
        <f t="shared" si="188"/>
        <v>0</v>
      </c>
      <c r="J318" s="7">
        <f t="shared" si="188"/>
        <v>0</v>
      </c>
      <c r="K318" s="7">
        <f t="shared" si="188"/>
        <v>0</v>
      </c>
      <c r="L318" s="7">
        <f t="shared" si="188"/>
        <v>0</v>
      </c>
      <c r="M318" s="7" t="e">
        <f t="shared" si="155"/>
        <v>#DIV/0!</v>
      </c>
    </row>
    <row r="319" spans="1:13" ht="47.25" customHeight="1" hidden="1">
      <c r="A319" s="26" t="s">
        <v>172</v>
      </c>
      <c r="B319" s="42" t="s">
        <v>273</v>
      </c>
      <c r="C319" s="42" t="s">
        <v>252</v>
      </c>
      <c r="D319" s="21" t="s">
        <v>560</v>
      </c>
      <c r="E319" s="42" t="s">
        <v>173</v>
      </c>
      <c r="F319" s="7"/>
      <c r="G319" s="7"/>
      <c r="H319" s="7"/>
      <c r="I319" s="7"/>
      <c r="J319" s="7"/>
      <c r="K319" s="7"/>
      <c r="L319" s="7"/>
      <c r="M319" s="7" t="e">
        <f t="shared" si="155"/>
        <v>#DIV/0!</v>
      </c>
    </row>
    <row r="320" spans="1:13" ht="15.75">
      <c r="A320" s="119" t="s">
        <v>561</v>
      </c>
      <c r="B320" s="42" t="s">
        <v>273</v>
      </c>
      <c r="C320" s="42" t="s">
        <v>252</v>
      </c>
      <c r="D320" s="21" t="s">
        <v>562</v>
      </c>
      <c r="E320" s="42"/>
      <c r="F320" s="7" t="e">
        <f>F321</f>
        <v>#REF!</v>
      </c>
      <c r="G320" s="7" t="e">
        <f aca="true" t="shared" si="189" ref="G320:L321">G321</f>
        <v>#REF!</v>
      </c>
      <c r="H320" s="7" t="e">
        <f t="shared" si="189"/>
        <v>#REF!</v>
      </c>
      <c r="I320" s="7" t="e">
        <f t="shared" si="189"/>
        <v>#REF!</v>
      </c>
      <c r="J320" s="7" t="e">
        <f t="shared" si="189"/>
        <v>#REF!</v>
      </c>
      <c r="K320" s="7">
        <f t="shared" si="189"/>
        <v>4377</v>
      </c>
      <c r="L320" s="7">
        <f t="shared" si="189"/>
        <v>4374.2</v>
      </c>
      <c r="M320" s="7">
        <f t="shared" si="155"/>
        <v>99.93602924377427</v>
      </c>
    </row>
    <row r="321" spans="1:13" ht="31.5">
      <c r="A321" s="33" t="s">
        <v>170</v>
      </c>
      <c r="B321" s="42" t="s">
        <v>273</v>
      </c>
      <c r="C321" s="42" t="s">
        <v>252</v>
      </c>
      <c r="D321" s="21" t="s">
        <v>562</v>
      </c>
      <c r="E321" s="42" t="s">
        <v>171</v>
      </c>
      <c r="F321" s="7" t="e">
        <f>F322</f>
        <v>#REF!</v>
      </c>
      <c r="G321" s="7" t="e">
        <f t="shared" si="189"/>
        <v>#REF!</v>
      </c>
      <c r="H321" s="7" t="e">
        <f t="shared" si="189"/>
        <v>#REF!</v>
      </c>
      <c r="I321" s="7" t="e">
        <f t="shared" si="189"/>
        <v>#REF!</v>
      </c>
      <c r="J321" s="7" t="e">
        <f t="shared" si="189"/>
        <v>#REF!</v>
      </c>
      <c r="K321" s="7">
        <f t="shared" si="189"/>
        <v>4377</v>
      </c>
      <c r="L321" s="7">
        <f t="shared" si="189"/>
        <v>4374.2</v>
      </c>
      <c r="M321" s="7">
        <f t="shared" si="155"/>
        <v>99.93602924377427</v>
      </c>
    </row>
    <row r="322" spans="1:13" ht="47.25">
      <c r="A322" s="33" t="s">
        <v>172</v>
      </c>
      <c r="B322" s="42" t="s">
        <v>273</v>
      </c>
      <c r="C322" s="42" t="s">
        <v>252</v>
      </c>
      <c r="D322" s="21" t="s">
        <v>562</v>
      </c>
      <c r="E322" s="42" t="s">
        <v>173</v>
      </c>
      <c r="F322" s="7" t="e">
        <f>#REF!</f>
        <v>#REF!</v>
      </c>
      <c r="G322" s="7" t="e">
        <f>#REF!</f>
        <v>#REF!</v>
      </c>
      <c r="H322" s="7" t="e">
        <f>#REF!</f>
        <v>#REF!</v>
      </c>
      <c r="I322" s="7" t="e">
        <f>#REF!</f>
        <v>#REF!</v>
      </c>
      <c r="J322" s="7" t="e">
        <f>#REF!</f>
        <v>#REF!</v>
      </c>
      <c r="K322" s="7">
        <f>'Прил.№4 ведомств.'!G1073</f>
        <v>4377</v>
      </c>
      <c r="L322" s="7">
        <f>'Прил.№4 ведомств.'!H1073</f>
        <v>4374.2</v>
      </c>
      <c r="M322" s="7">
        <f t="shared" si="155"/>
        <v>99.93602924377427</v>
      </c>
    </row>
    <row r="323" spans="1:13" ht="15.75">
      <c r="A323" s="119" t="s">
        <v>563</v>
      </c>
      <c r="B323" s="42" t="s">
        <v>273</v>
      </c>
      <c r="C323" s="42" t="s">
        <v>252</v>
      </c>
      <c r="D323" s="21" t="s">
        <v>564</v>
      </c>
      <c r="E323" s="42"/>
      <c r="F323" s="7" t="e">
        <f>F324</f>
        <v>#REF!</v>
      </c>
      <c r="G323" s="7" t="e">
        <f aca="true" t="shared" si="190" ref="G323:L324">G324</f>
        <v>#REF!</v>
      </c>
      <c r="H323" s="7" t="e">
        <f t="shared" si="190"/>
        <v>#REF!</v>
      </c>
      <c r="I323" s="7" t="e">
        <f t="shared" si="190"/>
        <v>#REF!</v>
      </c>
      <c r="J323" s="7" t="e">
        <f t="shared" si="190"/>
        <v>#REF!</v>
      </c>
      <c r="K323" s="7">
        <f>K324+K326</f>
        <v>400</v>
      </c>
      <c r="L323" s="7">
        <f aca="true" t="shared" si="191" ref="L323">L324+L326</f>
        <v>290</v>
      </c>
      <c r="M323" s="7">
        <f t="shared" si="155"/>
        <v>72.5</v>
      </c>
    </row>
    <row r="324" spans="1:13" ht="31.5">
      <c r="A324" s="33" t="s">
        <v>170</v>
      </c>
      <c r="B324" s="42" t="s">
        <v>273</v>
      </c>
      <c r="C324" s="42" t="s">
        <v>252</v>
      </c>
      <c r="D324" s="21" t="s">
        <v>564</v>
      </c>
      <c r="E324" s="42" t="s">
        <v>171</v>
      </c>
      <c r="F324" s="7" t="e">
        <f>F325</f>
        <v>#REF!</v>
      </c>
      <c r="G324" s="7" t="e">
        <f t="shared" si="190"/>
        <v>#REF!</v>
      </c>
      <c r="H324" s="7" t="e">
        <f t="shared" si="190"/>
        <v>#REF!</v>
      </c>
      <c r="I324" s="7" t="e">
        <f t="shared" si="190"/>
        <v>#REF!</v>
      </c>
      <c r="J324" s="7" t="e">
        <f t="shared" si="190"/>
        <v>#REF!</v>
      </c>
      <c r="K324" s="7">
        <f t="shared" si="190"/>
        <v>400</v>
      </c>
      <c r="L324" s="7">
        <f t="shared" si="190"/>
        <v>290</v>
      </c>
      <c r="M324" s="7">
        <f t="shared" si="155"/>
        <v>72.5</v>
      </c>
    </row>
    <row r="325" spans="1:13" ht="47.25">
      <c r="A325" s="33" t="s">
        <v>172</v>
      </c>
      <c r="B325" s="42" t="s">
        <v>273</v>
      </c>
      <c r="C325" s="42" t="s">
        <v>252</v>
      </c>
      <c r="D325" s="21" t="s">
        <v>564</v>
      </c>
      <c r="E325" s="42" t="s">
        <v>173</v>
      </c>
      <c r="F325" s="7" t="e">
        <f>#REF!</f>
        <v>#REF!</v>
      </c>
      <c r="G325" s="7" t="e">
        <f>#REF!</f>
        <v>#REF!</v>
      </c>
      <c r="H325" s="7" t="e">
        <f>#REF!</f>
        <v>#REF!</v>
      </c>
      <c r="I325" s="7" t="e">
        <f>#REF!</f>
        <v>#REF!</v>
      </c>
      <c r="J325" s="7" t="e">
        <f>#REF!</f>
        <v>#REF!</v>
      </c>
      <c r="K325" s="7">
        <f>'Прил.№4 ведомств.'!G1076</f>
        <v>400</v>
      </c>
      <c r="L325" s="7">
        <f>'Прил.№4 ведомств.'!H1076</f>
        <v>290</v>
      </c>
      <c r="M325" s="7">
        <f t="shared" si="155"/>
        <v>72.5</v>
      </c>
    </row>
    <row r="326" spans="1:13" ht="15.75" hidden="1">
      <c r="A326" s="31" t="s">
        <v>174</v>
      </c>
      <c r="B326" s="42" t="s">
        <v>273</v>
      </c>
      <c r="C326" s="42" t="s">
        <v>252</v>
      </c>
      <c r="D326" s="21" t="s">
        <v>564</v>
      </c>
      <c r="E326" s="42" t="s">
        <v>184</v>
      </c>
      <c r="F326" s="7"/>
      <c r="G326" s="7"/>
      <c r="H326" s="7"/>
      <c r="I326" s="7"/>
      <c r="J326" s="7"/>
      <c r="K326" s="7">
        <f>K327</f>
        <v>0</v>
      </c>
      <c r="L326" s="7">
        <f aca="true" t="shared" si="192" ref="L326">L327</f>
        <v>0</v>
      </c>
      <c r="M326" s="7" t="e">
        <f t="shared" si="155"/>
        <v>#DIV/0!</v>
      </c>
    </row>
    <row r="327" spans="1:13" ht="15.75" hidden="1">
      <c r="A327" s="31" t="s">
        <v>185</v>
      </c>
      <c r="B327" s="42" t="s">
        <v>273</v>
      </c>
      <c r="C327" s="42" t="s">
        <v>252</v>
      </c>
      <c r="D327" s="21" t="s">
        <v>564</v>
      </c>
      <c r="E327" s="42" t="s">
        <v>186</v>
      </c>
      <c r="F327" s="7"/>
      <c r="G327" s="7"/>
      <c r="H327" s="7"/>
      <c r="I327" s="7"/>
      <c r="J327" s="7"/>
      <c r="K327" s="7">
        <f>'Прил.№4 ведомств.'!G1078</f>
        <v>0</v>
      </c>
      <c r="L327" s="7">
        <f>'Прил.№4 ведомств.'!H1078</f>
        <v>0</v>
      </c>
      <c r="M327" s="7" t="e">
        <f t="shared" si="155"/>
        <v>#DIV/0!</v>
      </c>
    </row>
    <row r="328" spans="1:13" ht="15.75">
      <c r="A328" s="119" t="s">
        <v>565</v>
      </c>
      <c r="B328" s="42" t="s">
        <v>273</v>
      </c>
      <c r="C328" s="42" t="s">
        <v>252</v>
      </c>
      <c r="D328" s="21" t="s">
        <v>566</v>
      </c>
      <c r="E328" s="42"/>
      <c r="F328" s="7" t="e">
        <f>F329</f>
        <v>#REF!</v>
      </c>
      <c r="G328" s="7" t="e">
        <f aca="true" t="shared" si="193" ref="G328:L329">G329</f>
        <v>#REF!</v>
      </c>
      <c r="H328" s="7" t="e">
        <f t="shared" si="193"/>
        <v>#REF!</v>
      </c>
      <c r="I328" s="7" t="e">
        <f t="shared" si="193"/>
        <v>#REF!</v>
      </c>
      <c r="J328" s="7" t="e">
        <f t="shared" si="193"/>
        <v>#REF!</v>
      </c>
      <c r="K328" s="7">
        <f>K329+K331</f>
        <v>590.5</v>
      </c>
      <c r="L328" s="7">
        <f aca="true" t="shared" si="194" ref="L328">L329+L331</f>
        <v>156.8</v>
      </c>
      <c r="M328" s="7">
        <f t="shared" si="155"/>
        <v>26.553767993226078</v>
      </c>
    </row>
    <row r="329" spans="1:13" ht="31.5">
      <c r="A329" s="33" t="s">
        <v>170</v>
      </c>
      <c r="B329" s="42" t="s">
        <v>273</v>
      </c>
      <c r="C329" s="42" t="s">
        <v>252</v>
      </c>
      <c r="D329" s="21" t="s">
        <v>566</v>
      </c>
      <c r="E329" s="42" t="s">
        <v>171</v>
      </c>
      <c r="F329" s="7" t="e">
        <f>F330</f>
        <v>#REF!</v>
      </c>
      <c r="G329" s="7" t="e">
        <f t="shared" si="193"/>
        <v>#REF!</v>
      </c>
      <c r="H329" s="7" t="e">
        <f t="shared" si="193"/>
        <v>#REF!</v>
      </c>
      <c r="I329" s="7" t="e">
        <f t="shared" si="193"/>
        <v>#REF!</v>
      </c>
      <c r="J329" s="7" t="e">
        <f t="shared" si="193"/>
        <v>#REF!</v>
      </c>
      <c r="K329" s="7">
        <f t="shared" si="193"/>
        <v>590.5</v>
      </c>
      <c r="L329" s="7">
        <f t="shared" si="193"/>
        <v>156.8</v>
      </c>
      <c r="M329" s="7">
        <f t="shared" si="155"/>
        <v>26.553767993226078</v>
      </c>
    </row>
    <row r="330" spans="1:13" ht="47.25">
      <c r="A330" s="33" t="s">
        <v>172</v>
      </c>
      <c r="B330" s="42" t="s">
        <v>273</v>
      </c>
      <c r="C330" s="42" t="s">
        <v>252</v>
      </c>
      <c r="D330" s="21" t="s">
        <v>566</v>
      </c>
      <c r="E330" s="42" t="s">
        <v>173</v>
      </c>
      <c r="F330" s="7" t="e">
        <f>#REF!</f>
        <v>#REF!</v>
      </c>
      <c r="G330" s="7" t="e">
        <f>#REF!</f>
        <v>#REF!</v>
      </c>
      <c r="H330" s="7" t="e">
        <f>#REF!</f>
        <v>#REF!</v>
      </c>
      <c r="I330" s="7" t="e">
        <f>#REF!</f>
        <v>#REF!</v>
      </c>
      <c r="J330" s="7" t="e">
        <f>#REF!</f>
        <v>#REF!</v>
      </c>
      <c r="K330" s="7">
        <f>'Прил.№4 ведомств.'!G1081</f>
        <v>590.5</v>
      </c>
      <c r="L330" s="7">
        <f>'Прил.№4 ведомств.'!H1081</f>
        <v>156.8</v>
      </c>
      <c r="M330" s="7">
        <f t="shared" si="155"/>
        <v>26.553767993226078</v>
      </c>
    </row>
    <row r="331" spans="1:13" ht="15.75" hidden="1">
      <c r="A331" s="31" t="s">
        <v>174</v>
      </c>
      <c r="B331" s="42" t="s">
        <v>273</v>
      </c>
      <c r="C331" s="42" t="s">
        <v>252</v>
      </c>
      <c r="D331" s="21" t="s">
        <v>566</v>
      </c>
      <c r="E331" s="42" t="s">
        <v>184</v>
      </c>
      <c r="F331" s="7"/>
      <c r="G331" s="7"/>
      <c r="H331" s="7"/>
      <c r="I331" s="7"/>
      <c r="J331" s="7"/>
      <c r="K331" s="7">
        <f>K332</f>
        <v>0</v>
      </c>
      <c r="L331" s="7">
        <f aca="true" t="shared" si="195" ref="L331">L332</f>
        <v>0</v>
      </c>
      <c r="M331" s="7" t="e">
        <f t="shared" si="155"/>
        <v>#DIV/0!</v>
      </c>
    </row>
    <row r="332" spans="1:13" ht="15.75" hidden="1">
      <c r="A332" s="31" t="s">
        <v>608</v>
      </c>
      <c r="B332" s="42" t="s">
        <v>273</v>
      </c>
      <c r="C332" s="42" t="s">
        <v>252</v>
      </c>
      <c r="D332" s="21" t="s">
        <v>566</v>
      </c>
      <c r="E332" s="42" t="s">
        <v>177</v>
      </c>
      <c r="F332" s="7"/>
      <c r="G332" s="7"/>
      <c r="H332" s="7"/>
      <c r="I332" s="7"/>
      <c r="J332" s="7"/>
      <c r="K332" s="7">
        <v>0</v>
      </c>
      <c r="L332" s="7">
        <v>0</v>
      </c>
      <c r="M332" s="7" t="e">
        <f t="shared" si="155"/>
        <v>#DIV/0!</v>
      </c>
    </row>
    <row r="333" spans="1:13" ht="15.75">
      <c r="A333" s="119" t="s">
        <v>567</v>
      </c>
      <c r="B333" s="42" t="s">
        <v>273</v>
      </c>
      <c r="C333" s="42" t="s">
        <v>252</v>
      </c>
      <c r="D333" s="21" t="s">
        <v>568</v>
      </c>
      <c r="E333" s="42"/>
      <c r="F333" s="7" t="e">
        <f>F334</f>
        <v>#REF!</v>
      </c>
      <c r="G333" s="7" t="e">
        <f aca="true" t="shared" si="196" ref="G333:L334">G334</f>
        <v>#REF!</v>
      </c>
      <c r="H333" s="7" t="e">
        <f t="shared" si="196"/>
        <v>#REF!</v>
      </c>
      <c r="I333" s="7" t="e">
        <f t="shared" si="196"/>
        <v>#REF!</v>
      </c>
      <c r="J333" s="7" t="e">
        <f t="shared" si="196"/>
        <v>#REF!</v>
      </c>
      <c r="K333" s="7">
        <f t="shared" si="196"/>
        <v>2330</v>
      </c>
      <c r="L333" s="7">
        <f t="shared" si="196"/>
        <v>2083.7</v>
      </c>
      <c r="M333" s="7">
        <f t="shared" si="155"/>
        <v>89.42918454935621</v>
      </c>
    </row>
    <row r="334" spans="1:13" ht="31.5">
      <c r="A334" s="33" t="s">
        <v>170</v>
      </c>
      <c r="B334" s="42" t="s">
        <v>273</v>
      </c>
      <c r="C334" s="42" t="s">
        <v>252</v>
      </c>
      <c r="D334" s="21" t="s">
        <v>568</v>
      </c>
      <c r="E334" s="42" t="s">
        <v>171</v>
      </c>
      <c r="F334" s="7" t="e">
        <f>F335</f>
        <v>#REF!</v>
      </c>
      <c r="G334" s="7" t="e">
        <f t="shared" si="196"/>
        <v>#REF!</v>
      </c>
      <c r="H334" s="7" t="e">
        <f t="shared" si="196"/>
        <v>#REF!</v>
      </c>
      <c r="I334" s="7" t="e">
        <f t="shared" si="196"/>
        <v>#REF!</v>
      </c>
      <c r="J334" s="7" t="e">
        <f t="shared" si="196"/>
        <v>#REF!</v>
      </c>
      <c r="K334" s="7">
        <f t="shared" si="196"/>
        <v>2330</v>
      </c>
      <c r="L334" s="7">
        <f t="shared" si="196"/>
        <v>2083.7</v>
      </c>
      <c r="M334" s="7">
        <f aca="true" t="shared" si="197" ref="M334:M397">L334/K334*100</f>
        <v>89.42918454935621</v>
      </c>
    </row>
    <row r="335" spans="1:13" ht="47.25">
      <c r="A335" s="33" t="s">
        <v>172</v>
      </c>
      <c r="B335" s="42" t="s">
        <v>273</v>
      </c>
      <c r="C335" s="42" t="s">
        <v>252</v>
      </c>
      <c r="D335" s="21" t="s">
        <v>568</v>
      </c>
      <c r="E335" s="42" t="s">
        <v>173</v>
      </c>
      <c r="F335" s="7" t="e">
        <f>#REF!</f>
        <v>#REF!</v>
      </c>
      <c r="G335" s="7" t="e">
        <f>#REF!</f>
        <v>#REF!</v>
      </c>
      <c r="H335" s="7" t="e">
        <f>#REF!</f>
        <v>#REF!</v>
      </c>
      <c r="I335" s="7" t="e">
        <f>#REF!</f>
        <v>#REF!</v>
      </c>
      <c r="J335" s="7" t="e">
        <f>#REF!</f>
        <v>#REF!</v>
      </c>
      <c r="K335" s="7">
        <f>'Прил.№4 ведомств.'!G1086</f>
        <v>2330</v>
      </c>
      <c r="L335" s="7">
        <f>'Прил.№4 ведомств.'!H1086</f>
        <v>2083.7</v>
      </c>
      <c r="M335" s="7">
        <f t="shared" si="197"/>
        <v>89.42918454935621</v>
      </c>
    </row>
    <row r="336" spans="1:13" ht="15.75" hidden="1">
      <c r="A336" s="119" t="s">
        <v>569</v>
      </c>
      <c r="B336" s="42" t="s">
        <v>273</v>
      </c>
      <c r="C336" s="42" t="s">
        <v>252</v>
      </c>
      <c r="D336" s="21" t="s">
        <v>570</v>
      </c>
      <c r="E336" s="42"/>
      <c r="F336" s="7" t="e">
        <f>F337</f>
        <v>#REF!</v>
      </c>
      <c r="G336" s="7" t="e">
        <f aca="true" t="shared" si="198" ref="G336:L337">G337</f>
        <v>#REF!</v>
      </c>
      <c r="H336" s="7" t="e">
        <f t="shared" si="198"/>
        <v>#REF!</v>
      </c>
      <c r="I336" s="7" t="e">
        <f t="shared" si="198"/>
        <v>#REF!</v>
      </c>
      <c r="J336" s="7" t="e">
        <f t="shared" si="198"/>
        <v>#REF!</v>
      </c>
      <c r="K336" s="7">
        <f t="shared" si="198"/>
        <v>0</v>
      </c>
      <c r="L336" s="7">
        <f t="shared" si="198"/>
        <v>0</v>
      </c>
      <c r="M336" s="7" t="e">
        <f t="shared" si="197"/>
        <v>#DIV/0!</v>
      </c>
    </row>
    <row r="337" spans="1:13" ht="31.5" hidden="1">
      <c r="A337" s="33" t="s">
        <v>170</v>
      </c>
      <c r="B337" s="42" t="s">
        <v>273</v>
      </c>
      <c r="C337" s="42" t="s">
        <v>252</v>
      </c>
      <c r="D337" s="21" t="s">
        <v>570</v>
      </c>
      <c r="E337" s="42" t="s">
        <v>171</v>
      </c>
      <c r="F337" s="7" t="e">
        <f>F338</f>
        <v>#REF!</v>
      </c>
      <c r="G337" s="7" t="e">
        <f t="shared" si="198"/>
        <v>#REF!</v>
      </c>
      <c r="H337" s="7" t="e">
        <f t="shared" si="198"/>
        <v>#REF!</v>
      </c>
      <c r="I337" s="7" t="e">
        <f t="shared" si="198"/>
        <v>#REF!</v>
      </c>
      <c r="J337" s="7" t="e">
        <f t="shared" si="198"/>
        <v>#REF!</v>
      </c>
      <c r="K337" s="7">
        <f t="shared" si="198"/>
        <v>0</v>
      </c>
      <c r="L337" s="7">
        <f t="shared" si="198"/>
        <v>0</v>
      </c>
      <c r="M337" s="7" t="e">
        <f t="shared" si="197"/>
        <v>#DIV/0!</v>
      </c>
    </row>
    <row r="338" spans="1:13" ht="47.25" hidden="1">
      <c r="A338" s="33" t="s">
        <v>172</v>
      </c>
      <c r="B338" s="42" t="s">
        <v>273</v>
      </c>
      <c r="C338" s="42" t="s">
        <v>252</v>
      </c>
      <c r="D338" s="21" t="s">
        <v>570</v>
      </c>
      <c r="E338" s="42" t="s">
        <v>173</v>
      </c>
      <c r="F338" s="7" t="e">
        <f>#REF!</f>
        <v>#REF!</v>
      </c>
      <c r="G338" s="7" t="e">
        <f>#REF!</f>
        <v>#REF!</v>
      </c>
      <c r="H338" s="7" t="e">
        <f>#REF!</f>
        <v>#REF!</v>
      </c>
      <c r="I338" s="7" t="e">
        <f>#REF!</f>
        <v>#REF!</v>
      </c>
      <c r="J338" s="7" t="e">
        <f>#REF!</f>
        <v>#REF!</v>
      </c>
      <c r="K338" s="7">
        <f>'Прил.№4 ведомств.'!G1089</f>
        <v>0</v>
      </c>
      <c r="L338" s="7">
        <f>'Прил.№4 ведомств.'!H1089</f>
        <v>0</v>
      </c>
      <c r="M338" s="7" t="e">
        <f t="shared" si="197"/>
        <v>#DIV/0!</v>
      </c>
    </row>
    <row r="339" spans="1:13" ht="31.5" customHeight="1" hidden="1">
      <c r="A339" s="117" t="s">
        <v>571</v>
      </c>
      <c r="B339" s="42" t="s">
        <v>273</v>
      </c>
      <c r="C339" s="42" t="s">
        <v>252</v>
      </c>
      <c r="D339" s="21" t="s">
        <v>572</v>
      </c>
      <c r="E339" s="42"/>
      <c r="F339" s="7">
        <f>F340</f>
        <v>0</v>
      </c>
      <c r="G339" s="7">
        <f aca="true" t="shared" si="199" ref="G339:L340">G340</f>
        <v>0</v>
      </c>
      <c r="H339" s="7">
        <f t="shared" si="199"/>
        <v>0</v>
      </c>
      <c r="I339" s="7">
        <f t="shared" si="199"/>
        <v>0</v>
      </c>
      <c r="J339" s="7">
        <f t="shared" si="199"/>
        <v>0</v>
      </c>
      <c r="K339" s="7">
        <f t="shared" si="199"/>
        <v>0</v>
      </c>
      <c r="L339" s="7">
        <f t="shared" si="199"/>
        <v>0</v>
      </c>
      <c r="M339" s="7" t="e">
        <f t="shared" si="197"/>
        <v>#DIV/0!</v>
      </c>
    </row>
    <row r="340" spans="1:13" ht="31.5" customHeight="1" hidden="1">
      <c r="A340" s="33" t="s">
        <v>170</v>
      </c>
      <c r="B340" s="42" t="s">
        <v>273</v>
      </c>
      <c r="C340" s="42" t="s">
        <v>252</v>
      </c>
      <c r="D340" s="21" t="s">
        <v>572</v>
      </c>
      <c r="E340" s="42" t="s">
        <v>171</v>
      </c>
      <c r="F340" s="7">
        <f>F341</f>
        <v>0</v>
      </c>
      <c r="G340" s="7">
        <f t="shared" si="199"/>
        <v>0</v>
      </c>
      <c r="H340" s="7">
        <f t="shared" si="199"/>
        <v>0</v>
      </c>
      <c r="I340" s="7">
        <f t="shared" si="199"/>
        <v>0</v>
      </c>
      <c r="J340" s="7">
        <f t="shared" si="199"/>
        <v>0</v>
      </c>
      <c r="K340" s="7">
        <f t="shared" si="199"/>
        <v>0</v>
      </c>
      <c r="L340" s="7">
        <f t="shared" si="199"/>
        <v>0</v>
      </c>
      <c r="M340" s="7" t="e">
        <f t="shared" si="197"/>
        <v>#DIV/0!</v>
      </c>
    </row>
    <row r="341" spans="1:13" ht="47.25" customHeight="1" hidden="1">
      <c r="A341" s="33" t="s">
        <v>172</v>
      </c>
      <c r="B341" s="42" t="s">
        <v>273</v>
      </c>
      <c r="C341" s="42" t="s">
        <v>252</v>
      </c>
      <c r="D341" s="21" t="s">
        <v>572</v>
      </c>
      <c r="E341" s="42" t="s">
        <v>173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 t="e">
        <f t="shared" si="197"/>
        <v>#DIV/0!</v>
      </c>
    </row>
    <row r="342" spans="1:13" ht="15.75">
      <c r="A342" s="117" t="s">
        <v>573</v>
      </c>
      <c r="B342" s="42" t="s">
        <v>273</v>
      </c>
      <c r="C342" s="42" t="s">
        <v>252</v>
      </c>
      <c r="D342" s="21" t="s">
        <v>574</v>
      </c>
      <c r="E342" s="42"/>
      <c r="F342" s="7" t="e">
        <f>F343</f>
        <v>#REF!</v>
      </c>
      <c r="G342" s="7" t="e">
        <f aca="true" t="shared" si="200" ref="G342:L343">G343</f>
        <v>#REF!</v>
      </c>
      <c r="H342" s="7" t="e">
        <f t="shared" si="200"/>
        <v>#REF!</v>
      </c>
      <c r="I342" s="7" t="e">
        <f t="shared" si="200"/>
        <v>#REF!</v>
      </c>
      <c r="J342" s="7" t="e">
        <f t="shared" si="200"/>
        <v>#REF!</v>
      </c>
      <c r="K342" s="7">
        <f t="shared" si="200"/>
        <v>100</v>
      </c>
      <c r="L342" s="7">
        <f t="shared" si="200"/>
        <v>50</v>
      </c>
      <c r="M342" s="7">
        <f t="shared" si="197"/>
        <v>50</v>
      </c>
    </row>
    <row r="343" spans="1:13" ht="31.5">
      <c r="A343" s="26" t="s">
        <v>170</v>
      </c>
      <c r="B343" s="42" t="s">
        <v>273</v>
      </c>
      <c r="C343" s="42" t="s">
        <v>252</v>
      </c>
      <c r="D343" s="21" t="s">
        <v>574</v>
      </c>
      <c r="E343" s="42" t="s">
        <v>171</v>
      </c>
      <c r="F343" s="7" t="e">
        <f>F344</f>
        <v>#REF!</v>
      </c>
      <c r="G343" s="7" t="e">
        <f t="shared" si="200"/>
        <v>#REF!</v>
      </c>
      <c r="H343" s="7" t="e">
        <f t="shared" si="200"/>
        <v>#REF!</v>
      </c>
      <c r="I343" s="7" t="e">
        <f t="shared" si="200"/>
        <v>#REF!</v>
      </c>
      <c r="J343" s="7" t="e">
        <f t="shared" si="200"/>
        <v>#REF!</v>
      </c>
      <c r="K343" s="7">
        <f t="shared" si="200"/>
        <v>100</v>
      </c>
      <c r="L343" s="7">
        <f t="shared" si="200"/>
        <v>50</v>
      </c>
      <c r="M343" s="7">
        <f t="shared" si="197"/>
        <v>50</v>
      </c>
    </row>
    <row r="344" spans="1:13" ht="47.25">
      <c r="A344" s="26" t="s">
        <v>172</v>
      </c>
      <c r="B344" s="42" t="s">
        <v>273</v>
      </c>
      <c r="C344" s="42" t="s">
        <v>252</v>
      </c>
      <c r="D344" s="21" t="s">
        <v>574</v>
      </c>
      <c r="E344" s="42" t="s">
        <v>173</v>
      </c>
      <c r="F344" s="7" t="e">
        <f>#REF!</f>
        <v>#REF!</v>
      </c>
      <c r="G344" s="7" t="e">
        <f>#REF!</f>
        <v>#REF!</v>
      </c>
      <c r="H344" s="7" t="e">
        <f>#REF!</f>
        <v>#REF!</v>
      </c>
      <c r="I344" s="7" t="e">
        <f>#REF!</f>
        <v>#REF!</v>
      </c>
      <c r="J344" s="7" t="e">
        <f>#REF!</f>
        <v>#REF!</v>
      </c>
      <c r="K344" s="7">
        <f>'Прил.№4 ведомств.'!G1095</f>
        <v>100</v>
      </c>
      <c r="L344" s="7">
        <f>'Прил.№4 ведомств.'!H1095</f>
        <v>50</v>
      </c>
      <c r="M344" s="7">
        <f t="shared" si="197"/>
        <v>50</v>
      </c>
    </row>
    <row r="345" spans="1:13" ht="15.75">
      <c r="A345" s="31" t="s">
        <v>160</v>
      </c>
      <c r="B345" s="42" t="s">
        <v>273</v>
      </c>
      <c r="C345" s="42" t="s">
        <v>252</v>
      </c>
      <c r="D345" s="42" t="s">
        <v>161</v>
      </c>
      <c r="E345" s="42"/>
      <c r="F345" s="7" t="e">
        <f aca="true" t="shared" si="201" ref="F345:J345">F346+F358</f>
        <v>#REF!</v>
      </c>
      <c r="G345" s="7" t="e">
        <f t="shared" si="201"/>
        <v>#REF!</v>
      </c>
      <c r="H345" s="7" t="e">
        <f t="shared" si="201"/>
        <v>#REF!</v>
      </c>
      <c r="I345" s="7" t="e">
        <f t="shared" si="201"/>
        <v>#REF!</v>
      </c>
      <c r="J345" s="7" t="e">
        <f t="shared" si="201"/>
        <v>#REF!</v>
      </c>
      <c r="K345" s="7">
        <f>K346+K358+K373</f>
        <v>83584.53</v>
      </c>
      <c r="L345" s="7">
        <f aca="true" t="shared" si="202" ref="L345">L346+L358+L373</f>
        <v>72581.9</v>
      </c>
      <c r="M345" s="7">
        <f t="shared" si="197"/>
        <v>86.8365234571517</v>
      </c>
    </row>
    <row r="346" spans="1:13" ht="31.5" hidden="1">
      <c r="A346" s="31" t="s">
        <v>224</v>
      </c>
      <c r="B346" s="42" t="s">
        <v>273</v>
      </c>
      <c r="C346" s="42" t="s">
        <v>252</v>
      </c>
      <c r="D346" s="42" t="s">
        <v>225</v>
      </c>
      <c r="E346" s="42"/>
      <c r="F346" s="7" t="e">
        <f aca="true" t="shared" si="203" ref="F346:K346">F347+F350+F355</f>
        <v>#REF!</v>
      </c>
      <c r="G346" s="7" t="e">
        <f t="shared" si="203"/>
        <v>#REF!</v>
      </c>
      <c r="H346" s="7" t="e">
        <f t="shared" si="203"/>
        <v>#REF!</v>
      </c>
      <c r="I346" s="7" t="e">
        <f t="shared" si="203"/>
        <v>#REF!</v>
      </c>
      <c r="J346" s="7" t="e">
        <f t="shared" si="203"/>
        <v>#REF!</v>
      </c>
      <c r="K346" s="7">
        <f t="shared" si="203"/>
        <v>0</v>
      </c>
      <c r="L346" s="7">
        <f aca="true" t="shared" si="204" ref="L346">L347+L350+L355</f>
        <v>0</v>
      </c>
      <c r="M346" s="7" t="e">
        <f t="shared" si="197"/>
        <v>#DIV/0!</v>
      </c>
    </row>
    <row r="347" spans="1:13" ht="47.25" hidden="1">
      <c r="A347" s="120" t="s">
        <v>742</v>
      </c>
      <c r="B347" s="42" t="s">
        <v>273</v>
      </c>
      <c r="C347" s="42" t="s">
        <v>252</v>
      </c>
      <c r="D347" s="21" t="s">
        <v>575</v>
      </c>
      <c r="E347" s="42"/>
      <c r="F347" s="7" t="e">
        <f>F348</f>
        <v>#REF!</v>
      </c>
      <c r="G347" s="7" t="e">
        <f aca="true" t="shared" si="205" ref="G347:L348">G348</f>
        <v>#REF!</v>
      </c>
      <c r="H347" s="7" t="e">
        <f t="shared" si="205"/>
        <v>#REF!</v>
      </c>
      <c r="I347" s="7" t="e">
        <f t="shared" si="205"/>
        <v>#REF!</v>
      </c>
      <c r="J347" s="7" t="e">
        <f t="shared" si="205"/>
        <v>#REF!</v>
      </c>
      <c r="K347" s="7">
        <f t="shared" si="205"/>
        <v>0</v>
      </c>
      <c r="L347" s="7">
        <f t="shared" si="205"/>
        <v>0</v>
      </c>
      <c r="M347" s="7" t="e">
        <f t="shared" si="197"/>
        <v>#DIV/0!</v>
      </c>
    </row>
    <row r="348" spans="1:13" ht="31.5" hidden="1">
      <c r="A348" s="31" t="s">
        <v>170</v>
      </c>
      <c r="B348" s="42" t="s">
        <v>273</v>
      </c>
      <c r="C348" s="42" t="s">
        <v>252</v>
      </c>
      <c r="D348" s="21" t="s">
        <v>575</v>
      </c>
      <c r="E348" s="42" t="s">
        <v>171</v>
      </c>
      <c r="F348" s="7" t="e">
        <f>F349</f>
        <v>#REF!</v>
      </c>
      <c r="G348" s="7" t="e">
        <f t="shared" si="205"/>
        <v>#REF!</v>
      </c>
      <c r="H348" s="7" t="e">
        <f t="shared" si="205"/>
        <v>#REF!</v>
      </c>
      <c r="I348" s="7" t="e">
        <f t="shared" si="205"/>
        <v>#REF!</v>
      </c>
      <c r="J348" s="7" t="e">
        <f t="shared" si="205"/>
        <v>#REF!</v>
      </c>
      <c r="K348" s="7">
        <f t="shared" si="205"/>
        <v>0</v>
      </c>
      <c r="L348" s="7">
        <f t="shared" si="205"/>
        <v>0</v>
      </c>
      <c r="M348" s="7" t="e">
        <f t="shared" si="197"/>
        <v>#DIV/0!</v>
      </c>
    </row>
    <row r="349" spans="1:13" ht="47.25" hidden="1">
      <c r="A349" s="31" t="s">
        <v>172</v>
      </c>
      <c r="B349" s="42" t="s">
        <v>273</v>
      </c>
      <c r="C349" s="42" t="s">
        <v>252</v>
      </c>
      <c r="D349" s="21" t="s">
        <v>575</v>
      </c>
      <c r="E349" s="42" t="s">
        <v>173</v>
      </c>
      <c r="F349" s="7" t="e">
        <f>#REF!</f>
        <v>#REF!</v>
      </c>
      <c r="G349" s="7" t="e">
        <f>#REF!</f>
        <v>#REF!</v>
      </c>
      <c r="H349" s="7" t="e">
        <f>#REF!</f>
        <v>#REF!</v>
      </c>
      <c r="I349" s="7" t="e">
        <f>#REF!</f>
        <v>#REF!</v>
      </c>
      <c r="J349" s="7" t="e">
        <f>#REF!</f>
        <v>#REF!</v>
      </c>
      <c r="K349" s="7">
        <f>'Прил.№4 ведомств.'!G1099</f>
        <v>0</v>
      </c>
      <c r="L349" s="7">
        <f>'Прил.№4 ведомств.'!H1099</f>
        <v>0</v>
      </c>
      <c r="M349" s="7" t="e">
        <f t="shared" si="197"/>
        <v>#DIV/0!</v>
      </c>
    </row>
    <row r="350" spans="1:13" ht="31.5" hidden="1">
      <c r="A350" s="70" t="s">
        <v>748</v>
      </c>
      <c r="B350" s="42" t="s">
        <v>273</v>
      </c>
      <c r="C350" s="42" t="s">
        <v>252</v>
      </c>
      <c r="D350" s="42" t="s">
        <v>576</v>
      </c>
      <c r="E350" s="42"/>
      <c r="F350" s="7" t="e">
        <f aca="true" t="shared" si="206" ref="F350:J351">F351</f>
        <v>#REF!</v>
      </c>
      <c r="G350" s="7" t="e">
        <f t="shared" si="206"/>
        <v>#REF!</v>
      </c>
      <c r="H350" s="7" t="e">
        <f t="shared" si="206"/>
        <v>#REF!</v>
      </c>
      <c r="I350" s="7" t="e">
        <f t="shared" si="206"/>
        <v>#REF!</v>
      </c>
      <c r="J350" s="7" t="e">
        <f t="shared" si="206"/>
        <v>#REF!</v>
      </c>
      <c r="K350" s="7">
        <f>K351+K353</f>
        <v>0</v>
      </c>
      <c r="L350" s="7">
        <f aca="true" t="shared" si="207" ref="L350">L351+L353</f>
        <v>0</v>
      </c>
      <c r="M350" s="7" t="e">
        <f t="shared" si="197"/>
        <v>#DIV/0!</v>
      </c>
    </row>
    <row r="351" spans="1:13" ht="31.5" hidden="1">
      <c r="A351" s="31" t="s">
        <v>170</v>
      </c>
      <c r="B351" s="42" t="s">
        <v>273</v>
      </c>
      <c r="C351" s="42" t="s">
        <v>252</v>
      </c>
      <c r="D351" s="42" t="s">
        <v>576</v>
      </c>
      <c r="E351" s="42" t="s">
        <v>171</v>
      </c>
      <c r="F351" s="7" t="e">
        <f t="shared" si="206"/>
        <v>#REF!</v>
      </c>
      <c r="G351" s="7" t="e">
        <f t="shared" si="206"/>
        <v>#REF!</v>
      </c>
      <c r="H351" s="7" t="e">
        <f t="shared" si="206"/>
        <v>#REF!</v>
      </c>
      <c r="I351" s="7" t="e">
        <f t="shared" si="206"/>
        <v>#REF!</v>
      </c>
      <c r="J351" s="7" t="e">
        <f t="shared" si="206"/>
        <v>#REF!</v>
      </c>
      <c r="K351" s="7">
        <f>K352</f>
        <v>0</v>
      </c>
      <c r="L351" s="7">
        <f aca="true" t="shared" si="208" ref="L351">L352</f>
        <v>0</v>
      </c>
      <c r="M351" s="7" t="e">
        <f t="shared" si="197"/>
        <v>#DIV/0!</v>
      </c>
    </row>
    <row r="352" spans="1:13" ht="47.25" hidden="1">
      <c r="A352" s="31" t="s">
        <v>172</v>
      </c>
      <c r="B352" s="42" t="s">
        <v>273</v>
      </c>
      <c r="C352" s="42" t="s">
        <v>252</v>
      </c>
      <c r="D352" s="42" t="s">
        <v>576</v>
      </c>
      <c r="E352" s="42" t="s">
        <v>173</v>
      </c>
      <c r="F352" s="7" t="e">
        <f>#REF!</f>
        <v>#REF!</v>
      </c>
      <c r="G352" s="7" t="e">
        <f>#REF!</f>
        <v>#REF!</v>
      </c>
      <c r="H352" s="7" t="e">
        <f>#REF!</f>
        <v>#REF!</v>
      </c>
      <c r="I352" s="7" t="e">
        <f>#REF!</f>
        <v>#REF!</v>
      </c>
      <c r="J352" s="7" t="e">
        <f>#REF!</f>
        <v>#REF!</v>
      </c>
      <c r="K352" s="7">
        <f>'Прил.№4 ведомств.'!G1102</f>
        <v>0</v>
      </c>
      <c r="L352" s="7">
        <f>'Прил.№4 ведомств.'!H1102</f>
        <v>0</v>
      </c>
      <c r="M352" s="7" t="e">
        <f t="shared" si="197"/>
        <v>#DIV/0!</v>
      </c>
    </row>
    <row r="353" spans="1:13" ht="15.75" hidden="1">
      <c r="A353" s="31" t="s">
        <v>174</v>
      </c>
      <c r="B353" s="42" t="s">
        <v>273</v>
      </c>
      <c r="C353" s="42" t="s">
        <v>252</v>
      </c>
      <c r="D353" s="42" t="s">
        <v>576</v>
      </c>
      <c r="E353" s="42" t="s">
        <v>184</v>
      </c>
      <c r="F353" s="7"/>
      <c r="G353" s="7"/>
      <c r="H353" s="7"/>
      <c r="I353" s="7"/>
      <c r="J353" s="7"/>
      <c r="K353" s="7">
        <f>K354</f>
        <v>0</v>
      </c>
      <c r="L353" s="7">
        <f aca="true" t="shared" si="209" ref="L353">L354</f>
        <v>0</v>
      </c>
      <c r="M353" s="7" t="e">
        <f t="shared" si="197"/>
        <v>#DIV/0!</v>
      </c>
    </row>
    <row r="354" spans="1:13" ht="15.75" hidden="1">
      <c r="A354" s="31" t="s">
        <v>608</v>
      </c>
      <c r="B354" s="42" t="s">
        <v>273</v>
      </c>
      <c r="C354" s="42" t="s">
        <v>252</v>
      </c>
      <c r="D354" s="42" t="s">
        <v>576</v>
      </c>
      <c r="E354" s="42" t="s">
        <v>177</v>
      </c>
      <c r="F354" s="7"/>
      <c r="G354" s="7"/>
      <c r="H354" s="7"/>
      <c r="I354" s="7"/>
      <c r="J354" s="7"/>
      <c r="K354" s="7">
        <f>'Прил.№4 ведомств.'!G1104</f>
        <v>0</v>
      </c>
      <c r="L354" s="7">
        <f>'Прил.№4 ведомств.'!H1104</f>
        <v>0</v>
      </c>
      <c r="M354" s="7" t="e">
        <f t="shared" si="197"/>
        <v>#DIV/0!</v>
      </c>
    </row>
    <row r="355" spans="1:13" ht="47.25" hidden="1">
      <c r="A355" s="26" t="s">
        <v>749</v>
      </c>
      <c r="B355" s="42" t="s">
        <v>273</v>
      </c>
      <c r="C355" s="42" t="s">
        <v>252</v>
      </c>
      <c r="D355" s="21" t="s">
        <v>750</v>
      </c>
      <c r="E355" s="42"/>
      <c r="F355" s="7" t="e">
        <f>F356</f>
        <v>#REF!</v>
      </c>
      <c r="G355" s="7" t="e">
        <f aca="true" t="shared" si="210" ref="G355:L356">G356</f>
        <v>#REF!</v>
      </c>
      <c r="H355" s="7" t="e">
        <f t="shared" si="210"/>
        <v>#REF!</v>
      </c>
      <c r="I355" s="7" t="e">
        <f t="shared" si="210"/>
        <v>#REF!</v>
      </c>
      <c r="J355" s="7" t="e">
        <f t="shared" si="210"/>
        <v>#REF!</v>
      </c>
      <c r="K355" s="7">
        <f t="shared" si="210"/>
        <v>0</v>
      </c>
      <c r="L355" s="7">
        <f t="shared" si="210"/>
        <v>0</v>
      </c>
      <c r="M355" s="7" t="e">
        <f t="shared" si="197"/>
        <v>#DIV/0!</v>
      </c>
    </row>
    <row r="356" spans="1:13" ht="31.5" hidden="1">
      <c r="A356" s="26" t="s">
        <v>170</v>
      </c>
      <c r="B356" s="42" t="s">
        <v>273</v>
      </c>
      <c r="C356" s="42" t="s">
        <v>252</v>
      </c>
      <c r="D356" s="21" t="s">
        <v>750</v>
      </c>
      <c r="E356" s="42" t="s">
        <v>171</v>
      </c>
      <c r="F356" s="7" t="e">
        <f>F357</f>
        <v>#REF!</v>
      </c>
      <c r="G356" s="7" t="e">
        <f t="shared" si="210"/>
        <v>#REF!</v>
      </c>
      <c r="H356" s="7" t="e">
        <f t="shared" si="210"/>
        <v>#REF!</v>
      </c>
      <c r="I356" s="7" t="e">
        <f t="shared" si="210"/>
        <v>#REF!</v>
      </c>
      <c r="J356" s="7" t="e">
        <f t="shared" si="210"/>
        <v>#REF!</v>
      </c>
      <c r="K356" s="7">
        <f t="shared" si="210"/>
        <v>0</v>
      </c>
      <c r="L356" s="7">
        <f t="shared" si="210"/>
        <v>0</v>
      </c>
      <c r="M356" s="7" t="e">
        <f t="shared" si="197"/>
        <v>#DIV/0!</v>
      </c>
    </row>
    <row r="357" spans="1:13" ht="47.25" hidden="1">
      <c r="A357" s="26" t="s">
        <v>172</v>
      </c>
      <c r="B357" s="42" t="s">
        <v>273</v>
      </c>
      <c r="C357" s="42" t="s">
        <v>252</v>
      </c>
      <c r="D357" s="21" t="s">
        <v>750</v>
      </c>
      <c r="E357" s="42" t="s">
        <v>173</v>
      </c>
      <c r="F357" s="7" t="e">
        <f>#REF!</f>
        <v>#REF!</v>
      </c>
      <c r="G357" s="7" t="e">
        <f>#REF!</f>
        <v>#REF!</v>
      </c>
      <c r="H357" s="7" t="e">
        <f>#REF!</f>
        <v>#REF!</v>
      </c>
      <c r="I357" s="7" t="e">
        <f>#REF!</f>
        <v>#REF!</v>
      </c>
      <c r="J357" s="7" t="e">
        <f>#REF!</f>
        <v>#REF!</v>
      </c>
      <c r="K357" s="7">
        <f>'Прил.№4 ведомств.'!G1107</f>
        <v>0</v>
      </c>
      <c r="L357" s="7">
        <f>'Прил.№4 ведомств.'!H1107</f>
        <v>0</v>
      </c>
      <c r="M357" s="7" t="e">
        <f t="shared" si="197"/>
        <v>#DIV/0!</v>
      </c>
    </row>
    <row r="358" spans="1:13" ht="15.75">
      <c r="A358" s="31" t="s">
        <v>180</v>
      </c>
      <c r="B358" s="42" t="s">
        <v>273</v>
      </c>
      <c r="C358" s="42" t="s">
        <v>252</v>
      </c>
      <c r="D358" s="42" t="s">
        <v>181</v>
      </c>
      <c r="E358" s="8"/>
      <c r="F358" s="7" t="e">
        <f>F359+F365</f>
        <v>#REF!</v>
      </c>
      <c r="G358" s="7" t="e">
        <f>G359+G365</f>
        <v>#REF!</v>
      </c>
      <c r="H358" s="7" t="e">
        <f>H359+H365</f>
        <v>#REF!</v>
      </c>
      <c r="I358" s="7" t="e">
        <f>I359+I365</f>
        <v>#REF!</v>
      </c>
      <c r="J358" s="7" t="e">
        <f>J359+J365</f>
        <v>#REF!</v>
      </c>
      <c r="K358" s="7">
        <f>K359+K365+K379+K370</f>
        <v>7871.2</v>
      </c>
      <c r="L358" s="7">
        <f aca="true" t="shared" si="211" ref="L358">L359+L365+L379+L370</f>
        <v>7857.5</v>
      </c>
      <c r="M358" s="7">
        <f t="shared" si="197"/>
        <v>99.82594775891859</v>
      </c>
    </row>
    <row r="359" spans="1:13" ht="15.75">
      <c r="A359" s="31" t="s">
        <v>577</v>
      </c>
      <c r="B359" s="42" t="s">
        <v>273</v>
      </c>
      <c r="C359" s="42" t="s">
        <v>252</v>
      </c>
      <c r="D359" s="42" t="s">
        <v>578</v>
      </c>
      <c r="E359" s="8"/>
      <c r="F359" s="7" t="e">
        <f aca="true" t="shared" si="212" ref="F359:K359">F360+F362</f>
        <v>#REF!</v>
      </c>
      <c r="G359" s="7" t="e">
        <f t="shared" si="212"/>
        <v>#REF!</v>
      </c>
      <c r="H359" s="7" t="e">
        <f t="shared" si="212"/>
        <v>#REF!</v>
      </c>
      <c r="I359" s="7" t="e">
        <f t="shared" si="212"/>
        <v>#REF!</v>
      </c>
      <c r="J359" s="7" t="e">
        <f t="shared" si="212"/>
        <v>#REF!</v>
      </c>
      <c r="K359" s="7">
        <f t="shared" si="212"/>
        <v>13.699999999999818</v>
      </c>
      <c r="L359" s="7">
        <f aca="true" t="shared" si="213" ref="L359">L360+L362</f>
        <v>0</v>
      </c>
      <c r="M359" s="7">
        <f t="shared" si="197"/>
        <v>0</v>
      </c>
    </row>
    <row r="360" spans="1:13" ht="31.5">
      <c r="A360" s="31" t="s">
        <v>170</v>
      </c>
      <c r="B360" s="42" t="s">
        <v>273</v>
      </c>
      <c r="C360" s="42" t="s">
        <v>252</v>
      </c>
      <c r="D360" s="42" t="s">
        <v>578</v>
      </c>
      <c r="E360" s="42" t="s">
        <v>171</v>
      </c>
      <c r="F360" s="7" t="e">
        <f aca="true" t="shared" si="214" ref="F360:L360">F361</f>
        <v>#REF!</v>
      </c>
      <c r="G360" s="7" t="e">
        <f t="shared" si="214"/>
        <v>#REF!</v>
      </c>
      <c r="H360" s="7" t="e">
        <f t="shared" si="214"/>
        <v>#REF!</v>
      </c>
      <c r="I360" s="7" t="e">
        <f t="shared" si="214"/>
        <v>#REF!</v>
      </c>
      <c r="J360" s="7" t="e">
        <f t="shared" si="214"/>
        <v>#REF!</v>
      </c>
      <c r="K360" s="7">
        <f t="shared" si="214"/>
        <v>13.699999999999818</v>
      </c>
      <c r="L360" s="7">
        <f t="shared" si="214"/>
        <v>0</v>
      </c>
      <c r="M360" s="7">
        <f t="shared" si="197"/>
        <v>0</v>
      </c>
    </row>
    <row r="361" spans="1:13" ht="47.25">
      <c r="A361" s="31" t="s">
        <v>172</v>
      </c>
      <c r="B361" s="42" t="s">
        <v>273</v>
      </c>
      <c r="C361" s="42" t="s">
        <v>252</v>
      </c>
      <c r="D361" s="42" t="s">
        <v>578</v>
      </c>
      <c r="E361" s="42" t="s">
        <v>173</v>
      </c>
      <c r="F361" s="7" t="e">
        <f>#REF!</f>
        <v>#REF!</v>
      </c>
      <c r="G361" s="7" t="e">
        <f>#REF!</f>
        <v>#REF!</v>
      </c>
      <c r="H361" s="7" t="e">
        <f>#REF!</f>
        <v>#REF!</v>
      </c>
      <c r="I361" s="7" t="e">
        <f>#REF!</f>
        <v>#REF!</v>
      </c>
      <c r="J361" s="7" t="e">
        <f>#REF!</f>
        <v>#REF!</v>
      </c>
      <c r="K361" s="7">
        <f>'Прил.№4 ведомств.'!G1111</f>
        <v>13.699999999999818</v>
      </c>
      <c r="L361" s="7">
        <f>'Прил.№4 ведомств.'!H1111</f>
        <v>0</v>
      </c>
      <c r="M361" s="7">
        <f t="shared" si="197"/>
        <v>0</v>
      </c>
    </row>
    <row r="362" spans="1:13" ht="15.75" hidden="1">
      <c r="A362" s="31" t="s">
        <v>174</v>
      </c>
      <c r="B362" s="42" t="s">
        <v>273</v>
      </c>
      <c r="C362" s="42" t="s">
        <v>252</v>
      </c>
      <c r="D362" s="42" t="s">
        <v>578</v>
      </c>
      <c r="E362" s="42" t="s">
        <v>184</v>
      </c>
      <c r="F362" s="7" t="e">
        <f aca="true" t="shared" si="215" ref="F362:K362">F364+F363</f>
        <v>#REF!</v>
      </c>
      <c r="G362" s="7" t="e">
        <f t="shared" si="215"/>
        <v>#REF!</v>
      </c>
      <c r="H362" s="7" t="e">
        <f t="shared" si="215"/>
        <v>#REF!</v>
      </c>
      <c r="I362" s="7" t="e">
        <f t="shared" si="215"/>
        <v>#REF!</v>
      </c>
      <c r="J362" s="7" t="e">
        <f t="shared" si="215"/>
        <v>#REF!</v>
      </c>
      <c r="K362" s="7">
        <f t="shared" si="215"/>
        <v>0</v>
      </c>
      <c r="L362" s="7">
        <f aca="true" t="shared" si="216" ref="L362">L364+L363</f>
        <v>0</v>
      </c>
      <c r="M362" s="7" t="e">
        <f t="shared" si="197"/>
        <v>#DIV/0!</v>
      </c>
    </row>
    <row r="363" spans="1:13" ht="47.25" customHeight="1" hidden="1">
      <c r="A363" s="31" t="s">
        <v>223</v>
      </c>
      <c r="B363" s="42" t="s">
        <v>273</v>
      </c>
      <c r="C363" s="42" t="s">
        <v>252</v>
      </c>
      <c r="D363" s="42" t="s">
        <v>578</v>
      </c>
      <c r="E363" s="42" t="s">
        <v>199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 t="e">
        <f t="shared" si="197"/>
        <v>#DIV/0!</v>
      </c>
    </row>
    <row r="364" spans="1:13" ht="15.75" hidden="1">
      <c r="A364" s="31" t="s">
        <v>608</v>
      </c>
      <c r="B364" s="42" t="s">
        <v>273</v>
      </c>
      <c r="C364" s="42" t="s">
        <v>252</v>
      </c>
      <c r="D364" s="42" t="s">
        <v>578</v>
      </c>
      <c r="E364" s="42" t="s">
        <v>177</v>
      </c>
      <c r="F364" s="7" t="e">
        <f>#REF!</f>
        <v>#REF!</v>
      </c>
      <c r="G364" s="7" t="e">
        <f>#REF!</f>
        <v>#REF!</v>
      </c>
      <c r="H364" s="7" t="e">
        <f>#REF!</f>
        <v>#REF!</v>
      </c>
      <c r="I364" s="7" t="e">
        <f>#REF!</f>
        <v>#REF!</v>
      </c>
      <c r="J364" s="7" t="e">
        <f>#REF!</f>
        <v>#REF!</v>
      </c>
      <c r="K364" s="7">
        <f>'Прил.№4 ведомств.'!G1114</f>
        <v>0</v>
      </c>
      <c r="L364" s="7">
        <f>'Прил.№4 ведомств.'!H1114</f>
        <v>0</v>
      </c>
      <c r="M364" s="7" t="e">
        <f t="shared" si="197"/>
        <v>#DIV/0!</v>
      </c>
    </row>
    <row r="365" spans="1:13" ht="15.75">
      <c r="A365" s="31" t="s">
        <v>579</v>
      </c>
      <c r="B365" s="42" t="s">
        <v>273</v>
      </c>
      <c r="C365" s="42" t="s">
        <v>252</v>
      </c>
      <c r="D365" s="42" t="s">
        <v>580</v>
      </c>
      <c r="E365" s="42"/>
      <c r="F365" s="7" t="e">
        <f>F368</f>
        <v>#REF!</v>
      </c>
      <c r="G365" s="7" t="e">
        <f>G368</f>
        <v>#REF!</v>
      </c>
      <c r="H365" s="7" t="e">
        <f>H368</f>
        <v>#REF!</v>
      </c>
      <c r="I365" s="7" t="e">
        <f>I368</f>
        <v>#REF!</v>
      </c>
      <c r="J365" s="7" t="e">
        <f>J368</f>
        <v>#REF!</v>
      </c>
      <c r="K365" s="7">
        <f>K368+K366</f>
        <v>7857.5</v>
      </c>
      <c r="L365" s="7">
        <f aca="true" t="shared" si="217" ref="L365">L368+L366</f>
        <v>7857.5</v>
      </c>
      <c r="M365" s="7">
        <f t="shared" si="197"/>
        <v>100</v>
      </c>
    </row>
    <row r="366" spans="1:13" ht="31.5">
      <c r="A366" s="31" t="s">
        <v>170</v>
      </c>
      <c r="B366" s="42" t="s">
        <v>273</v>
      </c>
      <c r="C366" s="42" t="s">
        <v>252</v>
      </c>
      <c r="D366" s="42" t="s">
        <v>580</v>
      </c>
      <c r="E366" s="42" t="s">
        <v>171</v>
      </c>
      <c r="F366" s="7"/>
      <c r="G366" s="7"/>
      <c r="H366" s="7"/>
      <c r="I366" s="7"/>
      <c r="J366" s="7"/>
      <c r="K366" s="7">
        <f>K367</f>
        <v>6970.1</v>
      </c>
      <c r="L366" s="7">
        <f aca="true" t="shared" si="218" ref="L366">L367</f>
        <v>6970.1</v>
      </c>
      <c r="M366" s="7">
        <f t="shared" si="197"/>
        <v>100</v>
      </c>
    </row>
    <row r="367" spans="1:13" ht="47.25">
      <c r="A367" s="31" t="s">
        <v>172</v>
      </c>
      <c r="B367" s="42" t="s">
        <v>273</v>
      </c>
      <c r="C367" s="42" t="s">
        <v>252</v>
      </c>
      <c r="D367" s="42" t="s">
        <v>580</v>
      </c>
      <c r="E367" s="42" t="s">
        <v>173</v>
      </c>
      <c r="F367" s="7"/>
      <c r="G367" s="7"/>
      <c r="H367" s="7"/>
      <c r="I367" s="7"/>
      <c r="J367" s="7"/>
      <c r="K367" s="7">
        <f>'Прил.№4 ведомств.'!G1117</f>
        <v>6970.1</v>
      </c>
      <c r="L367" s="7">
        <f>'Прил.№4 ведомств.'!H1117</f>
        <v>6970.1</v>
      </c>
      <c r="M367" s="7">
        <f t="shared" si="197"/>
        <v>100</v>
      </c>
    </row>
    <row r="368" spans="1:13" ht="15.75">
      <c r="A368" s="31" t="s">
        <v>174</v>
      </c>
      <c r="B368" s="42" t="s">
        <v>273</v>
      </c>
      <c r="C368" s="42" t="s">
        <v>252</v>
      </c>
      <c r="D368" s="42" t="s">
        <v>580</v>
      </c>
      <c r="E368" s="42" t="s">
        <v>184</v>
      </c>
      <c r="F368" s="7" t="e">
        <f aca="true" t="shared" si="219" ref="F368:L368">F369</f>
        <v>#REF!</v>
      </c>
      <c r="G368" s="7" t="e">
        <f t="shared" si="219"/>
        <v>#REF!</v>
      </c>
      <c r="H368" s="7" t="e">
        <f t="shared" si="219"/>
        <v>#REF!</v>
      </c>
      <c r="I368" s="7" t="e">
        <f t="shared" si="219"/>
        <v>#REF!</v>
      </c>
      <c r="J368" s="7" t="e">
        <f t="shared" si="219"/>
        <v>#REF!</v>
      </c>
      <c r="K368" s="7">
        <f t="shared" si="219"/>
        <v>887.4000000000001</v>
      </c>
      <c r="L368" s="7">
        <f t="shared" si="219"/>
        <v>887.4</v>
      </c>
      <c r="M368" s="7">
        <f t="shared" si="197"/>
        <v>99.99999999999999</v>
      </c>
    </row>
    <row r="369" spans="1:13" ht="15.75">
      <c r="A369" s="31" t="s">
        <v>185</v>
      </c>
      <c r="B369" s="42" t="s">
        <v>273</v>
      </c>
      <c r="C369" s="42" t="s">
        <v>252</v>
      </c>
      <c r="D369" s="42" t="s">
        <v>580</v>
      </c>
      <c r="E369" s="42" t="s">
        <v>186</v>
      </c>
      <c r="F369" s="7" t="e">
        <f>#REF!</f>
        <v>#REF!</v>
      </c>
      <c r="G369" s="7" t="e">
        <f>#REF!</f>
        <v>#REF!</v>
      </c>
      <c r="H369" s="7" t="e">
        <f>#REF!</f>
        <v>#REF!</v>
      </c>
      <c r="I369" s="7" t="e">
        <f>#REF!</f>
        <v>#REF!</v>
      </c>
      <c r="J369" s="7" t="e">
        <f>#REF!</f>
        <v>#REF!</v>
      </c>
      <c r="K369" s="7">
        <f>'Прил.№4 ведомств.'!G1119</f>
        <v>887.4000000000001</v>
      </c>
      <c r="L369" s="7">
        <f>'Прил.№4 ведомств.'!H1119</f>
        <v>887.4</v>
      </c>
      <c r="M369" s="7">
        <f t="shared" si="197"/>
        <v>99.99999999999999</v>
      </c>
    </row>
    <row r="370" spans="1:13" ht="15.75" hidden="1">
      <c r="A370" s="26" t="s">
        <v>182</v>
      </c>
      <c r="B370" s="42" t="s">
        <v>273</v>
      </c>
      <c r="C370" s="42" t="s">
        <v>252</v>
      </c>
      <c r="D370" s="42" t="s">
        <v>183</v>
      </c>
      <c r="E370" s="42"/>
      <c r="F370" s="7"/>
      <c r="G370" s="7"/>
      <c r="H370" s="7"/>
      <c r="I370" s="7"/>
      <c r="J370" s="7"/>
      <c r="K370" s="7">
        <f>K371</f>
        <v>0</v>
      </c>
      <c r="L370" s="7">
        <f aca="true" t="shared" si="220" ref="L370:L371">L371</f>
        <v>0</v>
      </c>
      <c r="M370" s="7" t="e">
        <f t="shared" si="197"/>
        <v>#DIV/0!</v>
      </c>
    </row>
    <row r="371" spans="1:13" ht="15.75" hidden="1">
      <c r="A371" s="26" t="s">
        <v>174</v>
      </c>
      <c r="B371" s="42" t="s">
        <v>273</v>
      </c>
      <c r="C371" s="42" t="s">
        <v>252</v>
      </c>
      <c r="D371" s="42" t="s">
        <v>183</v>
      </c>
      <c r="E371" s="42" t="s">
        <v>184</v>
      </c>
      <c r="F371" s="7"/>
      <c r="G371" s="7"/>
      <c r="H371" s="7"/>
      <c r="I371" s="7"/>
      <c r="J371" s="7"/>
      <c r="K371" s="7">
        <f>K372</f>
        <v>0</v>
      </c>
      <c r="L371" s="7">
        <f t="shared" si="220"/>
        <v>0</v>
      </c>
      <c r="M371" s="7" t="e">
        <f t="shared" si="197"/>
        <v>#DIV/0!</v>
      </c>
    </row>
    <row r="372" spans="1:13" ht="15.75" hidden="1">
      <c r="A372" s="26" t="s">
        <v>185</v>
      </c>
      <c r="B372" s="42" t="s">
        <v>273</v>
      </c>
      <c r="C372" s="42" t="s">
        <v>252</v>
      </c>
      <c r="D372" s="42" t="s">
        <v>183</v>
      </c>
      <c r="E372" s="42" t="s">
        <v>186</v>
      </c>
      <c r="F372" s="7"/>
      <c r="G372" s="7"/>
      <c r="H372" s="7"/>
      <c r="I372" s="7"/>
      <c r="J372" s="7"/>
      <c r="K372" s="7">
        <f>'Прил.№4 ведомств.'!G1122</f>
        <v>0</v>
      </c>
      <c r="L372" s="7">
        <f>'Прил.№4 ведомств.'!H1122</f>
        <v>0</v>
      </c>
      <c r="M372" s="7" t="e">
        <f t="shared" si="197"/>
        <v>#DIV/0!</v>
      </c>
    </row>
    <row r="373" spans="1:13" s="299" customFormat="1" ht="47.25">
      <c r="A373" s="26" t="s">
        <v>1052</v>
      </c>
      <c r="B373" s="42" t="s">
        <v>273</v>
      </c>
      <c r="C373" s="42" t="s">
        <v>252</v>
      </c>
      <c r="D373" s="42" t="s">
        <v>1053</v>
      </c>
      <c r="E373" s="42"/>
      <c r="F373" s="7"/>
      <c r="G373" s="7"/>
      <c r="H373" s="7"/>
      <c r="I373" s="7"/>
      <c r="J373" s="7"/>
      <c r="K373" s="7">
        <f>K374+K382</f>
        <v>75713.33</v>
      </c>
      <c r="L373" s="7">
        <f>L374+L382</f>
        <v>64724.399999999994</v>
      </c>
      <c r="M373" s="7">
        <f t="shared" si="197"/>
        <v>85.4861356646181</v>
      </c>
    </row>
    <row r="374" spans="1:13" ht="47.25">
      <c r="A374" s="26" t="s">
        <v>1054</v>
      </c>
      <c r="B374" s="42" t="s">
        <v>273</v>
      </c>
      <c r="C374" s="42" t="s">
        <v>252</v>
      </c>
      <c r="D374" s="21" t="s">
        <v>1056</v>
      </c>
      <c r="E374" s="42"/>
      <c r="F374" s="7">
        <f>F375</f>
        <v>0</v>
      </c>
      <c r="G374" s="7">
        <f aca="true" t="shared" si="221" ref="G374:L375">G375</f>
        <v>0</v>
      </c>
      <c r="H374" s="7">
        <f t="shared" si="221"/>
        <v>0</v>
      </c>
      <c r="I374" s="7">
        <f t="shared" si="221"/>
        <v>0</v>
      </c>
      <c r="J374" s="7">
        <f t="shared" si="221"/>
        <v>0</v>
      </c>
      <c r="K374" s="7">
        <f>K375+K377</f>
        <v>20500</v>
      </c>
      <c r="L374" s="7">
        <f>L375+L377</f>
        <v>15504.3</v>
      </c>
      <c r="M374" s="7">
        <f t="shared" si="197"/>
        <v>75.63073170731707</v>
      </c>
    </row>
    <row r="375" spans="1:13" ht="31.5" customHeight="1">
      <c r="A375" s="26" t="s">
        <v>170</v>
      </c>
      <c r="B375" s="42" t="s">
        <v>273</v>
      </c>
      <c r="C375" s="42" t="s">
        <v>252</v>
      </c>
      <c r="D375" s="21" t="s">
        <v>1056</v>
      </c>
      <c r="E375" s="42" t="s">
        <v>171</v>
      </c>
      <c r="F375" s="7">
        <f>F376</f>
        <v>0</v>
      </c>
      <c r="G375" s="7">
        <f t="shared" si="221"/>
        <v>0</v>
      </c>
      <c r="H375" s="7">
        <f t="shared" si="221"/>
        <v>0</v>
      </c>
      <c r="I375" s="7">
        <f t="shared" si="221"/>
        <v>0</v>
      </c>
      <c r="J375" s="7">
        <f t="shared" si="221"/>
        <v>0</v>
      </c>
      <c r="K375" s="7">
        <f t="shared" si="221"/>
        <v>5867</v>
      </c>
      <c r="L375" s="7">
        <f t="shared" si="221"/>
        <v>871.3</v>
      </c>
      <c r="M375" s="7">
        <f t="shared" si="197"/>
        <v>14.850860746548491</v>
      </c>
    </row>
    <row r="376" spans="1:13" ht="47.25" customHeight="1">
      <c r="A376" s="26" t="s">
        <v>172</v>
      </c>
      <c r="B376" s="42" t="s">
        <v>273</v>
      </c>
      <c r="C376" s="42" t="s">
        <v>252</v>
      </c>
      <c r="D376" s="21" t="s">
        <v>1056</v>
      </c>
      <c r="E376" s="42" t="s">
        <v>173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f>'Прил.№4 ведомств.'!G1126</f>
        <v>5867</v>
      </c>
      <c r="L376" s="7">
        <f>'Прил.№4 ведомств.'!H1126</f>
        <v>871.3</v>
      </c>
      <c r="M376" s="7">
        <f t="shared" si="197"/>
        <v>14.850860746548491</v>
      </c>
    </row>
    <row r="377" spans="1:13" ht="31.5">
      <c r="A377" s="288" t="s">
        <v>1091</v>
      </c>
      <c r="B377" s="42" t="s">
        <v>273</v>
      </c>
      <c r="C377" s="42" t="s">
        <v>252</v>
      </c>
      <c r="D377" s="21" t="s">
        <v>929</v>
      </c>
      <c r="E377" s="42" t="s">
        <v>1092</v>
      </c>
      <c r="F377" s="7"/>
      <c r="G377" s="7"/>
      <c r="H377" s="7"/>
      <c r="I377" s="7"/>
      <c r="J377" s="7"/>
      <c r="K377" s="7">
        <f>K378</f>
        <v>14633</v>
      </c>
      <c r="L377" s="7">
        <f aca="true" t="shared" si="222" ref="L377">L378</f>
        <v>14633</v>
      </c>
      <c r="M377" s="7">
        <f t="shared" si="197"/>
        <v>100</v>
      </c>
    </row>
    <row r="378" spans="1:13" ht="15.75">
      <c r="A378" s="288" t="s">
        <v>1093</v>
      </c>
      <c r="B378" s="42" t="s">
        <v>273</v>
      </c>
      <c r="C378" s="42" t="s">
        <v>252</v>
      </c>
      <c r="D378" s="21" t="s">
        <v>929</v>
      </c>
      <c r="E378" s="42" t="s">
        <v>1094</v>
      </c>
      <c r="F378" s="7"/>
      <c r="G378" s="7"/>
      <c r="H378" s="7"/>
      <c r="I378" s="7"/>
      <c r="J378" s="7"/>
      <c r="K378" s="7">
        <f>'Прил.№4 ведомств.'!G1128</f>
        <v>14633</v>
      </c>
      <c r="L378" s="7">
        <f>'Прил.№4 ведомств.'!H1128</f>
        <v>14633</v>
      </c>
      <c r="M378" s="7">
        <f t="shared" si="197"/>
        <v>100</v>
      </c>
    </row>
    <row r="379" spans="1:13" ht="63" hidden="1">
      <c r="A379" s="26" t="s">
        <v>949</v>
      </c>
      <c r="B379" s="42" t="s">
        <v>273</v>
      </c>
      <c r="C379" s="42" t="s">
        <v>252</v>
      </c>
      <c r="D379" s="21" t="s">
        <v>950</v>
      </c>
      <c r="E379" s="42"/>
      <c r="F379" s="7"/>
      <c r="G379" s="7"/>
      <c r="H379" s="7"/>
      <c r="I379" s="7"/>
      <c r="J379" s="7"/>
      <c r="K379" s="7">
        <f>K380</f>
        <v>0</v>
      </c>
      <c r="L379" s="7">
        <f aca="true" t="shared" si="223" ref="L379:L380">L380</f>
        <v>0</v>
      </c>
      <c r="M379" s="7" t="e">
        <f t="shared" si="197"/>
        <v>#DIV/0!</v>
      </c>
    </row>
    <row r="380" spans="1:13" ht="31.5" hidden="1">
      <c r="A380" s="26" t="s">
        <v>170</v>
      </c>
      <c r="B380" s="42" t="s">
        <v>273</v>
      </c>
      <c r="C380" s="42" t="s">
        <v>252</v>
      </c>
      <c r="D380" s="21" t="s">
        <v>950</v>
      </c>
      <c r="E380" s="42" t="s">
        <v>171</v>
      </c>
      <c r="F380" s="7"/>
      <c r="G380" s="7"/>
      <c r="H380" s="7"/>
      <c r="I380" s="7"/>
      <c r="J380" s="7"/>
      <c r="K380" s="7">
        <f>K381</f>
        <v>0</v>
      </c>
      <c r="L380" s="7">
        <f t="shared" si="223"/>
        <v>0</v>
      </c>
      <c r="M380" s="7" t="e">
        <f t="shared" si="197"/>
        <v>#DIV/0!</v>
      </c>
    </row>
    <row r="381" spans="1:13" ht="47.25" hidden="1">
      <c r="A381" s="26" t="s">
        <v>172</v>
      </c>
      <c r="B381" s="42" t="s">
        <v>273</v>
      </c>
      <c r="C381" s="42" t="s">
        <v>252</v>
      </c>
      <c r="D381" s="21" t="s">
        <v>950</v>
      </c>
      <c r="E381" s="42" t="s">
        <v>173</v>
      </c>
      <c r="F381" s="7"/>
      <c r="G381" s="7"/>
      <c r="H381" s="7"/>
      <c r="I381" s="7"/>
      <c r="J381" s="7"/>
      <c r="K381" s="7">
        <f>'Прил.№4 ведомств.'!G1131</f>
        <v>0</v>
      </c>
      <c r="L381" s="7">
        <f>'Прил.№4 ведомств.'!H1131</f>
        <v>0</v>
      </c>
      <c r="M381" s="7" t="e">
        <f t="shared" si="197"/>
        <v>#DIV/0!</v>
      </c>
    </row>
    <row r="382" spans="1:13" ht="47.25">
      <c r="A382" s="117" t="s">
        <v>1067</v>
      </c>
      <c r="B382" s="42" t="s">
        <v>273</v>
      </c>
      <c r="C382" s="42" t="s">
        <v>252</v>
      </c>
      <c r="D382" s="21" t="s">
        <v>1068</v>
      </c>
      <c r="E382" s="42"/>
      <c r="F382" s="7"/>
      <c r="G382" s="7"/>
      <c r="H382" s="7"/>
      <c r="I382" s="7"/>
      <c r="J382" s="7"/>
      <c r="K382" s="7">
        <f>K383</f>
        <v>55213.33</v>
      </c>
      <c r="L382" s="7">
        <f aca="true" t="shared" si="224" ref="L382:L383">L383</f>
        <v>49220.1</v>
      </c>
      <c r="M382" s="7">
        <f t="shared" si="197"/>
        <v>89.14532052314178</v>
      </c>
    </row>
    <row r="383" spans="1:13" ht="31.5">
      <c r="A383" s="288" t="s">
        <v>1091</v>
      </c>
      <c r="B383" s="42" t="s">
        <v>273</v>
      </c>
      <c r="C383" s="42" t="s">
        <v>252</v>
      </c>
      <c r="D383" s="21" t="s">
        <v>1068</v>
      </c>
      <c r="E383" s="42" t="s">
        <v>1092</v>
      </c>
      <c r="F383" s="7"/>
      <c r="G383" s="7"/>
      <c r="H383" s="7"/>
      <c r="I383" s="7"/>
      <c r="J383" s="7"/>
      <c r="K383" s="7">
        <f>K384</f>
        <v>55213.33</v>
      </c>
      <c r="L383" s="7">
        <f t="shared" si="224"/>
        <v>49220.1</v>
      </c>
      <c r="M383" s="7">
        <f t="shared" si="197"/>
        <v>89.14532052314178</v>
      </c>
    </row>
    <row r="384" spans="1:13" ht="15.75">
      <c r="A384" s="288" t="s">
        <v>1093</v>
      </c>
      <c r="B384" s="42" t="s">
        <v>273</v>
      </c>
      <c r="C384" s="42" t="s">
        <v>252</v>
      </c>
      <c r="D384" s="21" t="s">
        <v>1068</v>
      </c>
      <c r="E384" s="42" t="s">
        <v>1094</v>
      </c>
      <c r="F384" s="7"/>
      <c r="G384" s="7"/>
      <c r="H384" s="7"/>
      <c r="I384" s="7"/>
      <c r="J384" s="7"/>
      <c r="K384" s="7">
        <f>'Прил.№4 ведомств.'!G1134</f>
        <v>55213.33</v>
      </c>
      <c r="L384" s="7">
        <f>'Прил.№4 ведомств.'!H1134</f>
        <v>49220.1</v>
      </c>
      <c r="M384" s="7">
        <f t="shared" si="197"/>
        <v>89.14532052314178</v>
      </c>
    </row>
    <row r="385" spans="1:13" ht="15.75">
      <c r="A385" s="43" t="s">
        <v>581</v>
      </c>
      <c r="B385" s="8" t="s">
        <v>273</v>
      </c>
      <c r="C385" s="8" t="s">
        <v>254</v>
      </c>
      <c r="D385" s="8"/>
      <c r="E385" s="8"/>
      <c r="F385" s="4" t="e">
        <f aca="true" t="shared" si="225" ref="F385:K385">F386+F423+F419</f>
        <v>#REF!</v>
      </c>
      <c r="G385" s="4" t="e">
        <f t="shared" si="225"/>
        <v>#REF!</v>
      </c>
      <c r="H385" s="4" t="e">
        <f t="shared" si="225"/>
        <v>#REF!</v>
      </c>
      <c r="I385" s="4" t="e">
        <f t="shared" si="225"/>
        <v>#REF!</v>
      </c>
      <c r="J385" s="4" t="e">
        <f t="shared" si="225"/>
        <v>#REF!</v>
      </c>
      <c r="K385" s="4">
        <f t="shared" si="225"/>
        <v>7181.889999999999</v>
      </c>
      <c r="L385" s="4">
        <f aca="true" t="shared" si="226" ref="L385">L386+L423+L419</f>
        <v>4304.1</v>
      </c>
      <c r="M385" s="4">
        <f t="shared" si="197"/>
        <v>59.92990703004364</v>
      </c>
    </row>
    <row r="386" spans="1:13" ht="48" customHeight="1">
      <c r="A386" s="26" t="s">
        <v>582</v>
      </c>
      <c r="B386" s="42" t="s">
        <v>273</v>
      </c>
      <c r="C386" s="42" t="s">
        <v>254</v>
      </c>
      <c r="D386" s="42" t="s">
        <v>583</v>
      </c>
      <c r="E386" s="42"/>
      <c r="F386" s="7" t="e">
        <f aca="true" t="shared" si="227" ref="F386:K386">F387+F402</f>
        <v>#REF!</v>
      </c>
      <c r="G386" s="7" t="e">
        <f t="shared" si="227"/>
        <v>#REF!</v>
      </c>
      <c r="H386" s="7" t="e">
        <f t="shared" si="227"/>
        <v>#REF!</v>
      </c>
      <c r="I386" s="7" t="e">
        <f t="shared" si="227"/>
        <v>#REF!</v>
      </c>
      <c r="J386" s="7" t="e">
        <f t="shared" si="227"/>
        <v>#REF!</v>
      </c>
      <c r="K386" s="7">
        <f t="shared" si="227"/>
        <v>3201.3699999999994</v>
      </c>
      <c r="L386" s="7">
        <f aca="true" t="shared" si="228" ref="L386">L387+L402</f>
        <v>1768.2</v>
      </c>
      <c r="M386" s="7">
        <f t="shared" si="197"/>
        <v>55.23260354160876</v>
      </c>
    </row>
    <row r="387" spans="1:13" ht="47.25">
      <c r="A387" s="26" t="s">
        <v>584</v>
      </c>
      <c r="B387" s="21" t="s">
        <v>273</v>
      </c>
      <c r="C387" s="21" t="s">
        <v>254</v>
      </c>
      <c r="D387" s="21" t="s">
        <v>585</v>
      </c>
      <c r="E387" s="21"/>
      <c r="F387" s="7" t="e">
        <f>F391+F388+F396</f>
        <v>#REF!</v>
      </c>
      <c r="G387" s="7" t="e">
        <f>G391+G388+G396</f>
        <v>#REF!</v>
      </c>
      <c r="H387" s="7" t="e">
        <f>H391+H388+H396</f>
        <v>#REF!</v>
      </c>
      <c r="I387" s="7" t="e">
        <f>I391+I388+I396</f>
        <v>#REF!</v>
      </c>
      <c r="J387" s="7" t="e">
        <f>J391+J388+J396</f>
        <v>#REF!</v>
      </c>
      <c r="K387" s="7">
        <f>K391+K388+K396+K399</f>
        <v>2478.8699999999994</v>
      </c>
      <c r="L387" s="7">
        <f aca="true" t="shared" si="229" ref="L387">L391+L388+L396+L399</f>
        <v>1133</v>
      </c>
      <c r="M387" s="7">
        <f t="shared" si="197"/>
        <v>45.70630972983659</v>
      </c>
    </row>
    <row r="388" spans="1:13" ht="24" customHeight="1" hidden="1">
      <c r="A388" s="26" t="s">
        <v>586</v>
      </c>
      <c r="B388" s="21" t="s">
        <v>273</v>
      </c>
      <c r="C388" s="21" t="s">
        <v>254</v>
      </c>
      <c r="D388" s="21" t="s">
        <v>587</v>
      </c>
      <c r="E388" s="21"/>
      <c r="F388" s="7" t="e">
        <f>F389</f>
        <v>#REF!</v>
      </c>
      <c r="G388" s="7" t="e">
        <f aca="true" t="shared" si="230" ref="G388:L389">G389</f>
        <v>#REF!</v>
      </c>
      <c r="H388" s="7" t="e">
        <f t="shared" si="230"/>
        <v>#REF!</v>
      </c>
      <c r="I388" s="7" t="e">
        <f t="shared" si="230"/>
        <v>#REF!</v>
      </c>
      <c r="J388" s="7" t="e">
        <f t="shared" si="230"/>
        <v>#REF!</v>
      </c>
      <c r="K388" s="7">
        <f t="shared" si="230"/>
        <v>100</v>
      </c>
      <c r="L388" s="7">
        <f t="shared" si="230"/>
        <v>0</v>
      </c>
      <c r="M388" s="7">
        <f t="shared" si="197"/>
        <v>0</v>
      </c>
    </row>
    <row r="389" spans="1:13" ht="31.5" hidden="1">
      <c r="A389" s="26" t="s">
        <v>170</v>
      </c>
      <c r="B389" s="21" t="s">
        <v>273</v>
      </c>
      <c r="C389" s="21" t="s">
        <v>254</v>
      </c>
      <c r="D389" s="21" t="s">
        <v>587</v>
      </c>
      <c r="E389" s="21" t="s">
        <v>171</v>
      </c>
      <c r="F389" s="7" t="e">
        <f>F390</f>
        <v>#REF!</v>
      </c>
      <c r="G389" s="7" t="e">
        <f t="shared" si="230"/>
        <v>#REF!</v>
      </c>
      <c r="H389" s="7" t="e">
        <f t="shared" si="230"/>
        <v>#REF!</v>
      </c>
      <c r="I389" s="7" t="e">
        <f t="shared" si="230"/>
        <v>#REF!</v>
      </c>
      <c r="J389" s="7" t="e">
        <f t="shared" si="230"/>
        <v>#REF!</v>
      </c>
      <c r="K389" s="7">
        <f t="shared" si="230"/>
        <v>100</v>
      </c>
      <c r="L389" s="7">
        <f t="shared" si="230"/>
        <v>0</v>
      </c>
      <c r="M389" s="7">
        <f t="shared" si="197"/>
        <v>0</v>
      </c>
    </row>
    <row r="390" spans="1:13" ht="47.25" hidden="1">
      <c r="A390" s="26" t="s">
        <v>172</v>
      </c>
      <c r="B390" s="21" t="s">
        <v>273</v>
      </c>
      <c r="C390" s="21" t="s">
        <v>254</v>
      </c>
      <c r="D390" s="21" t="s">
        <v>587</v>
      </c>
      <c r="E390" s="21" t="s">
        <v>173</v>
      </c>
      <c r="F390" s="7" t="e">
        <f>#REF!</f>
        <v>#REF!</v>
      </c>
      <c r="G390" s="7" t="e">
        <f>#REF!</f>
        <v>#REF!</v>
      </c>
      <c r="H390" s="7" t="e">
        <f>#REF!</f>
        <v>#REF!</v>
      </c>
      <c r="I390" s="7" t="e">
        <f>#REF!</f>
        <v>#REF!</v>
      </c>
      <c r="J390" s="7" t="e">
        <f>#REF!</f>
        <v>#REF!</v>
      </c>
      <c r="K390" s="7">
        <f>'Прил.№4 ведомств.'!G1140</f>
        <v>100</v>
      </c>
      <c r="L390" s="7">
        <f>'Прил.№4 ведомств.'!H1140</f>
        <v>0</v>
      </c>
      <c r="M390" s="7">
        <f t="shared" si="197"/>
        <v>0</v>
      </c>
    </row>
    <row r="391" spans="1:13" ht="15.75">
      <c r="A391" s="26" t="s">
        <v>588</v>
      </c>
      <c r="B391" s="21" t="s">
        <v>273</v>
      </c>
      <c r="C391" s="21" t="s">
        <v>254</v>
      </c>
      <c r="D391" s="21" t="s">
        <v>589</v>
      </c>
      <c r="E391" s="21"/>
      <c r="F391" s="7" t="e">
        <f>F392</f>
        <v>#REF!</v>
      </c>
      <c r="G391" s="7" t="e">
        <f aca="true" t="shared" si="231" ref="G391:L392">G392</f>
        <v>#REF!</v>
      </c>
      <c r="H391" s="7" t="e">
        <f t="shared" si="231"/>
        <v>#REF!</v>
      </c>
      <c r="I391" s="7" t="e">
        <f t="shared" si="231"/>
        <v>#REF!</v>
      </c>
      <c r="J391" s="7" t="e">
        <f t="shared" si="231"/>
        <v>#REF!</v>
      </c>
      <c r="K391" s="7">
        <f>K392+K394</f>
        <v>602</v>
      </c>
      <c r="L391" s="7">
        <f aca="true" t="shared" si="232" ref="L391">L392+L394</f>
        <v>481.7</v>
      </c>
      <c r="M391" s="7">
        <f t="shared" si="197"/>
        <v>80.01661129568106</v>
      </c>
    </row>
    <row r="392" spans="1:13" ht="31.5">
      <c r="A392" s="26" t="s">
        <v>170</v>
      </c>
      <c r="B392" s="21" t="s">
        <v>273</v>
      </c>
      <c r="C392" s="21" t="s">
        <v>254</v>
      </c>
      <c r="D392" s="21" t="s">
        <v>589</v>
      </c>
      <c r="E392" s="21" t="s">
        <v>171</v>
      </c>
      <c r="F392" s="7" t="e">
        <f>F393</f>
        <v>#REF!</v>
      </c>
      <c r="G392" s="7" t="e">
        <f t="shared" si="231"/>
        <v>#REF!</v>
      </c>
      <c r="H392" s="7" t="e">
        <f t="shared" si="231"/>
        <v>#REF!</v>
      </c>
      <c r="I392" s="7" t="e">
        <f t="shared" si="231"/>
        <v>#REF!</v>
      </c>
      <c r="J392" s="7" t="e">
        <f t="shared" si="231"/>
        <v>#REF!</v>
      </c>
      <c r="K392" s="7">
        <f t="shared" si="231"/>
        <v>560.7</v>
      </c>
      <c r="L392" s="7">
        <f t="shared" si="231"/>
        <v>440.5</v>
      </c>
      <c r="M392" s="7">
        <f t="shared" si="197"/>
        <v>78.5625111467808</v>
      </c>
    </row>
    <row r="393" spans="1:13" ht="47.25">
      <c r="A393" s="26" t="s">
        <v>172</v>
      </c>
      <c r="B393" s="21" t="s">
        <v>273</v>
      </c>
      <c r="C393" s="21" t="s">
        <v>254</v>
      </c>
      <c r="D393" s="21" t="s">
        <v>589</v>
      </c>
      <c r="E393" s="21" t="s">
        <v>173</v>
      </c>
      <c r="F393" s="7" t="e">
        <f>#REF!</f>
        <v>#REF!</v>
      </c>
      <c r="G393" s="7" t="e">
        <f>#REF!</f>
        <v>#REF!</v>
      </c>
      <c r="H393" s="7" t="e">
        <f>#REF!</f>
        <v>#REF!</v>
      </c>
      <c r="I393" s="7" t="e">
        <f>#REF!</f>
        <v>#REF!</v>
      </c>
      <c r="J393" s="7" t="e">
        <f>#REF!</f>
        <v>#REF!</v>
      </c>
      <c r="K393" s="7">
        <f>'Прил.№4 ведомств.'!G1143</f>
        <v>560.7</v>
      </c>
      <c r="L393" s="7">
        <f>'Прил.№4 ведомств.'!H1143</f>
        <v>440.5</v>
      </c>
      <c r="M393" s="7">
        <f t="shared" si="197"/>
        <v>78.5625111467808</v>
      </c>
    </row>
    <row r="394" spans="1:13" ht="15.75">
      <c r="A394" s="31" t="s">
        <v>174</v>
      </c>
      <c r="B394" s="21" t="s">
        <v>273</v>
      </c>
      <c r="C394" s="21" t="s">
        <v>254</v>
      </c>
      <c r="D394" s="21" t="s">
        <v>589</v>
      </c>
      <c r="E394" s="21" t="s">
        <v>184</v>
      </c>
      <c r="F394" s="7"/>
      <c r="G394" s="7"/>
      <c r="H394" s="7"/>
      <c r="I394" s="7"/>
      <c r="J394" s="7"/>
      <c r="K394" s="7">
        <f>K395</f>
        <v>41.3</v>
      </c>
      <c r="L394" s="7">
        <f aca="true" t="shared" si="233" ref="L394">L395</f>
        <v>41.2</v>
      </c>
      <c r="M394" s="7">
        <f t="shared" si="197"/>
        <v>99.75786924939469</v>
      </c>
    </row>
    <row r="395" spans="1:13" ht="15.75">
      <c r="A395" s="31" t="s">
        <v>185</v>
      </c>
      <c r="B395" s="21" t="s">
        <v>273</v>
      </c>
      <c r="C395" s="21" t="s">
        <v>254</v>
      </c>
      <c r="D395" s="21" t="s">
        <v>589</v>
      </c>
      <c r="E395" s="21" t="s">
        <v>186</v>
      </c>
      <c r="F395" s="7"/>
      <c r="G395" s="7"/>
      <c r="H395" s="7"/>
      <c r="I395" s="7"/>
      <c r="J395" s="7"/>
      <c r="K395" s="7">
        <f>'Прил.№4 ведомств.'!G1145</f>
        <v>41.3</v>
      </c>
      <c r="L395" s="7">
        <f>'Прил.№4 ведомств.'!H1145</f>
        <v>41.2</v>
      </c>
      <c r="M395" s="7">
        <f t="shared" si="197"/>
        <v>99.75786924939469</v>
      </c>
    </row>
    <row r="396" spans="1:13" ht="15.75">
      <c r="A396" s="26" t="s">
        <v>590</v>
      </c>
      <c r="B396" s="21" t="s">
        <v>273</v>
      </c>
      <c r="C396" s="21" t="s">
        <v>254</v>
      </c>
      <c r="D396" s="21" t="s">
        <v>591</v>
      </c>
      <c r="E396" s="21"/>
      <c r="F396" s="7" t="e">
        <f>F397</f>
        <v>#REF!</v>
      </c>
      <c r="G396" s="7" t="e">
        <f aca="true" t="shared" si="234" ref="G396:L397">G397</f>
        <v>#REF!</v>
      </c>
      <c r="H396" s="7" t="e">
        <f t="shared" si="234"/>
        <v>#REF!</v>
      </c>
      <c r="I396" s="7" t="e">
        <f t="shared" si="234"/>
        <v>#REF!</v>
      </c>
      <c r="J396" s="7" t="e">
        <f t="shared" si="234"/>
        <v>#REF!</v>
      </c>
      <c r="K396" s="7">
        <f t="shared" si="234"/>
        <v>1776.8699999999994</v>
      </c>
      <c r="L396" s="7">
        <f t="shared" si="234"/>
        <v>651.3</v>
      </c>
      <c r="M396" s="7">
        <f t="shared" si="197"/>
        <v>36.65434162319135</v>
      </c>
    </row>
    <row r="397" spans="1:13" ht="31.5">
      <c r="A397" s="26" t="s">
        <v>170</v>
      </c>
      <c r="B397" s="21" t="s">
        <v>273</v>
      </c>
      <c r="C397" s="21" t="s">
        <v>254</v>
      </c>
      <c r="D397" s="21" t="s">
        <v>591</v>
      </c>
      <c r="E397" s="21" t="s">
        <v>171</v>
      </c>
      <c r="F397" s="7" t="e">
        <f>F398</f>
        <v>#REF!</v>
      </c>
      <c r="G397" s="7" t="e">
        <f t="shared" si="234"/>
        <v>#REF!</v>
      </c>
      <c r="H397" s="7" t="e">
        <f t="shared" si="234"/>
        <v>#REF!</v>
      </c>
      <c r="I397" s="7" t="e">
        <f t="shared" si="234"/>
        <v>#REF!</v>
      </c>
      <c r="J397" s="7" t="e">
        <f t="shared" si="234"/>
        <v>#REF!</v>
      </c>
      <c r="K397" s="7">
        <f t="shared" si="234"/>
        <v>1776.8699999999994</v>
      </c>
      <c r="L397" s="7">
        <f t="shared" si="234"/>
        <v>651.3</v>
      </c>
      <c r="M397" s="7">
        <f t="shared" si="197"/>
        <v>36.65434162319135</v>
      </c>
    </row>
    <row r="398" spans="1:13" ht="47.25">
      <c r="A398" s="26" t="s">
        <v>172</v>
      </c>
      <c r="B398" s="21" t="s">
        <v>273</v>
      </c>
      <c r="C398" s="21" t="s">
        <v>254</v>
      </c>
      <c r="D398" s="21" t="s">
        <v>591</v>
      </c>
      <c r="E398" s="21" t="s">
        <v>173</v>
      </c>
      <c r="F398" s="7" t="e">
        <f>#REF!</f>
        <v>#REF!</v>
      </c>
      <c r="G398" s="7" t="e">
        <f>#REF!</f>
        <v>#REF!</v>
      </c>
      <c r="H398" s="7" t="e">
        <f>#REF!</f>
        <v>#REF!</v>
      </c>
      <c r="I398" s="7" t="e">
        <f>#REF!</f>
        <v>#REF!</v>
      </c>
      <c r="J398" s="7" t="e">
        <f>#REF!</f>
        <v>#REF!</v>
      </c>
      <c r="K398" s="7">
        <f>'Прил.№4 ведомств.'!G1148</f>
        <v>1776.8699999999994</v>
      </c>
      <c r="L398" s="7">
        <f>'Прил.№4 ведомств.'!H1148</f>
        <v>651.3</v>
      </c>
      <c r="M398" s="7">
        <f aca="true" t="shared" si="235" ref="M398:M461">L398/K398*100</f>
        <v>36.65434162319135</v>
      </c>
    </row>
    <row r="399" spans="1:13" ht="31.5" hidden="1">
      <c r="A399" s="26" t="s">
        <v>601</v>
      </c>
      <c r="B399" s="21" t="s">
        <v>273</v>
      </c>
      <c r="C399" s="21" t="s">
        <v>254</v>
      </c>
      <c r="D399" s="21" t="s">
        <v>936</v>
      </c>
      <c r="E399" s="21"/>
      <c r="F399" s="7"/>
      <c r="G399" s="7"/>
      <c r="H399" s="7"/>
      <c r="I399" s="7"/>
      <c r="J399" s="7"/>
      <c r="K399" s="7">
        <f>K400</f>
        <v>0</v>
      </c>
      <c r="L399" s="7">
        <f aca="true" t="shared" si="236" ref="L399:L400">L400</f>
        <v>0</v>
      </c>
      <c r="M399" s="7" t="e">
        <f t="shared" si="235"/>
        <v>#DIV/0!</v>
      </c>
    </row>
    <row r="400" spans="1:13" ht="31.5" hidden="1">
      <c r="A400" s="26" t="s">
        <v>170</v>
      </c>
      <c r="B400" s="21" t="s">
        <v>273</v>
      </c>
      <c r="C400" s="21" t="s">
        <v>254</v>
      </c>
      <c r="D400" s="21" t="s">
        <v>936</v>
      </c>
      <c r="E400" s="21" t="s">
        <v>171</v>
      </c>
      <c r="F400" s="7"/>
      <c r="G400" s="7"/>
      <c r="H400" s="7"/>
      <c r="I400" s="7"/>
      <c r="J400" s="7"/>
      <c r="K400" s="7">
        <f>K401</f>
        <v>0</v>
      </c>
      <c r="L400" s="7">
        <f t="shared" si="236"/>
        <v>0</v>
      </c>
      <c r="M400" s="7" t="e">
        <f t="shared" si="235"/>
        <v>#DIV/0!</v>
      </c>
    </row>
    <row r="401" spans="1:13" ht="47.25" hidden="1">
      <c r="A401" s="26" t="s">
        <v>172</v>
      </c>
      <c r="B401" s="21" t="s">
        <v>273</v>
      </c>
      <c r="C401" s="21" t="s">
        <v>254</v>
      </c>
      <c r="D401" s="21" t="s">
        <v>936</v>
      </c>
      <c r="E401" s="21" t="s">
        <v>173</v>
      </c>
      <c r="F401" s="7"/>
      <c r="G401" s="7"/>
      <c r="H401" s="7"/>
      <c r="I401" s="7"/>
      <c r="J401" s="7"/>
      <c r="K401" s="7">
        <f>'Прил.№4 ведомств.'!G1151</f>
        <v>0</v>
      </c>
      <c r="L401" s="7">
        <f>'Прил.№4 ведомств.'!H1151</f>
        <v>0</v>
      </c>
      <c r="M401" s="7" t="e">
        <f t="shared" si="235"/>
        <v>#DIV/0!</v>
      </c>
    </row>
    <row r="402" spans="1:13" ht="47.25">
      <c r="A402" s="26" t="s">
        <v>592</v>
      </c>
      <c r="B402" s="21" t="s">
        <v>273</v>
      </c>
      <c r="C402" s="21" t="s">
        <v>254</v>
      </c>
      <c r="D402" s="21" t="s">
        <v>593</v>
      </c>
      <c r="E402" s="21"/>
      <c r="F402" s="7" t="e">
        <f aca="true" t="shared" si="237" ref="F402:K402">F403+F408+F411+F416</f>
        <v>#REF!</v>
      </c>
      <c r="G402" s="7" t="e">
        <f t="shared" si="237"/>
        <v>#REF!</v>
      </c>
      <c r="H402" s="7" t="e">
        <f t="shared" si="237"/>
        <v>#REF!</v>
      </c>
      <c r="I402" s="7" t="e">
        <f t="shared" si="237"/>
        <v>#REF!</v>
      </c>
      <c r="J402" s="7" t="e">
        <f t="shared" si="237"/>
        <v>#REF!</v>
      </c>
      <c r="K402" s="7">
        <f t="shared" si="237"/>
        <v>722.5</v>
      </c>
      <c r="L402" s="7">
        <f aca="true" t="shared" si="238" ref="L402">L403+L408+L411+L416</f>
        <v>635.2</v>
      </c>
      <c r="M402" s="7">
        <f t="shared" si="235"/>
        <v>87.91695501730105</v>
      </c>
    </row>
    <row r="403" spans="1:13" ht="15.75">
      <c r="A403" s="26" t="s">
        <v>590</v>
      </c>
      <c r="B403" s="21" t="s">
        <v>273</v>
      </c>
      <c r="C403" s="21" t="s">
        <v>254</v>
      </c>
      <c r="D403" s="21" t="s">
        <v>594</v>
      </c>
      <c r="E403" s="21"/>
      <c r="F403" s="7" t="e">
        <f aca="true" t="shared" si="239" ref="F403:K403">F404+F406</f>
        <v>#REF!</v>
      </c>
      <c r="G403" s="7" t="e">
        <f t="shared" si="239"/>
        <v>#REF!</v>
      </c>
      <c r="H403" s="7" t="e">
        <f t="shared" si="239"/>
        <v>#REF!</v>
      </c>
      <c r="I403" s="7" t="e">
        <f t="shared" si="239"/>
        <v>#REF!</v>
      </c>
      <c r="J403" s="7" t="e">
        <f t="shared" si="239"/>
        <v>#REF!</v>
      </c>
      <c r="K403" s="7">
        <f t="shared" si="239"/>
        <v>11</v>
      </c>
      <c r="L403" s="7">
        <f aca="true" t="shared" si="240" ref="L403">L404+L406</f>
        <v>11</v>
      </c>
      <c r="M403" s="7">
        <f t="shared" si="235"/>
        <v>100</v>
      </c>
    </row>
    <row r="404" spans="1:13" ht="78.75" hidden="1">
      <c r="A404" s="26" t="s">
        <v>166</v>
      </c>
      <c r="B404" s="21" t="s">
        <v>273</v>
      </c>
      <c r="C404" s="21" t="s">
        <v>254</v>
      </c>
      <c r="D404" s="21" t="s">
        <v>594</v>
      </c>
      <c r="E404" s="21" t="s">
        <v>167</v>
      </c>
      <c r="F404" s="7" t="e">
        <f aca="true" t="shared" si="241" ref="F404:L404">F405</f>
        <v>#REF!</v>
      </c>
      <c r="G404" s="7" t="e">
        <f t="shared" si="241"/>
        <v>#REF!</v>
      </c>
      <c r="H404" s="7" t="e">
        <f t="shared" si="241"/>
        <v>#REF!</v>
      </c>
      <c r="I404" s="7" t="e">
        <f t="shared" si="241"/>
        <v>#REF!</v>
      </c>
      <c r="J404" s="7" t="e">
        <f t="shared" si="241"/>
        <v>#REF!</v>
      </c>
      <c r="K404" s="7">
        <f t="shared" si="241"/>
        <v>0</v>
      </c>
      <c r="L404" s="7">
        <f t="shared" si="241"/>
        <v>0</v>
      </c>
      <c r="M404" s="7" t="e">
        <f t="shared" si="235"/>
        <v>#DIV/0!</v>
      </c>
    </row>
    <row r="405" spans="1:13" ht="31.5" hidden="1">
      <c r="A405" s="48" t="s">
        <v>381</v>
      </c>
      <c r="B405" s="21" t="s">
        <v>273</v>
      </c>
      <c r="C405" s="21" t="s">
        <v>254</v>
      </c>
      <c r="D405" s="21" t="s">
        <v>594</v>
      </c>
      <c r="E405" s="21" t="s">
        <v>248</v>
      </c>
      <c r="F405" s="7" t="e">
        <f>#REF!</f>
        <v>#REF!</v>
      </c>
      <c r="G405" s="7" t="e">
        <f>#REF!</f>
        <v>#REF!</v>
      </c>
      <c r="H405" s="7" t="e">
        <f>#REF!</f>
        <v>#REF!</v>
      </c>
      <c r="I405" s="7" t="e">
        <f>#REF!</f>
        <v>#REF!</v>
      </c>
      <c r="J405" s="7" t="e">
        <f>#REF!</f>
        <v>#REF!</v>
      </c>
      <c r="K405" s="7">
        <f>'Прил.№4 ведомств.'!G1155</f>
        <v>0</v>
      </c>
      <c r="L405" s="7">
        <f>'Прил.№4 ведомств.'!H1155</f>
        <v>0</v>
      </c>
      <c r="M405" s="7" t="e">
        <f t="shared" si="235"/>
        <v>#DIV/0!</v>
      </c>
    </row>
    <row r="406" spans="1:13" ht="31.5">
      <c r="A406" s="26" t="s">
        <v>170</v>
      </c>
      <c r="B406" s="21" t="s">
        <v>273</v>
      </c>
      <c r="C406" s="21" t="s">
        <v>254</v>
      </c>
      <c r="D406" s="21" t="s">
        <v>594</v>
      </c>
      <c r="E406" s="21" t="s">
        <v>171</v>
      </c>
      <c r="F406" s="7" t="e">
        <f aca="true" t="shared" si="242" ref="F406:L406">F407</f>
        <v>#REF!</v>
      </c>
      <c r="G406" s="7" t="e">
        <f t="shared" si="242"/>
        <v>#REF!</v>
      </c>
      <c r="H406" s="7" t="e">
        <f t="shared" si="242"/>
        <v>#REF!</v>
      </c>
      <c r="I406" s="7" t="e">
        <f t="shared" si="242"/>
        <v>#REF!</v>
      </c>
      <c r="J406" s="7" t="e">
        <f t="shared" si="242"/>
        <v>#REF!</v>
      </c>
      <c r="K406" s="7">
        <f t="shared" si="242"/>
        <v>11</v>
      </c>
      <c r="L406" s="7">
        <f t="shared" si="242"/>
        <v>11</v>
      </c>
      <c r="M406" s="7">
        <f t="shared" si="235"/>
        <v>100</v>
      </c>
    </row>
    <row r="407" spans="1:13" ht="47.25">
      <c r="A407" s="26" t="s">
        <v>172</v>
      </c>
      <c r="B407" s="21" t="s">
        <v>273</v>
      </c>
      <c r="C407" s="21" t="s">
        <v>254</v>
      </c>
      <c r="D407" s="21" t="s">
        <v>594</v>
      </c>
      <c r="E407" s="21" t="s">
        <v>173</v>
      </c>
      <c r="F407" s="7" t="e">
        <f>#REF!</f>
        <v>#REF!</v>
      </c>
      <c r="G407" s="7" t="e">
        <f>#REF!</f>
        <v>#REF!</v>
      </c>
      <c r="H407" s="7" t="e">
        <f>#REF!</f>
        <v>#REF!</v>
      </c>
      <c r="I407" s="7" t="e">
        <f>#REF!</f>
        <v>#REF!</v>
      </c>
      <c r="J407" s="7" t="e">
        <f>#REF!</f>
        <v>#REF!</v>
      </c>
      <c r="K407" s="7">
        <f>'Прил.№4 ведомств.'!G1157</f>
        <v>11</v>
      </c>
      <c r="L407" s="7">
        <f>'Прил.№4 ведомств.'!H1157</f>
        <v>11</v>
      </c>
      <c r="M407" s="7">
        <f t="shared" si="235"/>
        <v>100</v>
      </c>
    </row>
    <row r="408" spans="1:13" ht="15.75">
      <c r="A408" s="26" t="s">
        <v>595</v>
      </c>
      <c r="B408" s="21" t="s">
        <v>273</v>
      </c>
      <c r="C408" s="21" t="s">
        <v>254</v>
      </c>
      <c r="D408" s="21" t="s">
        <v>596</v>
      </c>
      <c r="E408" s="21"/>
      <c r="F408" s="7" t="e">
        <f>F409</f>
        <v>#REF!</v>
      </c>
      <c r="G408" s="7" t="e">
        <f aca="true" t="shared" si="243" ref="G408:L409">G409</f>
        <v>#REF!</v>
      </c>
      <c r="H408" s="7" t="e">
        <f t="shared" si="243"/>
        <v>#REF!</v>
      </c>
      <c r="I408" s="7" t="e">
        <f t="shared" si="243"/>
        <v>#REF!</v>
      </c>
      <c r="J408" s="7" t="e">
        <f t="shared" si="243"/>
        <v>#REF!</v>
      </c>
      <c r="K408" s="7">
        <f t="shared" si="243"/>
        <v>4</v>
      </c>
      <c r="L408" s="7">
        <f t="shared" si="243"/>
        <v>3.6</v>
      </c>
      <c r="M408" s="7">
        <f t="shared" si="235"/>
        <v>90</v>
      </c>
    </row>
    <row r="409" spans="1:13" ht="31.5">
      <c r="A409" s="26" t="s">
        <v>170</v>
      </c>
      <c r="B409" s="21" t="s">
        <v>273</v>
      </c>
      <c r="C409" s="21" t="s">
        <v>254</v>
      </c>
      <c r="D409" s="21" t="s">
        <v>596</v>
      </c>
      <c r="E409" s="21" t="s">
        <v>171</v>
      </c>
      <c r="F409" s="7" t="e">
        <f>F410</f>
        <v>#REF!</v>
      </c>
      <c r="G409" s="7" t="e">
        <f t="shared" si="243"/>
        <v>#REF!</v>
      </c>
      <c r="H409" s="7" t="e">
        <f t="shared" si="243"/>
        <v>#REF!</v>
      </c>
      <c r="I409" s="7" t="e">
        <f t="shared" si="243"/>
        <v>#REF!</v>
      </c>
      <c r="J409" s="7" t="e">
        <f t="shared" si="243"/>
        <v>#REF!</v>
      </c>
      <c r="K409" s="7">
        <f t="shared" si="243"/>
        <v>4</v>
      </c>
      <c r="L409" s="7">
        <f t="shared" si="243"/>
        <v>3.6</v>
      </c>
      <c r="M409" s="7">
        <f t="shared" si="235"/>
        <v>90</v>
      </c>
    </row>
    <row r="410" spans="1:13" ht="47.25">
      <c r="A410" s="26" t="s">
        <v>172</v>
      </c>
      <c r="B410" s="21" t="s">
        <v>273</v>
      </c>
      <c r="C410" s="21" t="s">
        <v>254</v>
      </c>
      <c r="D410" s="21" t="s">
        <v>596</v>
      </c>
      <c r="E410" s="21" t="s">
        <v>173</v>
      </c>
      <c r="F410" s="7" t="e">
        <f>#REF!</f>
        <v>#REF!</v>
      </c>
      <c r="G410" s="7" t="e">
        <f>#REF!</f>
        <v>#REF!</v>
      </c>
      <c r="H410" s="7" t="e">
        <f>#REF!</f>
        <v>#REF!</v>
      </c>
      <c r="I410" s="7" t="e">
        <f>#REF!</f>
        <v>#REF!</v>
      </c>
      <c r="J410" s="7" t="e">
        <f>#REF!</f>
        <v>#REF!</v>
      </c>
      <c r="K410" s="7">
        <f>'Прил.№4 ведомств.'!G1160</f>
        <v>4</v>
      </c>
      <c r="L410" s="7">
        <f>'Прил.№4 ведомств.'!H1160</f>
        <v>3.6</v>
      </c>
      <c r="M410" s="7">
        <f t="shared" si="235"/>
        <v>90</v>
      </c>
    </row>
    <row r="411" spans="1:13" ht="47.25">
      <c r="A411" s="119" t="s">
        <v>597</v>
      </c>
      <c r="B411" s="21" t="s">
        <v>273</v>
      </c>
      <c r="C411" s="21" t="s">
        <v>254</v>
      </c>
      <c r="D411" s="21" t="s">
        <v>598</v>
      </c>
      <c r="E411" s="21"/>
      <c r="F411" s="7" t="e">
        <f>F412</f>
        <v>#REF!</v>
      </c>
      <c r="G411" s="7" t="e">
        <f aca="true" t="shared" si="244" ref="G411:L412">G412</f>
        <v>#REF!</v>
      </c>
      <c r="H411" s="7" t="e">
        <f t="shared" si="244"/>
        <v>#REF!</v>
      </c>
      <c r="I411" s="7" t="e">
        <f t="shared" si="244"/>
        <v>#REF!</v>
      </c>
      <c r="J411" s="7" t="e">
        <f t="shared" si="244"/>
        <v>#REF!</v>
      </c>
      <c r="K411" s="7">
        <f>K412+K414</f>
        <v>707.5</v>
      </c>
      <c r="L411" s="7">
        <f aca="true" t="shared" si="245" ref="L411">L412+L414</f>
        <v>620.6</v>
      </c>
      <c r="M411" s="7">
        <f t="shared" si="235"/>
        <v>87.7173144876325</v>
      </c>
    </row>
    <row r="412" spans="1:13" ht="31.5">
      <c r="A412" s="26" t="s">
        <v>170</v>
      </c>
      <c r="B412" s="21" t="s">
        <v>273</v>
      </c>
      <c r="C412" s="21" t="s">
        <v>254</v>
      </c>
      <c r="D412" s="21" t="s">
        <v>598</v>
      </c>
      <c r="E412" s="21" t="s">
        <v>171</v>
      </c>
      <c r="F412" s="7" t="e">
        <f>F413</f>
        <v>#REF!</v>
      </c>
      <c r="G412" s="7" t="e">
        <f t="shared" si="244"/>
        <v>#REF!</v>
      </c>
      <c r="H412" s="7" t="e">
        <f t="shared" si="244"/>
        <v>#REF!</v>
      </c>
      <c r="I412" s="7" t="e">
        <f t="shared" si="244"/>
        <v>#REF!</v>
      </c>
      <c r="J412" s="7" t="e">
        <f t="shared" si="244"/>
        <v>#REF!</v>
      </c>
      <c r="K412" s="7">
        <f t="shared" si="244"/>
        <v>632.5</v>
      </c>
      <c r="L412" s="7">
        <f t="shared" si="244"/>
        <v>545.6</v>
      </c>
      <c r="M412" s="7">
        <f t="shared" si="235"/>
        <v>86.26086956521739</v>
      </c>
    </row>
    <row r="413" spans="1:13" ht="47.25">
      <c r="A413" s="26" t="s">
        <v>172</v>
      </c>
      <c r="B413" s="21" t="s">
        <v>273</v>
      </c>
      <c r="C413" s="21" t="s">
        <v>254</v>
      </c>
      <c r="D413" s="21" t="s">
        <v>598</v>
      </c>
      <c r="E413" s="21" t="s">
        <v>173</v>
      </c>
      <c r="F413" s="7" t="e">
        <f>#REF!</f>
        <v>#REF!</v>
      </c>
      <c r="G413" s="7" t="e">
        <f>#REF!</f>
        <v>#REF!</v>
      </c>
      <c r="H413" s="7" t="e">
        <f>#REF!</f>
        <v>#REF!</v>
      </c>
      <c r="I413" s="7" t="e">
        <f>#REF!</f>
        <v>#REF!</v>
      </c>
      <c r="J413" s="7" t="e">
        <f>#REF!</f>
        <v>#REF!</v>
      </c>
      <c r="K413" s="7">
        <f>'Прил.№4 ведомств.'!G1163</f>
        <v>632.5</v>
      </c>
      <c r="L413" s="7">
        <f>'Прил.№4 ведомств.'!H1163</f>
        <v>545.6</v>
      </c>
      <c r="M413" s="7">
        <f t="shared" si="235"/>
        <v>86.26086956521739</v>
      </c>
    </row>
    <row r="414" spans="1:13" s="299" customFormat="1" ht="15.75">
      <c r="A414" s="31" t="s">
        <v>174</v>
      </c>
      <c r="B414" s="21" t="s">
        <v>273</v>
      </c>
      <c r="C414" s="21" t="s">
        <v>254</v>
      </c>
      <c r="D414" s="21" t="s">
        <v>598</v>
      </c>
      <c r="E414" s="21" t="s">
        <v>184</v>
      </c>
      <c r="F414" s="7"/>
      <c r="G414" s="7"/>
      <c r="H414" s="7"/>
      <c r="I414" s="7"/>
      <c r="J414" s="7"/>
      <c r="K414" s="7">
        <f>K415</f>
        <v>75</v>
      </c>
      <c r="L414" s="7">
        <f aca="true" t="shared" si="246" ref="L414">L415</f>
        <v>75</v>
      </c>
      <c r="M414" s="7">
        <f t="shared" si="235"/>
        <v>100</v>
      </c>
    </row>
    <row r="415" spans="1:13" s="299" customFormat="1" ht="15.75">
      <c r="A415" s="31" t="s">
        <v>608</v>
      </c>
      <c r="B415" s="21" t="s">
        <v>273</v>
      </c>
      <c r="C415" s="21" t="s">
        <v>254</v>
      </c>
      <c r="D415" s="21" t="s">
        <v>598</v>
      </c>
      <c r="E415" s="21" t="s">
        <v>177</v>
      </c>
      <c r="F415" s="7"/>
      <c r="G415" s="7"/>
      <c r="H415" s="7"/>
      <c r="I415" s="7"/>
      <c r="J415" s="7"/>
      <c r="K415" s="7">
        <f>'Прил.№4 ведомств.'!G1165</f>
        <v>75</v>
      </c>
      <c r="L415" s="7">
        <f>'Прил.№4 ведомств.'!H1165</f>
        <v>75</v>
      </c>
      <c r="M415" s="7">
        <f t="shared" si="235"/>
        <v>100</v>
      </c>
    </row>
    <row r="416" spans="1:13" ht="15.75" hidden="1">
      <c r="A416" s="119" t="s">
        <v>599</v>
      </c>
      <c r="B416" s="21" t="s">
        <v>273</v>
      </c>
      <c r="C416" s="21" t="s">
        <v>254</v>
      </c>
      <c r="D416" s="21" t="s">
        <v>600</v>
      </c>
      <c r="E416" s="21"/>
      <c r="F416" s="7" t="e">
        <f>F417</f>
        <v>#REF!</v>
      </c>
      <c r="G416" s="7" t="e">
        <f aca="true" t="shared" si="247" ref="G416:L417">G417</f>
        <v>#REF!</v>
      </c>
      <c r="H416" s="7" t="e">
        <f t="shared" si="247"/>
        <v>#REF!</v>
      </c>
      <c r="I416" s="7" t="e">
        <f t="shared" si="247"/>
        <v>#REF!</v>
      </c>
      <c r="J416" s="7" t="e">
        <f t="shared" si="247"/>
        <v>#REF!</v>
      </c>
      <c r="K416" s="7">
        <f t="shared" si="247"/>
        <v>0</v>
      </c>
      <c r="L416" s="7">
        <f t="shared" si="247"/>
        <v>0</v>
      </c>
      <c r="M416" s="7" t="e">
        <f t="shared" si="235"/>
        <v>#DIV/0!</v>
      </c>
    </row>
    <row r="417" spans="1:13" ht="31.5" hidden="1">
      <c r="A417" s="26" t="s">
        <v>170</v>
      </c>
      <c r="B417" s="21" t="s">
        <v>273</v>
      </c>
      <c r="C417" s="21" t="s">
        <v>254</v>
      </c>
      <c r="D417" s="21" t="s">
        <v>600</v>
      </c>
      <c r="E417" s="21" t="s">
        <v>171</v>
      </c>
      <c r="F417" s="7" t="e">
        <f>F418</f>
        <v>#REF!</v>
      </c>
      <c r="G417" s="7" t="e">
        <f t="shared" si="247"/>
        <v>#REF!</v>
      </c>
      <c r="H417" s="7" t="e">
        <f t="shared" si="247"/>
        <v>#REF!</v>
      </c>
      <c r="I417" s="7" t="e">
        <f t="shared" si="247"/>
        <v>#REF!</v>
      </c>
      <c r="J417" s="7" t="e">
        <f t="shared" si="247"/>
        <v>#REF!</v>
      </c>
      <c r="K417" s="7">
        <f t="shared" si="247"/>
        <v>0</v>
      </c>
      <c r="L417" s="7">
        <f t="shared" si="247"/>
        <v>0</v>
      </c>
      <c r="M417" s="7" t="e">
        <f t="shared" si="235"/>
        <v>#DIV/0!</v>
      </c>
    </row>
    <row r="418" spans="1:13" ht="47.25" hidden="1">
      <c r="A418" s="26" t="s">
        <v>172</v>
      </c>
      <c r="B418" s="21" t="s">
        <v>273</v>
      </c>
      <c r="C418" s="21" t="s">
        <v>254</v>
      </c>
      <c r="D418" s="21" t="s">
        <v>600</v>
      </c>
      <c r="E418" s="21" t="s">
        <v>173</v>
      </c>
      <c r="F418" s="7" t="e">
        <f>#REF!</f>
        <v>#REF!</v>
      </c>
      <c r="G418" s="7" t="e">
        <f>#REF!</f>
        <v>#REF!</v>
      </c>
      <c r="H418" s="7" t="e">
        <f>#REF!</f>
        <v>#REF!</v>
      </c>
      <c r="I418" s="7" t="e">
        <f>#REF!</f>
        <v>#REF!</v>
      </c>
      <c r="J418" s="7" t="e">
        <f>#REF!</f>
        <v>#REF!</v>
      </c>
      <c r="K418" s="7">
        <f>'Прил.№4 ведомств.'!G1168</f>
        <v>0</v>
      </c>
      <c r="L418" s="7">
        <f>'Прил.№4 ведомств.'!H1168</f>
        <v>0</v>
      </c>
      <c r="M418" s="7" t="e">
        <f t="shared" si="235"/>
        <v>#DIV/0!</v>
      </c>
    </row>
    <row r="419" spans="1:13" ht="63">
      <c r="A419" s="26" t="s">
        <v>962</v>
      </c>
      <c r="B419" s="21" t="s">
        <v>273</v>
      </c>
      <c r="C419" s="21" t="s">
        <v>254</v>
      </c>
      <c r="D419" s="21" t="s">
        <v>781</v>
      </c>
      <c r="E419" s="21"/>
      <c r="F419" s="7" t="e">
        <f>F420</f>
        <v>#REF!</v>
      </c>
      <c r="G419" s="7" t="e">
        <f aca="true" t="shared" si="248" ref="G419:L421">G420</f>
        <v>#REF!</v>
      </c>
      <c r="H419" s="7" t="e">
        <f t="shared" si="248"/>
        <v>#REF!</v>
      </c>
      <c r="I419" s="7" t="e">
        <f t="shared" si="248"/>
        <v>#REF!</v>
      </c>
      <c r="J419" s="7" t="e">
        <f t="shared" si="248"/>
        <v>#REF!</v>
      </c>
      <c r="K419" s="7">
        <f t="shared" si="248"/>
        <v>2614.5200000000004</v>
      </c>
      <c r="L419" s="7">
        <f t="shared" si="248"/>
        <v>2499</v>
      </c>
      <c r="M419" s="7">
        <f t="shared" si="235"/>
        <v>95.58159815185961</v>
      </c>
    </row>
    <row r="420" spans="1:13" ht="31.5">
      <c r="A420" s="147" t="s">
        <v>780</v>
      </c>
      <c r="B420" s="21" t="s">
        <v>273</v>
      </c>
      <c r="C420" s="21" t="s">
        <v>254</v>
      </c>
      <c r="D420" s="21" t="s">
        <v>1073</v>
      </c>
      <c r="E420" s="21"/>
      <c r="F420" s="7" t="e">
        <f>F421</f>
        <v>#REF!</v>
      </c>
      <c r="G420" s="7" t="e">
        <f t="shared" si="248"/>
        <v>#REF!</v>
      </c>
      <c r="H420" s="7" t="e">
        <f t="shared" si="248"/>
        <v>#REF!</v>
      </c>
      <c r="I420" s="7" t="e">
        <f t="shared" si="248"/>
        <v>#REF!</v>
      </c>
      <c r="J420" s="7" t="e">
        <f t="shared" si="248"/>
        <v>#REF!</v>
      </c>
      <c r="K420" s="7">
        <f t="shared" si="248"/>
        <v>2614.5200000000004</v>
      </c>
      <c r="L420" s="7">
        <f t="shared" si="248"/>
        <v>2499</v>
      </c>
      <c r="M420" s="7">
        <f t="shared" si="235"/>
        <v>95.58159815185961</v>
      </c>
    </row>
    <row r="421" spans="1:13" ht="31.5">
      <c r="A421" s="26" t="s">
        <v>170</v>
      </c>
      <c r="B421" s="21" t="s">
        <v>273</v>
      </c>
      <c r="C421" s="21" t="s">
        <v>254</v>
      </c>
      <c r="D421" s="21" t="s">
        <v>1073</v>
      </c>
      <c r="E421" s="21" t="s">
        <v>171</v>
      </c>
      <c r="F421" s="7" t="e">
        <f>F422</f>
        <v>#REF!</v>
      </c>
      <c r="G421" s="7" t="e">
        <f t="shared" si="248"/>
        <v>#REF!</v>
      </c>
      <c r="H421" s="7" t="e">
        <f t="shared" si="248"/>
        <v>#REF!</v>
      </c>
      <c r="I421" s="7" t="e">
        <f t="shared" si="248"/>
        <v>#REF!</v>
      </c>
      <c r="J421" s="7" t="e">
        <f t="shared" si="248"/>
        <v>#REF!</v>
      </c>
      <c r="K421" s="7">
        <f t="shared" si="248"/>
        <v>2614.5200000000004</v>
      </c>
      <c r="L421" s="7">
        <f t="shared" si="248"/>
        <v>2499</v>
      </c>
      <c r="M421" s="7">
        <f t="shared" si="235"/>
        <v>95.58159815185961</v>
      </c>
    </row>
    <row r="422" spans="1:13" ht="47.25">
      <c r="A422" s="26" t="s">
        <v>172</v>
      </c>
      <c r="B422" s="21" t="s">
        <v>273</v>
      </c>
      <c r="C422" s="21" t="s">
        <v>254</v>
      </c>
      <c r="D422" s="21" t="s">
        <v>1073</v>
      </c>
      <c r="E422" s="21" t="s">
        <v>173</v>
      </c>
      <c r="F422" s="7" t="e">
        <f>#REF!</f>
        <v>#REF!</v>
      </c>
      <c r="G422" s="7" t="e">
        <f>#REF!</f>
        <v>#REF!</v>
      </c>
      <c r="H422" s="7" t="e">
        <f>#REF!</f>
        <v>#REF!</v>
      </c>
      <c r="I422" s="7" t="e">
        <f>#REF!</f>
        <v>#REF!</v>
      </c>
      <c r="J422" s="7" t="e">
        <f>#REF!</f>
        <v>#REF!</v>
      </c>
      <c r="K422" s="7">
        <f>'Прил.№4 ведомств.'!G1172</f>
        <v>2614.5200000000004</v>
      </c>
      <c r="L422" s="7">
        <f>'Прил.№4 ведомств.'!H1172</f>
        <v>2499</v>
      </c>
      <c r="M422" s="7">
        <f t="shared" si="235"/>
        <v>95.58159815185961</v>
      </c>
    </row>
    <row r="423" spans="1:13" ht="15.75">
      <c r="A423" s="31" t="s">
        <v>160</v>
      </c>
      <c r="B423" s="42" t="s">
        <v>273</v>
      </c>
      <c r="C423" s="42" t="s">
        <v>254</v>
      </c>
      <c r="D423" s="42" t="s">
        <v>161</v>
      </c>
      <c r="E423" s="8"/>
      <c r="F423" s="7" t="e">
        <f aca="true" t="shared" si="249" ref="F423:K423">F424+F437</f>
        <v>#REF!</v>
      </c>
      <c r="G423" s="7" t="e">
        <f t="shared" si="249"/>
        <v>#REF!</v>
      </c>
      <c r="H423" s="7" t="e">
        <f t="shared" si="249"/>
        <v>#REF!</v>
      </c>
      <c r="I423" s="7" t="e">
        <f t="shared" si="249"/>
        <v>#REF!</v>
      </c>
      <c r="J423" s="7" t="e">
        <f t="shared" si="249"/>
        <v>#REF!</v>
      </c>
      <c r="K423" s="7">
        <f t="shared" si="249"/>
        <v>1366</v>
      </c>
      <c r="L423" s="7">
        <f aca="true" t="shared" si="250" ref="L423">L424+L437</f>
        <v>36.9</v>
      </c>
      <c r="M423" s="7">
        <f t="shared" si="235"/>
        <v>2.701317715959004</v>
      </c>
    </row>
    <row r="424" spans="1:13" ht="31.5">
      <c r="A424" s="31" t="s">
        <v>224</v>
      </c>
      <c r="B424" s="42" t="s">
        <v>273</v>
      </c>
      <c r="C424" s="42" t="s">
        <v>254</v>
      </c>
      <c r="D424" s="42" t="s">
        <v>225</v>
      </c>
      <c r="E424" s="8"/>
      <c r="F424" s="7" t="e">
        <f aca="true" t="shared" si="251" ref="F424:K424">F425+F428+F431+F434</f>
        <v>#REF!</v>
      </c>
      <c r="G424" s="7" t="e">
        <f t="shared" si="251"/>
        <v>#REF!</v>
      </c>
      <c r="H424" s="7" t="e">
        <f t="shared" si="251"/>
        <v>#REF!</v>
      </c>
      <c r="I424" s="7" t="e">
        <f t="shared" si="251"/>
        <v>#REF!</v>
      </c>
      <c r="J424" s="7" t="e">
        <f t="shared" si="251"/>
        <v>#REF!</v>
      </c>
      <c r="K424" s="7">
        <f t="shared" si="251"/>
        <v>976</v>
      </c>
      <c r="L424" s="7">
        <f aca="true" t="shared" si="252" ref="L424">L425+L428+L431+L434</f>
        <v>36.9</v>
      </c>
      <c r="M424" s="7">
        <f t="shared" si="235"/>
        <v>3.780737704918033</v>
      </c>
    </row>
    <row r="425" spans="1:13" ht="35.25" customHeight="1" hidden="1">
      <c r="A425" s="48" t="s">
        <v>601</v>
      </c>
      <c r="B425" s="42" t="s">
        <v>273</v>
      </c>
      <c r="C425" s="42" t="s">
        <v>254</v>
      </c>
      <c r="D425" s="42" t="s">
        <v>602</v>
      </c>
      <c r="E425" s="8"/>
      <c r="F425" s="7" t="e">
        <f>F426</f>
        <v>#REF!</v>
      </c>
      <c r="G425" s="7" t="e">
        <f aca="true" t="shared" si="253" ref="G425:L426">G426</f>
        <v>#REF!</v>
      </c>
      <c r="H425" s="7" t="e">
        <f t="shared" si="253"/>
        <v>#REF!</v>
      </c>
      <c r="I425" s="7" t="e">
        <f t="shared" si="253"/>
        <v>#REF!</v>
      </c>
      <c r="J425" s="7" t="e">
        <f t="shared" si="253"/>
        <v>#REF!</v>
      </c>
      <c r="K425" s="7">
        <f t="shared" si="253"/>
        <v>0</v>
      </c>
      <c r="L425" s="7">
        <f t="shared" si="253"/>
        <v>0</v>
      </c>
      <c r="M425" s="7" t="e">
        <f t="shared" si="235"/>
        <v>#DIV/0!</v>
      </c>
    </row>
    <row r="426" spans="1:13" ht="31.5" hidden="1">
      <c r="A426" s="31" t="s">
        <v>170</v>
      </c>
      <c r="B426" s="42" t="s">
        <v>273</v>
      </c>
      <c r="C426" s="42" t="s">
        <v>254</v>
      </c>
      <c r="D426" s="42" t="s">
        <v>602</v>
      </c>
      <c r="E426" s="42" t="s">
        <v>171</v>
      </c>
      <c r="F426" s="7" t="e">
        <f>F427</f>
        <v>#REF!</v>
      </c>
      <c r="G426" s="7" t="e">
        <f t="shared" si="253"/>
        <v>#REF!</v>
      </c>
      <c r="H426" s="7" t="e">
        <f t="shared" si="253"/>
        <v>#REF!</v>
      </c>
      <c r="I426" s="7" t="e">
        <f t="shared" si="253"/>
        <v>#REF!</v>
      </c>
      <c r="J426" s="7" t="e">
        <f t="shared" si="253"/>
        <v>#REF!</v>
      </c>
      <c r="K426" s="7">
        <f t="shared" si="253"/>
        <v>0</v>
      </c>
      <c r="L426" s="7">
        <f t="shared" si="253"/>
        <v>0</v>
      </c>
      <c r="M426" s="7" t="e">
        <f t="shared" si="235"/>
        <v>#DIV/0!</v>
      </c>
    </row>
    <row r="427" spans="1:13" ht="47.25" hidden="1">
      <c r="A427" s="31" t="s">
        <v>172</v>
      </c>
      <c r="B427" s="42" t="s">
        <v>273</v>
      </c>
      <c r="C427" s="42" t="s">
        <v>254</v>
      </c>
      <c r="D427" s="42" t="s">
        <v>602</v>
      </c>
      <c r="E427" s="42" t="s">
        <v>173</v>
      </c>
      <c r="F427" s="7" t="e">
        <f>#REF!</f>
        <v>#REF!</v>
      </c>
      <c r="G427" s="7" t="e">
        <f>#REF!</f>
        <v>#REF!</v>
      </c>
      <c r="H427" s="7" t="e">
        <f>#REF!</f>
        <v>#REF!</v>
      </c>
      <c r="I427" s="7" t="e">
        <f>#REF!</f>
        <v>#REF!</v>
      </c>
      <c r="J427" s="7" t="e">
        <f>#REF!</f>
        <v>#REF!</v>
      </c>
      <c r="K427" s="7">
        <f>'Прил.№4 ведомств.'!G1176</f>
        <v>0</v>
      </c>
      <c r="L427" s="7">
        <f>'Прил.№4 ведомств.'!H1176</f>
        <v>0</v>
      </c>
      <c r="M427" s="7" t="e">
        <f t="shared" si="235"/>
        <v>#DIV/0!</v>
      </c>
    </row>
    <row r="428" spans="1:13" ht="31.5">
      <c r="A428" s="26" t="s">
        <v>751</v>
      </c>
      <c r="B428" s="42" t="s">
        <v>273</v>
      </c>
      <c r="C428" s="42" t="s">
        <v>254</v>
      </c>
      <c r="D428" s="21" t="s">
        <v>752</v>
      </c>
      <c r="E428" s="42"/>
      <c r="F428" s="7" t="e">
        <f>F429</f>
        <v>#REF!</v>
      </c>
      <c r="G428" s="7" t="e">
        <f aca="true" t="shared" si="254" ref="G428:L429">G429</f>
        <v>#REF!</v>
      </c>
      <c r="H428" s="7" t="e">
        <f t="shared" si="254"/>
        <v>#REF!</v>
      </c>
      <c r="I428" s="7" t="e">
        <f t="shared" si="254"/>
        <v>#REF!</v>
      </c>
      <c r="J428" s="7" t="e">
        <f t="shared" si="254"/>
        <v>#REF!</v>
      </c>
      <c r="K428" s="7">
        <f t="shared" si="254"/>
        <v>976</v>
      </c>
      <c r="L428" s="7">
        <f t="shared" si="254"/>
        <v>36.9</v>
      </c>
      <c r="M428" s="7">
        <f t="shared" si="235"/>
        <v>3.780737704918033</v>
      </c>
    </row>
    <row r="429" spans="1:13" ht="31.5">
      <c r="A429" s="26" t="s">
        <v>170</v>
      </c>
      <c r="B429" s="42" t="s">
        <v>273</v>
      </c>
      <c r="C429" s="42" t="s">
        <v>254</v>
      </c>
      <c r="D429" s="21" t="s">
        <v>752</v>
      </c>
      <c r="E429" s="42" t="s">
        <v>171</v>
      </c>
      <c r="F429" s="7" t="e">
        <f>F430</f>
        <v>#REF!</v>
      </c>
      <c r="G429" s="7" t="e">
        <f t="shared" si="254"/>
        <v>#REF!</v>
      </c>
      <c r="H429" s="7" t="e">
        <f t="shared" si="254"/>
        <v>#REF!</v>
      </c>
      <c r="I429" s="7" t="e">
        <f t="shared" si="254"/>
        <v>#REF!</v>
      </c>
      <c r="J429" s="7" t="e">
        <f t="shared" si="254"/>
        <v>#REF!</v>
      </c>
      <c r="K429" s="7">
        <f t="shared" si="254"/>
        <v>976</v>
      </c>
      <c r="L429" s="7">
        <f t="shared" si="254"/>
        <v>36.9</v>
      </c>
      <c r="M429" s="7">
        <f t="shared" si="235"/>
        <v>3.780737704918033</v>
      </c>
    </row>
    <row r="430" spans="1:13" ht="47.25">
      <c r="A430" s="26" t="s">
        <v>172</v>
      </c>
      <c r="B430" s="42" t="s">
        <v>273</v>
      </c>
      <c r="C430" s="42" t="s">
        <v>254</v>
      </c>
      <c r="D430" s="21" t="s">
        <v>752</v>
      </c>
      <c r="E430" s="42" t="s">
        <v>173</v>
      </c>
      <c r="F430" s="7" t="e">
        <f>#REF!</f>
        <v>#REF!</v>
      </c>
      <c r="G430" s="7" t="e">
        <f>#REF!</f>
        <v>#REF!</v>
      </c>
      <c r="H430" s="7" t="e">
        <f>#REF!</f>
        <v>#REF!</v>
      </c>
      <c r="I430" s="7" t="e">
        <f>#REF!</f>
        <v>#REF!</v>
      </c>
      <c r="J430" s="7" t="e">
        <f>#REF!</f>
        <v>#REF!</v>
      </c>
      <c r="K430" s="7">
        <f>'Прил.№4 ведомств.'!G1180</f>
        <v>976</v>
      </c>
      <c r="L430" s="7">
        <f>'Прил.№4 ведомств.'!H1180</f>
        <v>36.9</v>
      </c>
      <c r="M430" s="7">
        <f t="shared" si="235"/>
        <v>3.780737704918033</v>
      </c>
    </row>
    <row r="431" spans="1:13" ht="47.25" hidden="1">
      <c r="A431" s="26" t="s">
        <v>753</v>
      </c>
      <c r="B431" s="42" t="s">
        <v>273</v>
      </c>
      <c r="C431" s="42" t="s">
        <v>254</v>
      </c>
      <c r="D431" s="42" t="s">
        <v>603</v>
      </c>
      <c r="E431" s="42"/>
      <c r="F431" s="7" t="e">
        <f>F432</f>
        <v>#REF!</v>
      </c>
      <c r="G431" s="7" t="e">
        <f aca="true" t="shared" si="255" ref="G431:L432">G432</f>
        <v>#REF!</v>
      </c>
      <c r="H431" s="7" t="e">
        <f t="shared" si="255"/>
        <v>#REF!</v>
      </c>
      <c r="I431" s="7" t="e">
        <f t="shared" si="255"/>
        <v>#REF!</v>
      </c>
      <c r="J431" s="7" t="e">
        <f t="shared" si="255"/>
        <v>#REF!</v>
      </c>
      <c r="K431" s="7">
        <f t="shared" si="255"/>
        <v>0</v>
      </c>
      <c r="L431" s="7">
        <f t="shared" si="255"/>
        <v>0</v>
      </c>
      <c r="M431" s="7" t="e">
        <f t="shared" si="235"/>
        <v>#DIV/0!</v>
      </c>
    </row>
    <row r="432" spans="1:13" ht="31.5" hidden="1">
      <c r="A432" s="31" t="s">
        <v>170</v>
      </c>
      <c r="B432" s="42" t="s">
        <v>273</v>
      </c>
      <c r="C432" s="42" t="s">
        <v>254</v>
      </c>
      <c r="D432" s="42" t="s">
        <v>603</v>
      </c>
      <c r="E432" s="42" t="s">
        <v>171</v>
      </c>
      <c r="F432" s="7" t="e">
        <f>F433</f>
        <v>#REF!</v>
      </c>
      <c r="G432" s="7" t="e">
        <f t="shared" si="255"/>
        <v>#REF!</v>
      </c>
      <c r="H432" s="7" t="e">
        <f t="shared" si="255"/>
        <v>#REF!</v>
      </c>
      <c r="I432" s="7" t="e">
        <f t="shared" si="255"/>
        <v>#REF!</v>
      </c>
      <c r="J432" s="7" t="e">
        <f t="shared" si="255"/>
        <v>#REF!</v>
      </c>
      <c r="K432" s="7">
        <f t="shared" si="255"/>
        <v>0</v>
      </c>
      <c r="L432" s="7">
        <f t="shared" si="255"/>
        <v>0</v>
      </c>
      <c r="M432" s="7" t="e">
        <f t="shared" si="235"/>
        <v>#DIV/0!</v>
      </c>
    </row>
    <row r="433" spans="1:13" ht="47.25" hidden="1">
      <c r="A433" s="31" t="s">
        <v>172</v>
      </c>
      <c r="B433" s="42" t="s">
        <v>273</v>
      </c>
      <c r="C433" s="42" t="s">
        <v>254</v>
      </c>
      <c r="D433" s="42" t="s">
        <v>603</v>
      </c>
      <c r="E433" s="42" t="s">
        <v>173</v>
      </c>
      <c r="F433" s="7" t="e">
        <f>#REF!</f>
        <v>#REF!</v>
      </c>
      <c r="G433" s="7" t="e">
        <f>#REF!</f>
        <v>#REF!</v>
      </c>
      <c r="H433" s="7" t="e">
        <f>#REF!</f>
        <v>#REF!</v>
      </c>
      <c r="I433" s="7" t="e">
        <f>#REF!</f>
        <v>#REF!</v>
      </c>
      <c r="J433" s="7" t="e">
        <f>#REF!</f>
        <v>#REF!</v>
      </c>
      <c r="K433" s="7">
        <f>'Прил.№4 ведомств.'!G1183</f>
        <v>0</v>
      </c>
      <c r="L433" s="7">
        <f>'Прил.№4 ведомств.'!H1183</f>
        <v>0</v>
      </c>
      <c r="M433" s="7" t="e">
        <f t="shared" si="235"/>
        <v>#DIV/0!</v>
      </c>
    </row>
    <row r="434" spans="1:13" ht="53.25" customHeight="1" hidden="1">
      <c r="A434" s="26" t="s">
        <v>754</v>
      </c>
      <c r="B434" s="42" t="s">
        <v>273</v>
      </c>
      <c r="C434" s="42" t="s">
        <v>254</v>
      </c>
      <c r="D434" s="21" t="s">
        <v>755</v>
      </c>
      <c r="E434" s="42"/>
      <c r="F434" s="7" t="e">
        <f>F435</f>
        <v>#REF!</v>
      </c>
      <c r="G434" s="7" t="e">
        <f aca="true" t="shared" si="256" ref="G434:L435">G435</f>
        <v>#REF!</v>
      </c>
      <c r="H434" s="7" t="e">
        <f t="shared" si="256"/>
        <v>#REF!</v>
      </c>
      <c r="I434" s="7" t="e">
        <f t="shared" si="256"/>
        <v>#REF!</v>
      </c>
      <c r="J434" s="7" t="e">
        <f t="shared" si="256"/>
        <v>#REF!</v>
      </c>
      <c r="K434" s="7">
        <f t="shared" si="256"/>
        <v>0</v>
      </c>
      <c r="L434" s="7">
        <f t="shared" si="256"/>
        <v>0</v>
      </c>
      <c r="M434" s="7" t="e">
        <f t="shared" si="235"/>
        <v>#DIV/0!</v>
      </c>
    </row>
    <row r="435" spans="1:13" ht="31.5" hidden="1">
      <c r="A435" s="26" t="s">
        <v>170</v>
      </c>
      <c r="B435" s="42" t="s">
        <v>273</v>
      </c>
      <c r="C435" s="42" t="s">
        <v>254</v>
      </c>
      <c r="D435" s="21" t="s">
        <v>755</v>
      </c>
      <c r="E435" s="42" t="s">
        <v>171</v>
      </c>
      <c r="F435" s="7" t="e">
        <f>F436</f>
        <v>#REF!</v>
      </c>
      <c r="G435" s="7" t="e">
        <f t="shared" si="256"/>
        <v>#REF!</v>
      </c>
      <c r="H435" s="7" t="e">
        <f t="shared" si="256"/>
        <v>#REF!</v>
      </c>
      <c r="I435" s="7" t="e">
        <f t="shared" si="256"/>
        <v>#REF!</v>
      </c>
      <c r="J435" s="7" t="e">
        <f t="shared" si="256"/>
        <v>#REF!</v>
      </c>
      <c r="K435" s="7">
        <f t="shared" si="256"/>
        <v>0</v>
      </c>
      <c r="L435" s="7">
        <f t="shared" si="256"/>
        <v>0</v>
      </c>
      <c r="M435" s="7" t="e">
        <f t="shared" si="235"/>
        <v>#DIV/0!</v>
      </c>
    </row>
    <row r="436" spans="1:13" ht="47.25" hidden="1">
      <c r="A436" s="26" t="s">
        <v>172</v>
      </c>
      <c r="B436" s="42" t="s">
        <v>273</v>
      </c>
      <c r="C436" s="42" t="s">
        <v>254</v>
      </c>
      <c r="D436" s="21" t="s">
        <v>755</v>
      </c>
      <c r="E436" s="42" t="s">
        <v>173</v>
      </c>
      <c r="F436" s="7" t="e">
        <f>#REF!</f>
        <v>#REF!</v>
      </c>
      <c r="G436" s="7" t="e">
        <f>#REF!</f>
        <v>#REF!</v>
      </c>
      <c r="H436" s="7" t="e">
        <f>#REF!</f>
        <v>#REF!</v>
      </c>
      <c r="I436" s="7" t="e">
        <f>#REF!</f>
        <v>#REF!</v>
      </c>
      <c r="J436" s="7" t="e">
        <f>#REF!</f>
        <v>#REF!</v>
      </c>
      <c r="K436" s="7">
        <f>'Прил.№4 ведомств.'!G1186</f>
        <v>0</v>
      </c>
      <c r="L436" s="7">
        <f>'Прил.№4 ведомств.'!H1186</f>
        <v>0</v>
      </c>
      <c r="M436" s="7" t="e">
        <f t="shared" si="235"/>
        <v>#DIV/0!</v>
      </c>
    </row>
    <row r="437" spans="1:13" ht="15.75">
      <c r="A437" s="31" t="s">
        <v>180</v>
      </c>
      <c r="B437" s="42" t="s">
        <v>273</v>
      </c>
      <c r="C437" s="42" t="s">
        <v>254</v>
      </c>
      <c r="D437" s="42" t="s">
        <v>181</v>
      </c>
      <c r="E437" s="8"/>
      <c r="F437" s="7" t="e">
        <f>F438+F441</f>
        <v>#REF!</v>
      </c>
      <c r="G437" s="7" t="e">
        <f>G438+G441</f>
        <v>#REF!</v>
      </c>
      <c r="H437" s="7" t="e">
        <f>H438+H441</f>
        <v>#REF!</v>
      </c>
      <c r="I437" s="7" t="e">
        <f>I438+I441</f>
        <v>#REF!</v>
      </c>
      <c r="J437" s="7" t="e">
        <f>J438+J441</f>
        <v>#REF!</v>
      </c>
      <c r="K437" s="7">
        <f>K438+K441+K444</f>
        <v>390</v>
      </c>
      <c r="L437" s="7">
        <f aca="true" t="shared" si="257" ref="L437">L438+L441+L444</f>
        <v>0</v>
      </c>
      <c r="M437" s="7">
        <f t="shared" si="235"/>
        <v>0</v>
      </c>
    </row>
    <row r="438" spans="1:13" ht="15.75">
      <c r="A438" s="47" t="s">
        <v>642</v>
      </c>
      <c r="B438" s="42" t="s">
        <v>273</v>
      </c>
      <c r="C438" s="42" t="s">
        <v>254</v>
      </c>
      <c r="D438" s="42" t="s">
        <v>605</v>
      </c>
      <c r="E438" s="42"/>
      <c r="F438" s="7" t="e">
        <f>F439</f>
        <v>#REF!</v>
      </c>
      <c r="G438" s="7" t="e">
        <f aca="true" t="shared" si="258" ref="G438:L439">G439</f>
        <v>#REF!</v>
      </c>
      <c r="H438" s="7" t="e">
        <f t="shared" si="258"/>
        <v>#REF!</v>
      </c>
      <c r="I438" s="7" t="e">
        <f t="shared" si="258"/>
        <v>#REF!</v>
      </c>
      <c r="J438" s="7" t="e">
        <f t="shared" si="258"/>
        <v>#REF!</v>
      </c>
      <c r="K438" s="7">
        <f t="shared" si="258"/>
        <v>390</v>
      </c>
      <c r="L438" s="7">
        <f t="shared" si="258"/>
        <v>0</v>
      </c>
      <c r="M438" s="7">
        <f t="shared" si="235"/>
        <v>0</v>
      </c>
    </row>
    <row r="439" spans="1:13" ht="31.5">
      <c r="A439" s="31" t="s">
        <v>170</v>
      </c>
      <c r="B439" s="42" t="s">
        <v>273</v>
      </c>
      <c r="C439" s="42" t="s">
        <v>254</v>
      </c>
      <c r="D439" s="42" t="s">
        <v>605</v>
      </c>
      <c r="E439" s="42" t="s">
        <v>171</v>
      </c>
      <c r="F439" s="7" t="e">
        <f>F440</f>
        <v>#REF!</v>
      </c>
      <c r="G439" s="7" t="e">
        <f t="shared" si="258"/>
        <v>#REF!</v>
      </c>
      <c r="H439" s="7" t="e">
        <f t="shared" si="258"/>
        <v>#REF!</v>
      </c>
      <c r="I439" s="7" t="e">
        <f t="shared" si="258"/>
        <v>#REF!</v>
      </c>
      <c r="J439" s="7" t="e">
        <f t="shared" si="258"/>
        <v>#REF!</v>
      </c>
      <c r="K439" s="7">
        <f t="shared" si="258"/>
        <v>390</v>
      </c>
      <c r="L439" s="7">
        <f t="shared" si="258"/>
        <v>0</v>
      </c>
      <c r="M439" s="7">
        <f t="shared" si="235"/>
        <v>0</v>
      </c>
    </row>
    <row r="440" spans="1:13" ht="47.25">
      <c r="A440" s="31" t="s">
        <v>172</v>
      </c>
      <c r="B440" s="42" t="s">
        <v>273</v>
      </c>
      <c r="C440" s="42" t="s">
        <v>254</v>
      </c>
      <c r="D440" s="42" t="s">
        <v>605</v>
      </c>
      <c r="E440" s="42" t="s">
        <v>173</v>
      </c>
      <c r="F440" s="7" t="e">
        <f>#REF!</f>
        <v>#REF!</v>
      </c>
      <c r="G440" s="7" t="e">
        <f>#REF!</f>
        <v>#REF!</v>
      </c>
      <c r="H440" s="7" t="e">
        <f>#REF!</f>
        <v>#REF!</v>
      </c>
      <c r="I440" s="7" t="e">
        <f>#REF!</f>
        <v>#REF!</v>
      </c>
      <c r="J440" s="7" t="e">
        <f>#REF!</f>
        <v>#REF!</v>
      </c>
      <c r="K440" s="7">
        <f>'Прил.№4 ведомств.'!G1190</f>
        <v>390</v>
      </c>
      <c r="L440" s="7">
        <f>'Прил.№4 ведомств.'!H1190</f>
        <v>0</v>
      </c>
      <c r="M440" s="7">
        <f t="shared" si="235"/>
        <v>0</v>
      </c>
    </row>
    <row r="441" spans="1:13" ht="15.75" customHeight="1" hidden="1">
      <c r="A441" s="31" t="s">
        <v>606</v>
      </c>
      <c r="B441" s="42" t="s">
        <v>273</v>
      </c>
      <c r="C441" s="42" t="s">
        <v>254</v>
      </c>
      <c r="D441" s="42" t="s">
        <v>607</v>
      </c>
      <c r="E441" s="8"/>
      <c r="F441" s="7" t="e">
        <f>F442</f>
        <v>#REF!</v>
      </c>
      <c r="G441" s="7" t="e">
        <f aca="true" t="shared" si="259" ref="G441:L442">G442</f>
        <v>#REF!</v>
      </c>
      <c r="H441" s="7" t="e">
        <f t="shared" si="259"/>
        <v>#REF!</v>
      </c>
      <c r="I441" s="7" t="e">
        <f t="shared" si="259"/>
        <v>#REF!</v>
      </c>
      <c r="J441" s="7" t="e">
        <f t="shared" si="259"/>
        <v>#REF!</v>
      </c>
      <c r="K441" s="7">
        <f t="shared" si="259"/>
        <v>0</v>
      </c>
      <c r="L441" s="7">
        <f t="shared" si="259"/>
        <v>0</v>
      </c>
      <c r="M441" s="4" t="e">
        <f t="shared" si="235"/>
        <v>#DIV/0!</v>
      </c>
    </row>
    <row r="442" spans="1:13" ht="15.75" customHeight="1" hidden="1">
      <c r="A442" s="31" t="s">
        <v>174</v>
      </c>
      <c r="B442" s="42" t="s">
        <v>273</v>
      </c>
      <c r="C442" s="42" t="s">
        <v>254</v>
      </c>
      <c r="D442" s="42" t="s">
        <v>607</v>
      </c>
      <c r="E442" s="42" t="s">
        <v>184</v>
      </c>
      <c r="F442" s="7" t="e">
        <f>F443</f>
        <v>#REF!</v>
      </c>
      <c r="G442" s="7" t="e">
        <f t="shared" si="259"/>
        <v>#REF!</v>
      </c>
      <c r="H442" s="7" t="e">
        <f t="shared" si="259"/>
        <v>#REF!</v>
      </c>
      <c r="I442" s="7" t="e">
        <f t="shared" si="259"/>
        <v>#REF!</v>
      </c>
      <c r="J442" s="7" t="e">
        <f t="shared" si="259"/>
        <v>#REF!</v>
      </c>
      <c r="K442" s="7">
        <f t="shared" si="259"/>
        <v>0</v>
      </c>
      <c r="L442" s="7">
        <f t="shared" si="259"/>
        <v>0</v>
      </c>
      <c r="M442" s="4" t="e">
        <f t="shared" si="235"/>
        <v>#DIV/0!</v>
      </c>
    </row>
    <row r="443" spans="1:13" ht="15.75" customHeight="1" hidden="1">
      <c r="A443" s="31" t="s">
        <v>608</v>
      </c>
      <c r="B443" s="42" t="s">
        <v>273</v>
      </c>
      <c r="C443" s="42" t="s">
        <v>254</v>
      </c>
      <c r="D443" s="42" t="s">
        <v>607</v>
      </c>
      <c r="E443" s="42" t="s">
        <v>177</v>
      </c>
      <c r="F443" s="7" t="e">
        <f>#REF!</f>
        <v>#REF!</v>
      </c>
      <c r="G443" s="7" t="e">
        <f>#REF!</f>
        <v>#REF!</v>
      </c>
      <c r="H443" s="7" t="e">
        <f>#REF!</f>
        <v>#REF!</v>
      </c>
      <c r="I443" s="7" t="e">
        <f>#REF!</f>
        <v>#REF!</v>
      </c>
      <c r="J443" s="7" t="e">
        <f>#REF!</f>
        <v>#REF!</v>
      </c>
      <c r="K443" s="7">
        <f>'Прил.№4 ведомств.'!G1193</f>
        <v>0</v>
      </c>
      <c r="L443" s="7">
        <f>'Прил.№4 ведомств.'!H1193</f>
        <v>0</v>
      </c>
      <c r="M443" s="4" t="e">
        <f t="shared" si="235"/>
        <v>#DIV/0!</v>
      </c>
    </row>
    <row r="444" spans="1:13" s="1" customFormat="1" ht="63" hidden="1">
      <c r="A444" s="26" t="s">
        <v>955</v>
      </c>
      <c r="B444" s="42" t="s">
        <v>273</v>
      </c>
      <c r="C444" s="42" t="s">
        <v>254</v>
      </c>
      <c r="D444" s="42" t="s">
        <v>956</v>
      </c>
      <c r="E444" s="42"/>
      <c r="F444" s="7"/>
      <c r="G444" s="7"/>
      <c r="H444" s="7"/>
      <c r="I444" s="7"/>
      <c r="J444" s="7"/>
      <c r="K444" s="7">
        <f>K445</f>
        <v>0</v>
      </c>
      <c r="L444" s="7">
        <f aca="true" t="shared" si="260" ref="L444:L445">L445</f>
        <v>0</v>
      </c>
      <c r="M444" s="4" t="e">
        <f t="shared" si="235"/>
        <v>#DIV/0!</v>
      </c>
    </row>
    <row r="445" spans="1:13" ht="15.75" customHeight="1" hidden="1">
      <c r="A445" s="31" t="s">
        <v>170</v>
      </c>
      <c r="B445" s="42" t="s">
        <v>273</v>
      </c>
      <c r="C445" s="42" t="s">
        <v>254</v>
      </c>
      <c r="D445" s="42" t="s">
        <v>956</v>
      </c>
      <c r="E445" s="42" t="s">
        <v>171</v>
      </c>
      <c r="F445" s="7"/>
      <c r="G445" s="7"/>
      <c r="H445" s="7"/>
      <c r="I445" s="7"/>
      <c r="J445" s="7"/>
      <c r="K445" s="7">
        <f>K446</f>
        <v>0</v>
      </c>
      <c r="L445" s="7">
        <f t="shared" si="260"/>
        <v>0</v>
      </c>
      <c r="M445" s="4" t="e">
        <f t="shared" si="235"/>
        <v>#DIV/0!</v>
      </c>
    </row>
    <row r="446" spans="1:13" ht="15.75" customHeight="1" hidden="1">
      <c r="A446" s="31" t="s">
        <v>172</v>
      </c>
      <c r="B446" s="42" t="s">
        <v>273</v>
      </c>
      <c r="C446" s="42" t="s">
        <v>254</v>
      </c>
      <c r="D446" s="42" t="s">
        <v>956</v>
      </c>
      <c r="E446" s="42" t="s">
        <v>173</v>
      </c>
      <c r="F446" s="7"/>
      <c r="G446" s="7"/>
      <c r="H446" s="7"/>
      <c r="I446" s="7"/>
      <c r="J446" s="7"/>
      <c r="K446" s="7">
        <f>'Прил.№4 ведомств.'!G1196</f>
        <v>0</v>
      </c>
      <c r="L446" s="7">
        <f>'Прил.№4 ведомств.'!H1196</f>
        <v>0</v>
      </c>
      <c r="M446" s="4" t="e">
        <f t="shared" si="235"/>
        <v>#DIV/0!</v>
      </c>
    </row>
    <row r="447" spans="1:13" ht="31.5">
      <c r="A447" s="43" t="s">
        <v>609</v>
      </c>
      <c r="B447" s="8" t="s">
        <v>273</v>
      </c>
      <c r="C447" s="8" t="s">
        <v>273</v>
      </c>
      <c r="D447" s="8"/>
      <c r="E447" s="8"/>
      <c r="F447" s="4" t="e">
        <f aca="true" t="shared" si="261" ref="F447:L447">F448</f>
        <v>#REF!</v>
      </c>
      <c r="G447" s="4" t="e">
        <f t="shared" si="261"/>
        <v>#REF!</v>
      </c>
      <c r="H447" s="4" t="e">
        <f t="shared" si="261"/>
        <v>#REF!</v>
      </c>
      <c r="I447" s="4" t="e">
        <f t="shared" si="261"/>
        <v>#REF!</v>
      </c>
      <c r="J447" s="4" t="e">
        <f t="shared" si="261"/>
        <v>#REF!</v>
      </c>
      <c r="K447" s="4">
        <f t="shared" si="261"/>
        <v>28887.300000000003</v>
      </c>
      <c r="L447" s="4">
        <f t="shared" si="261"/>
        <v>22500</v>
      </c>
      <c r="M447" s="4">
        <f t="shared" si="235"/>
        <v>77.88889927407546</v>
      </c>
    </row>
    <row r="448" spans="1:13" ht="15.75">
      <c r="A448" s="31" t="s">
        <v>160</v>
      </c>
      <c r="B448" s="42" t="s">
        <v>273</v>
      </c>
      <c r="C448" s="42" t="s">
        <v>273</v>
      </c>
      <c r="D448" s="42" t="s">
        <v>161</v>
      </c>
      <c r="E448" s="42"/>
      <c r="F448" s="7" t="e">
        <f aca="true" t="shared" si="262" ref="F448:K448">F457+F449</f>
        <v>#REF!</v>
      </c>
      <c r="G448" s="7" t="e">
        <f t="shared" si="262"/>
        <v>#REF!</v>
      </c>
      <c r="H448" s="7" t="e">
        <f t="shared" si="262"/>
        <v>#REF!</v>
      </c>
      <c r="I448" s="7" t="e">
        <f t="shared" si="262"/>
        <v>#REF!</v>
      </c>
      <c r="J448" s="7" t="e">
        <f t="shared" si="262"/>
        <v>#REF!</v>
      </c>
      <c r="K448" s="7">
        <f t="shared" si="262"/>
        <v>28887.300000000003</v>
      </c>
      <c r="L448" s="7">
        <f aca="true" t="shared" si="263" ref="L448">L457+L449</f>
        <v>22500</v>
      </c>
      <c r="M448" s="7">
        <f t="shared" si="235"/>
        <v>77.88889927407546</v>
      </c>
    </row>
    <row r="449" spans="1:13" ht="31.5">
      <c r="A449" s="31" t="s">
        <v>162</v>
      </c>
      <c r="B449" s="42" t="s">
        <v>273</v>
      </c>
      <c r="C449" s="42" t="s">
        <v>273</v>
      </c>
      <c r="D449" s="42" t="s">
        <v>163</v>
      </c>
      <c r="E449" s="42"/>
      <c r="F449" s="7" t="e">
        <f aca="true" t="shared" si="264" ref="F449:L449">F450</f>
        <v>#REF!</v>
      </c>
      <c r="G449" s="7" t="e">
        <f t="shared" si="264"/>
        <v>#REF!</v>
      </c>
      <c r="H449" s="7" t="e">
        <f t="shared" si="264"/>
        <v>#REF!</v>
      </c>
      <c r="I449" s="7" t="e">
        <f t="shared" si="264"/>
        <v>#REF!</v>
      </c>
      <c r="J449" s="7" t="e">
        <f t="shared" si="264"/>
        <v>#REF!</v>
      </c>
      <c r="K449" s="7">
        <f t="shared" si="264"/>
        <v>14131.5</v>
      </c>
      <c r="L449" s="7">
        <f t="shared" si="264"/>
        <v>9052.4</v>
      </c>
      <c r="M449" s="7">
        <f t="shared" si="235"/>
        <v>64.05830945051835</v>
      </c>
    </row>
    <row r="450" spans="1:13" ht="31.5">
      <c r="A450" s="31" t="s">
        <v>643</v>
      </c>
      <c r="B450" s="42" t="s">
        <v>273</v>
      </c>
      <c r="C450" s="42" t="s">
        <v>273</v>
      </c>
      <c r="D450" s="42" t="s">
        <v>165</v>
      </c>
      <c r="E450" s="42"/>
      <c r="F450" s="7" t="e">
        <f aca="true" t="shared" si="265" ref="F450:K450">F451+F453+F455</f>
        <v>#REF!</v>
      </c>
      <c r="G450" s="7" t="e">
        <f t="shared" si="265"/>
        <v>#REF!</v>
      </c>
      <c r="H450" s="7" t="e">
        <f t="shared" si="265"/>
        <v>#REF!</v>
      </c>
      <c r="I450" s="7" t="e">
        <f t="shared" si="265"/>
        <v>#REF!</v>
      </c>
      <c r="J450" s="7" t="e">
        <f t="shared" si="265"/>
        <v>#REF!</v>
      </c>
      <c r="K450" s="7">
        <f t="shared" si="265"/>
        <v>14131.5</v>
      </c>
      <c r="L450" s="7">
        <f aca="true" t="shared" si="266" ref="L450">L451+L453+L455</f>
        <v>9052.4</v>
      </c>
      <c r="M450" s="7">
        <f t="shared" si="235"/>
        <v>64.05830945051835</v>
      </c>
    </row>
    <row r="451" spans="1:13" ht="81.75" customHeight="1">
      <c r="A451" s="31" t="s">
        <v>166</v>
      </c>
      <c r="B451" s="42" t="s">
        <v>273</v>
      </c>
      <c r="C451" s="42" t="s">
        <v>273</v>
      </c>
      <c r="D451" s="42" t="s">
        <v>165</v>
      </c>
      <c r="E451" s="42" t="s">
        <v>167</v>
      </c>
      <c r="F451" s="63" t="e">
        <f aca="true" t="shared" si="267" ref="F451:L451">F452</f>
        <v>#REF!</v>
      </c>
      <c r="G451" s="63" t="e">
        <f t="shared" si="267"/>
        <v>#REF!</v>
      </c>
      <c r="H451" s="63" t="e">
        <f t="shared" si="267"/>
        <v>#REF!</v>
      </c>
      <c r="I451" s="63" t="e">
        <f t="shared" si="267"/>
        <v>#REF!</v>
      </c>
      <c r="J451" s="63" t="e">
        <f t="shared" si="267"/>
        <v>#REF!</v>
      </c>
      <c r="K451" s="63">
        <f t="shared" si="267"/>
        <v>14060</v>
      </c>
      <c r="L451" s="63">
        <f t="shared" si="267"/>
        <v>9022</v>
      </c>
      <c r="M451" s="7">
        <f t="shared" si="235"/>
        <v>64.1678520625889</v>
      </c>
    </row>
    <row r="452" spans="1:13" ht="31.5">
      <c r="A452" s="31" t="s">
        <v>168</v>
      </c>
      <c r="B452" s="42" t="s">
        <v>273</v>
      </c>
      <c r="C452" s="42" t="s">
        <v>273</v>
      </c>
      <c r="D452" s="42" t="s">
        <v>165</v>
      </c>
      <c r="E452" s="42" t="s">
        <v>169</v>
      </c>
      <c r="F452" s="63" t="e">
        <f>#REF!</f>
        <v>#REF!</v>
      </c>
      <c r="G452" s="63" t="e">
        <f>#REF!</f>
        <v>#REF!</v>
      </c>
      <c r="H452" s="63" t="e">
        <f>#REF!</f>
        <v>#REF!</v>
      </c>
      <c r="I452" s="63" t="e">
        <f>#REF!</f>
        <v>#REF!</v>
      </c>
      <c r="J452" s="63" t="e">
        <f>#REF!</f>
        <v>#REF!</v>
      </c>
      <c r="K452" s="63">
        <f>'Прил.№4 ведомств.'!G1202</f>
        <v>14060</v>
      </c>
      <c r="L452" s="63">
        <f>'Прил.№4 ведомств.'!H1202</f>
        <v>9022</v>
      </c>
      <c r="M452" s="7">
        <f t="shared" si="235"/>
        <v>64.1678520625889</v>
      </c>
    </row>
    <row r="453" spans="1:13" ht="31.5">
      <c r="A453" s="31" t="s">
        <v>170</v>
      </c>
      <c r="B453" s="42" t="s">
        <v>273</v>
      </c>
      <c r="C453" s="42" t="s">
        <v>273</v>
      </c>
      <c r="D453" s="42" t="s">
        <v>165</v>
      </c>
      <c r="E453" s="42" t="s">
        <v>171</v>
      </c>
      <c r="F453" s="63" t="e">
        <f aca="true" t="shared" si="268" ref="F453:L453">F454</f>
        <v>#REF!</v>
      </c>
      <c r="G453" s="63" t="e">
        <f t="shared" si="268"/>
        <v>#REF!</v>
      </c>
      <c r="H453" s="63" t="e">
        <f t="shared" si="268"/>
        <v>#REF!</v>
      </c>
      <c r="I453" s="63" t="e">
        <f t="shared" si="268"/>
        <v>#REF!</v>
      </c>
      <c r="J453" s="63" t="e">
        <f t="shared" si="268"/>
        <v>#REF!</v>
      </c>
      <c r="K453" s="63">
        <f t="shared" si="268"/>
        <v>25</v>
      </c>
      <c r="L453" s="63">
        <f t="shared" si="268"/>
        <v>0</v>
      </c>
      <c r="M453" s="7">
        <f t="shared" si="235"/>
        <v>0</v>
      </c>
    </row>
    <row r="454" spans="1:13" ht="47.25">
      <c r="A454" s="31" t="s">
        <v>172</v>
      </c>
      <c r="B454" s="42" t="s">
        <v>273</v>
      </c>
      <c r="C454" s="42" t="s">
        <v>273</v>
      </c>
      <c r="D454" s="42" t="s">
        <v>165</v>
      </c>
      <c r="E454" s="42" t="s">
        <v>173</v>
      </c>
      <c r="F454" s="63" t="e">
        <f>#REF!</f>
        <v>#REF!</v>
      </c>
      <c r="G454" s="63" t="e">
        <f>#REF!</f>
        <v>#REF!</v>
      </c>
      <c r="H454" s="63" t="e">
        <f>#REF!</f>
        <v>#REF!</v>
      </c>
      <c r="I454" s="63" t="e">
        <f>#REF!</f>
        <v>#REF!</v>
      </c>
      <c r="J454" s="63" t="e">
        <f>#REF!</f>
        <v>#REF!</v>
      </c>
      <c r="K454" s="63">
        <f>'Прил.№4 ведомств.'!G1204</f>
        <v>25</v>
      </c>
      <c r="L454" s="63">
        <f>'Прил.№4 ведомств.'!H1204</f>
        <v>0</v>
      </c>
      <c r="M454" s="7">
        <f t="shared" si="235"/>
        <v>0</v>
      </c>
    </row>
    <row r="455" spans="1:13" ht="15.75">
      <c r="A455" s="31" t="s">
        <v>174</v>
      </c>
      <c r="B455" s="42" t="s">
        <v>273</v>
      </c>
      <c r="C455" s="42" t="s">
        <v>273</v>
      </c>
      <c r="D455" s="42" t="s">
        <v>165</v>
      </c>
      <c r="E455" s="42" t="s">
        <v>184</v>
      </c>
      <c r="F455" s="63" t="e">
        <f aca="true" t="shared" si="269" ref="F455:L455">F456</f>
        <v>#REF!</v>
      </c>
      <c r="G455" s="63" t="e">
        <f t="shared" si="269"/>
        <v>#REF!</v>
      </c>
      <c r="H455" s="63" t="e">
        <f t="shared" si="269"/>
        <v>#REF!</v>
      </c>
      <c r="I455" s="63" t="e">
        <f t="shared" si="269"/>
        <v>#REF!</v>
      </c>
      <c r="J455" s="63" t="e">
        <f t="shared" si="269"/>
        <v>#REF!</v>
      </c>
      <c r="K455" s="63">
        <f t="shared" si="269"/>
        <v>46.5</v>
      </c>
      <c r="L455" s="63">
        <f t="shared" si="269"/>
        <v>30.4</v>
      </c>
      <c r="M455" s="7">
        <f t="shared" si="235"/>
        <v>65.3763440860215</v>
      </c>
    </row>
    <row r="456" spans="1:13" ht="15.75">
      <c r="A456" s="31" t="s">
        <v>608</v>
      </c>
      <c r="B456" s="42" t="s">
        <v>273</v>
      </c>
      <c r="C456" s="42" t="s">
        <v>273</v>
      </c>
      <c r="D456" s="42" t="s">
        <v>165</v>
      </c>
      <c r="E456" s="42" t="s">
        <v>177</v>
      </c>
      <c r="F456" s="63" t="e">
        <f>#REF!</f>
        <v>#REF!</v>
      </c>
      <c r="G456" s="63" t="e">
        <f>#REF!</f>
        <v>#REF!</v>
      </c>
      <c r="H456" s="63" t="e">
        <f>#REF!</f>
        <v>#REF!</v>
      </c>
      <c r="I456" s="63" t="e">
        <f>#REF!</f>
        <v>#REF!</v>
      </c>
      <c r="J456" s="63" t="e">
        <f>#REF!</f>
        <v>#REF!</v>
      </c>
      <c r="K456" s="63">
        <f>'Прил.№4 ведомств.'!G1206</f>
        <v>46.5</v>
      </c>
      <c r="L456" s="63">
        <f>'Прил.№4 ведомств.'!H1206</f>
        <v>30.4</v>
      </c>
      <c r="M456" s="7">
        <f t="shared" si="235"/>
        <v>65.3763440860215</v>
      </c>
    </row>
    <row r="457" spans="1:13" ht="15.75">
      <c r="A457" s="31" t="s">
        <v>180</v>
      </c>
      <c r="B457" s="42" t="s">
        <v>273</v>
      </c>
      <c r="C457" s="42" t="s">
        <v>273</v>
      </c>
      <c r="D457" s="42" t="s">
        <v>181</v>
      </c>
      <c r="E457" s="42"/>
      <c r="F457" s="7" t="e">
        <f>F458+F461</f>
        <v>#REF!</v>
      </c>
      <c r="G457" s="7" t="e">
        <f>G458+G461</f>
        <v>#REF!</v>
      </c>
      <c r="H457" s="7" t="e">
        <f>H458+H461</f>
        <v>#REF!</v>
      </c>
      <c r="I457" s="7" t="e">
        <f>I458+I461</f>
        <v>#REF!</v>
      </c>
      <c r="J457" s="7" t="e">
        <f>J458+J461</f>
        <v>#REF!</v>
      </c>
      <c r="K457" s="7">
        <f>K458+K461+K466</f>
        <v>14755.800000000001</v>
      </c>
      <c r="L457" s="7">
        <f aca="true" t="shared" si="270" ref="L457">L458+L461+L466</f>
        <v>13447.599999999999</v>
      </c>
      <c r="M457" s="7">
        <f t="shared" si="235"/>
        <v>91.13433361796716</v>
      </c>
    </row>
    <row r="458" spans="1:13" ht="31.5">
      <c r="A458" s="31" t="s">
        <v>610</v>
      </c>
      <c r="B458" s="42" t="s">
        <v>273</v>
      </c>
      <c r="C458" s="42" t="s">
        <v>273</v>
      </c>
      <c r="D458" s="42" t="s">
        <v>611</v>
      </c>
      <c r="E458" s="42"/>
      <c r="F458" s="63" t="e">
        <f>F459</f>
        <v>#REF!</v>
      </c>
      <c r="G458" s="63" t="e">
        <f aca="true" t="shared" si="271" ref="G458:L459">G459</f>
        <v>#REF!</v>
      </c>
      <c r="H458" s="63" t="e">
        <f t="shared" si="271"/>
        <v>#REF!</v>
      </c>
      <c r="I458" s="63" t="e">
        <f t="shared" si="271"/>
        <v>#REF!</v>
      </c>
      <c r="J458" s="63" t="e">
        <f t="shared" si="271"/>
        <v>#REF!</v>
      </c>
      <c r="K458" s="63">
        <f t="shared" si="271"/>
        <v>982.2</v>
      </c>
      <c r="L458" s="63">
        <f t="shared" si="271"/>
        <v>780.9</v>
      </c>
      <c r="M458" s="7">
        <f t="shared" si="235"/>
        <v>79.50519242516798</v>
      </c>
    </row>
    <row r="459" spans="1:13" ht="15.75">
      <c r="A459" s="31" t="s">
        <v>174</v>
      </c>
      <c r="B459" s="42" t="s">
        <v>273</v>
      </c>
      <c r="C459" s="42" t="s">
        <v>273</v>
      </c>
      <c r="D459" s="42" t="s">
        <v>611</v>
      </c>
      <c r="E459" s="42" t="s">
        <v>184</v>
      </c>
      <c r="F459" s="63" t="e">
        <f>F460</f>
        <v>#REF!</v>
      </c>
      <c r="G459" s="63" t="e">
        <f t="shared" si="271"/>
        <v>#REF!</v>
      </c>
      <c r="H459" s="63" t="e">
        <f t="shared" si="271"/>
        <v>#REF!</v>
      </c>
      <c r="I459" s="63" t="e">
        <f t="shared" si="271"/>
        <v>#REF!</v>
      </c>
      <c r="J459" s="63" t="e">
        <f t="shared" si="271"/>
        <v>#REF!</v>
      </c>
      <c r="K459" s="63">
        <f t="shared" si="271"/>
        <v>982.2</v>
      </c>
      <c r="L459" s="63">
        <f t="shared" si="271"/>
        <v>780.9</v>
      </c>
      <c r="M459" s="7">
        <f t="shared" si="235"/>
        <v>79.50519242516798</v>
      </c>
    </row>
    <row r="460" spans="1:13" ht="15.75">
      <c r="A460" s="31" t="s">
        <v>608</v>
      </c>
      <c r="B460" s="42" t="s">
        <v>273</v>
      </c>
      <c r="C460" s="42" t="s">
        <v>273</v>
      </c>
      <c r="D460" s="42" t="s">
        <v>611</v>
      </c>
      <c r="E460" s="42" t="s">
        <v>177</v>
      </c>
      <c r="F460" s="63" t="e">
        <f>#REF!</f>
        <v>#REF!</v>
      </c>
      <c r="G460" s="63" t="e">
        <f>#REF!</f>
        <v>#REF!</v>
      </c>
      <c r="H460" s="63" t="e">
        <f>#REF!</f>
        <v>#REF!</v>
      </c>
      <c r="I460" s="63" t="e">
        <f>#REF!</f>
        <v>#REF!</v>
      </c>
      <c r="J460" s="63" t="e">
        <f>#REF!</f>
        <v>#REF!</v>
      </c>
      <c r="K460" s="63">
        <f>'Прил.№4 ведомств.'!G1210</f>
        <v>982.2</v>
      </c>
      <c r="L460" s="63">
        <f>'Прил.№4 ведомств.'!H1210</f>
        <v>780.9</v>
      </c>
      <c r="M460" s="7">
        <f t="shared" si="235"/>
        <v>79.50519242516798</v>
      </c>
    </row>
    <row r="461" spans="1:13" ht="31.5">
      <c r="A461" s="26" t="s">
        <v>379</v>
      </c>
      <c r="B461" s="42" t="s">
        <v>273</v>
      </c>
      <c r="C461" s="42" t="s">
        <v>273</v>
      </c>
      <c r="D461" s="42" t="s">
        <v>380</v>
      </c>
      <c r="E461" s="42"/>
      <c r="F461" s="7" t="e">
        <f aca="true" t="shared" si="272" ref="F461:K461">F462+F464</f>
        <v>#REF!</v>
      </c>
      <c r="G461" s="7" t="e">
        <f t="shared" si="272"/>
        <v>#REF!</v>
      </c>
      <c r="H461" s="7" t="e">
        <f t="shared" si="272"/>
        <v>#REF!</v>
      </c>
      <c r="I461" s="7" t="e">
        <f t="shared" si="272"/>
        <v>#REF!</v>
      </c>
      <c r="J461" s="7" t="e">
        <f t="shared" si="272"/>
        <v>#REF!</v>
      </c>
      <c r="K461" s="7">
        <f t="shared" si="272"/>
        <v>7773.6</v>
      </c>
      <c r="L461" s="7">
        <f aca="true" t="shared" si="273" ref="L461">L462+L464</f>
        <v>6666.7</v>
      </c>
      <c r="M461" s="7">
        <f t="shared" si="235"/>
        <v>85.76078007615519</v>
      </c>
    </row>
    <row r="462" spans="1:13" ht="78.75">
      <c r="A462" s="31" t="s">
        <v>166</v>
      </c>
      <c r="B462" s="42" t="s">
        <v>273</v>
      </c>
      <c r="C462" s="42" t="s">
        <v>273</v>
      </c>
      <c r="D462" s="42" t="s">
        <v>380</v>
      </c>
      <c r="E462" s="42" t="s">
        <v>167</v>
      </c>
      <c r="F462" s="63" t="e">
        <f aca="true" t="shared" si="274" ref="F462:L462">F463</f>
        <v>#REF!</v>
      </c>
      <c r="G462" s="63" t="e">
        <f t="shared" si="274"/>
        <v>#REF!</v>
      </c>
      <c r="H462" s="63" t="e">
        <f t="shared" si="274"/>
        <v>#REF!</v>
      </c>
      <c r="I462" s="63" t="e">
        <f t="shared" si="274"/>
        <v>#REF!</v>
      </c>
      <c r="J462" s="63" t="e">
        <f t="shared" si="274"/>
        <v>#REF!</v>
      </c>
      <c r="K462" s="63">
        <f t="shared" si="274"/>
        <v>5981.400000000001</v>
      </c>
      <c r="L462" s="63">
        <f t="shared" si="274"/>
        <v>5714.3</v>
      </c>
      <c r="M462" s="7">
        <f aca="true" t="shared" si="275" ref="M462:M525">L462/K462*100</f>
        <v>95.534490253118</v>
      </c>
    </row>
    <row r="463" spans="1:13" ht="31.5">
      <c r="A463" s="48" t="s">
        <v>381</v>
      </c>
      <c r="B463" s="42" t="s">
        <v>273</v>
      </c>
      <c r="C463" s="42" t="s">
        <v>273</v>
      </c>
      <c r="D463" s="42" t="s">
        <v>380</v>
      </c>
      <c r="E463" s="42" t="s">
        <v>248</v>
      </c>
      <c r="F463" s="63" t="e">
        <f>#REF!</f>
        <v>#REF!</v>
      </c>
      <c r="G463" s="63" t="e">
        <f>#REF!</f>
        <v>#REF!</v>
      </c>
      <c r="H463" s="63" t="e">
        <f>#REF!</f>
        <v>#REF!</v>
      </c>
      <c r="I463" s="63" t="e">
        <f>#REF!</f>
        <v>#REF!</v>
      </c>
      <c r="J463" s="63" t="e">
        <f>#REF!</f>
        <v>#REF!</v>
      </c>
      <c r="K463" s="63">
        <f>'Прил.№4 ведомств.'!G1213</f>
        <v>5981.400000000001</v>
      </c>
      <c r="L463" s="63">
        <f>'Прил.№4 ведомств.'!H1213</f>
        <v>5714.3</v>
      </c>
      <c r="M463" s="7">
        <f t="shared" si="275"/>
        <v>95.534490253118</v>
      </c>
    </row>
    <row r="464" spans="1:13" ht="31.5">
      <c r="A464" s="31" t="s">
        <v>170</v>
      </c>
      <c r="B464" s="42" t="s">
        <v>273</v>
      </c>
      <c r="C464" s="42" t="s">
        <v>273</v>
      </c>
      <c r="D464" s="42" t="s">
        <v>380</v>
      </c>
      <c r="E464" s="42" t="s">
        <v>171</v>
      </c>
      <c r="F464" s="63" t="e">
        <f aca="true" t="shared" si="276" ref="F464:L464">F465</f>
        <v>#REF!</v>
      </c>
      <c r="G464" s="63" t="e">
        <f t="shared" si="276"/>
        <v>#REF!</v>
      </c>
      <c r="H464" s="63" t="e">
        <f t="shared" si="276"/>
        <v>#REF!</v>
      </c>
      <c r="I464" s="63" t="e">
        <f t="shared" si="276"/>
        <v>#REF!</v>
      </c>
      <c r="J464" s="63" t="e">
        <f t="shared" si="276"/>
        <v>#REF!</v>
      </c>
      <c r="K464" s="63">
        <f t="shared" si="276"/>
        <v>1792.2</v>
      </c>
      <c r="L464" s="63">
        <f t="shared" si="276"/>
        <v>952.4</v>
      </c>
      <c r="M464" s="7">
        <f t="shared" si="275"/>
        <v>53.14139046981363</v>
      </c>
    </row>
    <row r="465" spans="1:13" ht="47.25">
      <c r="A465" s="31" t="s">
        <v>172</v>
      </c>
      <c r="B465" s="42" t="s">
        <v>273</v>
      </c>
      <c r="C465" s="42" t="s">
        <v>273</v>
      </c>
      <c r="D465" s="42" t="s">
        <v>380</v>
      </c>
      <c r="E465" s="42" t="s">
        <v>173</v>
      </c>
      <c r="F465" s="63" t="e">
        <f>#REF!</f>
        <v>#REF!</v>
      </c>
      <c r="G465" s="63" t="e">
        <f>#REF!</f>
        <v>#REF!</v>
      </c>
      <c r="H465" s="63" t="e">
        <f>#REF!</f>
        <v>#REF!</v>
      </c>
      <c r="I465" s="63" t="e">
        <f>#REF!</f>
        <v>#REF!</v>
      </c>
      <c r="J465" s="63" t="e">
        <f>#REF!</f>
        <v>#REF!</v>
      </c>
      <c r="K465" s="63">
        <f>'Прил.№4 ведомств.'!G1215</f>
        <v>1792.2</v>
      </c>
      <c r="L465" s="63">
        <f>'Прил.№4 ведомств.'!H1215</f>
        <v>952.4</v>
      </c>
      <c r="M465" s="7">
        <f t="shared" si="275"/>
        <v>53.14139046981363</v>
      </c>
    </row>
    <row r="466" spans="1:13" ht="31.5">
      <c r="A466" s="26" t="s">
        <v>1044</v>
      </c>
      <c r="B466" s="42" t="s">
        <v>273</v>
      </c>
      <c r="C466" s="42" t="s">
        <v>273</v>
      </c>
      <c r="D466" s="21" t="s">
        <v>1045</v>
      </c>
      <c r="E466" s="42"/>
      <c r="F466" s="63"/>
      <c r="G466" s="63"/>
      <c r="H466" s="63"/>
      <c r="I466" s="63"/>
      <c r="J466" s="63"/>
      <c r="K466" s="63">
        <f>K467</f>
        <v>6000</v>
      </c>
      <c r="L466" s="63">
        <f aca="true" t="shared" si="277" ref="L466:L467">L467</f>
        <v>6000</v>
      </c>
      <c r="M466" s="7">
        <f t="shared" si="275"/>
        <v>100</v>
      </c>
    </row>
    <row r="467" spans="1:13" ht="15.75">
      <c r="A467" s="26" t="s">
        <v>174</v>
      </c>
      <c r="B467" s="42" t="s">
        <v>273</v>
      </c>
      <c r="C467" s="42" t="s">
        <v>273</v>
      </c>
      <c r="D467" s="21" t="s">
        <v>1045</v>
      </c>
      <c r="E467" s="42" t="s">
        <v>184</v>
      </c>
      <c r="F467" s="63"/>
      <c r="G467" s="63"/>
      <c r="H467" s="63"/>
      <c r="I467" s="63"/>
      <c r="J467" s="63"/>
      <c r="K467" s="63">
        <f>K468</f>
        <v>6000</v>
      </c>
      <c r="L467" s="63">
        <f t="shared" si="277"/>
        <v>6000</v>
      </c>
      <c r="M467" s="7">
        <f t="shared" si="275"/>
        <v>100</v>
      </c>
    </row>
    <row r="468" spans="1:13" ht="47.25">
      <c r="A468" s="26" t="s">
        <v>223</v>
      </c>
      <c r="B468" s="42" t="s">
        <v>273</v>
      </c>
      <c r="C468" s="42" t="s">
        <v>273</v>
      </c>
      <c r="D468" s="21" t="s">
        <v>1045</v>
      </c>
      <c r="E468" s="42" t="s">
        <v>199</v>
      </c>
      <c r="F468" s="63"/>
      <c r="G468" s="63"/>
      <c r="H468" s="63"/>
      <c r="I468" s="63"/>
      <c r="J468" s="63"/>
      <c r="K468" s="63">
        <f>'Прил.№4 ведомств.'!G1218</f>
        <v>6000</v>
      </c>
      <c r="L468" s="63">
        <f>'Прил.№4 ведомств.'!H1218</f>
        <v>6000</v>
      </c>
      <c r="M468" s="7">
        <f t="shared" si="275"/>
        <v>100</v>
      </c>
    </row>
    <row r="469" spans="1:13" ht="15.75">
      <c r="A469" s="43" t="s">
        <v>302</v>
      </c>
      <c r="B469" s="8" t="s">
        <v>303</v>
      </c>
      <c r="C469" s="42"/>
      <c r="D469" s="42"/>
      <c r="E469" s="42"/>
      <c r="F469" s="4" t="e">
        <f aca="true" t="shared" si="278" ref="F469:K469">F470+F529+F715+F738+F618</f>
        <v>#REF!</v>
      </c>
      <c r="G469" s="4" t="e">
        <f t="shared" si="278"/>
        <v>#REF!</v>
      </c>
      <c r="H469" s="4" t="e">
        <f t="shared" si="278"/>
        <v>#REF!</v>
      </c>
      <c r="I469" s="4" t="e">
        <f t="shared" si="278"/>
        <v>#REF!</v>
      </c>
      <c r="J469" s="4" t="e">
        <f t="shared" si="278"/>
        <v>#REF!</v>
      </c>
      <c r="K469" s="4">
        <f t="shared" si="278"/>
        <v>317918.79999999993</v>
      </c>
      <c r="L469" s="4">
        <f aca="true" t="shared" si="279" ref="L469">L470+L529+L715+L738+L618</f>
        <v>251861.59999999998</v>
      </c>
      <c r="M469" s="4">
        <f t="shared" si="275"/>
        <v>79.22199001757683</v>
      </c>
    </row>
    <row r="470" spans="1:13" ht="15.75">
      <c r="A470" s="43" t="s">
        <v>444</v>
      </c>
      <c r="B470" s="8" t="s">
        <v>303</v>
      </c>
      <c r="C470" s="8" t="s">
        <v>157</v>
      </c>
      <c r="D470" s="8"/>
      <c r="E470" s="8"/>
      <c r="F470" s="4" t="e">
        <f>F471+F509</f>
        <v>#REF!</v>
      </c>
      <c r="G470" s="4" t="e">
        <f>G471+G509</f>
        <v>#REF!</v>
      </c>
      <c r="H470" s="4" t="e">
        <f>H471+H509</f>
        <v>#REF!</v>
      </c>
      <c r="I470" s="4" t="e">
        <f>I471+I509</f>
        <v>#REF!</v>
      </c>
      <c r="J470" s="4" t="e">
        <f>J471+J509</f>
        <v>#REF!</v>
      </c>
      <c r="K470" s="4">
        <f>K471+K509+K505+K501</f>
        <v>98625.7</v>
      </c>
      <c r="L470" s="4">
        <f aca="true" t="shared" si="280" ref="L470">L471+L509+L505+L501</f>
        <v>78070</v>
      </c>
      <c r="M470" s="4">
        <f t="shared" si="275"/>
        <v>79.15786656013594</v>
      </c>
    </row>
    <row r="471" spans="1:13" ht="47.25">
      <c r="A471" s="31" t="s">
        <v>466</v>
      </c>
      <c r="B471" s="42" t="s">
        <v>303</v>
      </c>
      <c r="C471" s="42" t="s">
        <v>157</v>
      </c>
      <c r="D471" s="42" t="s">
        <v>446</v>
      </c>
      <c r="E471" s="42"/>
      <c r="F471" s="7" t="e">
        <f aca="true" t="shared" si="281" ref="F471:K471">F472+F476</f>
        <v>#REF!</v>
      </c>
      <c r="G471" s="7" t="e">
        <f t="shared" si="281"/>
        <v>#REF!</v>
      </c>
      <c r="H471" s="7" t="e">
        <f t="shared" si="281"/>
        <v>#REF!</v>
      </c>
      <c r="I471" s="7" t="e">
        <f t="shared" si="281"/>
        <v>#REF!</v>
      </c>
      <c r="J471" s="7" t="e">
        <f t="shared" si="281"/>
        <v>#REF!</v>
      </c>
      <c r="K471" s="7">
        <f t="shared" si="281"/>
        <v>22293.000000000004</v>
      </c>
      <c r="L471" s="7">
        <f aca="true" t="shared" si="282" ref="L471">L472+L476</f>
        <v>16567.5</v>
      </c>
      <c r="M471" s="7">
        <f t="shared" si="275"/>
        <v>74.3170501951285</v>
      </c>
    </row>
    <row r="472" spans="1:13" ht="31.5">
      <c r="A472" s="31" t="s">
        <v>447</v>
      </c>
      <c r="B472" s="42" t="s">
        <v>303</v>
      </c>
      <c r="C472" s="42" t="s">
        <v>157</v>
      </c>
      <c r="D472" s="42" t="s">
        <v>448</v>
      </c>
      <c r="E472" s="42"/>
      <c r="F472" s="7" t="e">
        <f aca="true" t="shared" si="283" ref="F472:L472">F473</f>
        <v>#REF!</v>
      </c>
      <c r="G472" s="7" t="e">
        <f t="shared" si="283"/>
        <v>#REF!</v>
      </c>
      <c r="H472" s="7" t="e">
        <f t="shared" si="283"/>
        <v>#REF!</v>
      </c>
      <c r="I472" s="7" t="e">
        <f t="shared" si="283"/>
        <v>#REF!</v>
      </c>
      <c r="J472" s="7" t="e">
        <f t="shared" si="283"/>
        <v>#REF!</v>
      </c>
      <c r="K472" s="7">
        <f t="shared" si="283"/>
        <v>12145.500000000002</v>
      </c>
      <c r="L472" s="7">
        <f t="shared" si="283"/>
        <v>7974.9</v>
      </c>
      <c r="M472" s="7">
        <f t="shared" si="275"/>
        <v>65.66135605779917</v>
      </c>
    </row>
    <row r="473" spans="1:13" ht="47.25">
      <c r="A473" s="31" t="s">
        <v>449</v>
      </c>
      <c r="B473" s="42" t="s">
        <v>303</v>
      </c>
      <c r="C473" s="42" t="s">
        <v>157</v>
      </c>
      <c r="D473" s="42" t="s">
        <v>450</v>
      </c>
      <c r="E473" s="42"/>
      <c r="F473" s="7" t="e">
        <f aca="true" t="shared" si="284" ref="F473:L473">SUM(F474:F474)</f>
        <v>#REF!</v>
      </c>
      <c r="G473" s="7" t="e">
        <f t="shared" si="284"/>
        <v>#REF!</v>
      </c>
      <c r="H473" s="7" t="e">
        <f t="shared" si="284"/>
        <v>#REF!</v>
      </c>
      <c r="I473" s="7" t="e">
        <f t="shared" si="284"/>
        <v>#REF!</v>
      </c>
      <c r="J473" s="7" t="e">
        <f t="shared" si="284"/>
        <v>#REF!</v>
      </c>
      <c r="K473" s="7">
        <f t="shared" si="284"/>
        <v>12145.500000000002</v>
      </c>
      <c r="L473" s="7">
        <f t="shared" si="284"/>
        <v>7974.9</v>
      </c>
      <c r="M473" s="7">
        <f t="shared" si="275"/>
        <v>65.66135605779917</v>
      </c>
    </row>
    <row r="474" spans="1:13" ht="47.25">
      <c r="A474" s="31" t="s">
        <v>311</v>
      </c>
      <c r="B474" s="42" t="s">
        <v>303</v>
      </c>
      <c r="C474" s="42" t="s">
        <v>157</v>
      </c>
      <c r="D474" s="42" t="s">
        <v>450</v>
      </c>
      <c r="E474" s="42" t="s">
        <v>312</v>
      </c>
      <c r="F474" s="7" t="e">
        <f aca="true" t="shared" si="285" ref="F474:L474">F475</f>
        <v>#REF!</v>
      </c>
      <c r="G474" s="7" t="e">
        <f t="shared" si="285"/>
        <v>#REF!</v>
      </c>
      <c r="H474" s="7" t="e">
        <f t="shared" si="285"/>
        <v>#REF!</v>
      </c>
      <c r="I474" s="7" t="e">
        <f t="shared" si="285"/>
        <v>#REF!</v>
      </c>
      <c r="J474" s="7" t="e">
        <f t="shared" si="285"/>
        <v>#REF!</v>
      </c>
      <c r="K474" s="7">
        <f t="shared" si="285"/>
        <v>12145.500000000002</v>
      </c>
      <c r="L474" s="7">
        <f t="shared" si="285"/>
        <v>7974.9</v>
      </c>
      <c r="M474" s="7">
        <f t="shared" si="275"/>
        <v>65.66135605779917</v>
      </c>
    </row>
    <row r="475" spans="1:13" ht="15.75">
      <c r="A475" s="31" t="s">
        <v>313</v>
      </c>
      <c r="B475" s="42" t="s">
        <v>303</v>
      </c>
      <c r="C475" s="42" t="s">
        <v>157</v>
      </c>
      <c r="D475" s="42" t="s">
        <v>450</v>
      </c>
      <c r="E475" s="42" t="s">
        <v>314</v>
      </c>
      <c r="F475" s="63" t="e">
        <f>#REF!</f>
        <v>#REF!</v>
      </c>
      <c r="G475" s="63" t="e">
        <f>#REF!</f>
        <v>#REF!</v>
      </c>
      <c r="H475" s="63" t="e">
        <f>#REF!</f>
        <v>#REF!</v>
      </c>
      <c r="I475" s="63" t="e">
        <f>#REF!</f>
        <v>#REF!</v>
      </c>
      <c r="J475" s="63" t="e">
        <f>#REF!</f>
        <v>#REF!</v>
      </c>
      <c r="K475" s="63">
        <f>'Прил.№4 ведомств.'!G691</f>
        <v>12145.500000000002</v>
      </c>
      <c r="L475" s="63">
        <f>'Прил.№4 ведомств.'!H691</f>
        <v>7974.9</v>
      </c>
      <c r="M475" s="7">
        <f t="shared" si="275"/>
        <v>65.66135605779917</v>
      </c>
    </row>
    <row r="476" spans="1:13" ht="31.5">
      <c r="A476" s="31" t="s">
        <v>451</v>
      </c>
      <c r="B476" s="42" t="s">
        <v>303</v>
      </c>
      <c r="C476" s="42" t="s">
        <v>157</v>
      </c>
      <c r="D476" s="42" t="s">
        <v>452</v>
      </c>
      <c r="E476" s="42"/>
      <c r="F476" s="7" t="e">
        <f>F477+F480+F483+F489+F486+F492+F495</f>
        <v>#REF!</v>
      </c>
      <c r="G476" s="7" t="e">
        <f>G477+G480+G483+G489+G486+G492+G495</f>
        <v>#REF!</v>
      </c>
      <c r="H476" s="7" t="e">
        <f>H477+H480+H483+H489+H486+H492+H495</f>
        <v>#REF!</v>
      </c>
      <c r="I476" s="7" t="e">
        <f>I477+I480+I483+I489+I486+I492+I495</f>
        <v>#REF!</v>
      </c>
      <c r="J476" s="7" t="e">
        <f>J477+J480+J483+J489+J486+J492+J495</f>
        <v>#REF!</v>
      </c>
      <c r="K476" s="7">
        <f>K477+K480+K483+K489+K486+K492+K495+K498</f>
        <v>10147.500000000002</v>
      </c>
      <c r="L476" s="7">
        <f aca="true" t="shared" si="286" ref="L476">L477+L480+L483+L489+L486+L492+L495+L498</f>
        <v>8592.6</v>
      </c>
      <c r="M476" s="7">
        <f t="shared" si="275"/>
        <v>84.6770140428677</v>
      </c>
    </row>
    <row r="477" spans="1:13" ht="47.25" customHeight="1" hidden="1">
      <c r="A477" s="31" t="s">
        <v>644</v>
      </c>
      <c r="B477" s="42" t="s">
        <v>303</v>
      </c>
      <c r="C477" s="42" t="s">
        <v>157</v>
      </c>
      <c r="D477" s="42" t="s">
        <v>645</v>
      </c>
      <c r="E477" s="42"/>
      <c r="F477" s="7">
        <f>F478</f>
        <v>0</v>
      </c>
      <c r="G477" s="7">
        <f aca="true" t="shared" si="287" ref="G477:L478">G478</f>
        <v>0</v>
      </c>
      <c r="H477" s="7">
        <f t="shared" si="287"/>
        <v>0</v>
      </c>
      <c r="I477" s="7">
        <f t="shared" si="287"/>
        <v>0</v>
      </c>
      <c r="J477" s="7">
        <f t="shared" si="287"/>
        <v>0</v>
      </c>
      <c r="K477" s="7">
        <f t="shared" si="287"/>
        <v>0</v>
      </c>
      <c r="L477" s="7">
        <f t="shared" si="287"/>
        <v>0</v>
      </c>
      <c r="M477" s="7" t="e">
        <f t="shared" si="275"/>
        <v>#DIV/0!</v>
      </c>
    </row>
    <row r="478" spans="1:13" ht="47.25" customHeight="1" hidden="1">
      <c r="A478" s="31" t="s">
        <v>311</v>
      </c>
      <c r="B478" s="42" t="s">
        <v>303</v>
      </c>
      <c r="C478" s="42" t="s">
        <v>157</v>
      </c>
      <c r="D478" s="42" t="s">
        <v>645</v>
      </c>
      <c r="E478" s="42" t="s">
        <v>312</v>
      </c>
      <c r="F478" s="7">
        <f>F479</f>
        <v>0</v>
      </c>
      <c r="G478" s="7">
        <f t="shared" si="287"/>
        <v>0</v>
      </c>
      <c r="H478" s="7">
        <f t="shared" si="287"/>
        <v>0</v>
      </c>
      <c r="I478" s="7">
        <f t="shared" si="287"/>
        <v>0</v>
      </c>
      <c r="J478" s="7">
        <f t="shared" si="287"/>
        <v>0</v>
      </c>
      <c r="K478" s="7">
        <f t="shared" si="287"/>
        <v>0</v>
      </c>
      <c r="L478" s="7">
        <f t="shared" si="287"/>
        <v>0</v>
      </c>
      <c r="M478" s="7" t="e">
        <f t="shared" si="275"/>
        <v>#DIV/0!</v>
      </c>
    </row>
    <row r="479" spans="1:13" ht="15.75" customHeight="1" hidden="1">
      <c r="A479" s="31" t="s">
        <v>313</v>
      </c>
      <c r="B479" s="42" t="s">
        <v>303</v>
      </c>
      <c r="C479" s="42" t="s">
        <v>157</v>
      </c>
      <c r="D479" s="42" t="s">
        <v>645</v>
      </c>
      <c r="E479" s="42" t="s">
        <v>314</v>
      </c>
      <c r="F479" s="7"/>
      <c r="G479" s="7"/>
      <c r="H479" s="7"/>
      <c r="I479" s="7"/>
      <c r="J479" s="7"/>
      <c r="K479" s="7"/>
      <c r="L479" s="7"/>
      <c r="M479" s="7" t="e">
        <f t="shared" si="275"/>
        <v>#DIV/0!</v>
      </c>
    </row>
    <row r="480" spans="1:13" ht="31.5" customHeight="1">
      <c r="A480" s="31" t="s">
        <v>317</v>
      </c>
      <c r="B480" s="42" t="s">
        <v>303</v>
      </c>
      <c r="C480" s="42" t="s">
        <v>157</v>
      </c>
      <c r="D480" s="42" t="s">
        <v>453</v>
      </c>
      <c r="E480" s="42"/>
      <c r="F480" s="7" t="e">
        <f>F481</f>
        <v>#REF!</v>
      </c>
      <c r="G480" s="7" t="e">
        <f aca="true" t="shared" si="288" ref="G480:L481">G481</f>
        <v>#REF!</v>
      </c>
      <c r="H480" s="7" t="e">
        <f t="shared" si="288"/>
        <v>#REF!</v>
      </c>
      <c r="I480" s="7" t="e">
        <f t="shared" si="288"/>
        <v>#REF!</v>
      </c>
      <c r="J480" s="7" t="e">
        <f t="shared" si="288"/>
        <v>#REF!</v>
      </c>
      <c r="K480" s="7">
        <f t="shared" si="288"/>
        <v>503.8</v>
      </c>
      <c r="L480" s="7">
        <f t="shared" si="288"/>
        <v>303.8</v>
      </c>
      <c r="M480" s="7">
        <f t="shared" si="275"/>
        <v>60.30170702659786</v>
      </c>
    </row>
    <row r="481" spans="1:13" ht="47.25" customHeight="1">
      <c r="A481" s="31" t="s">
        <v>311</v>
      </c>
      <c r="B481" s="42" t="s">
        <v>303</v>
      </c>
      <c r="C481" s="42" t="s">
        <v>157</v>
      </c>
      <c r="D481" s="42" t="s">
        <v>453</v>
      </c>
      <c r="E481" s="42" t="s">
        <v>312</v>
      </c>
      <c r="F481" s="7" t="e">
        <f>F482</f>
        <v>#REF!</v>
      </c>
      <c r="G481" s="7" t="e">
        <f t="shared" si="288"/>
        <v>#REF!</v>
      </c>
      <c r="H481" s="7" t="e">
        <f t="shared" si="288"/>
        <v>#REF!</v>
      </c>
      <c r="I481" s="7" t="e">
        <f t="shared" si="288"/>
        <v>#REF!</v>
      </c>
      <c r="J481" s="7" t="e">
        <f t="shared" si="288"/>
        <v>#REF!</v>
      </c>
      <c r="K481" s="7">
        <f t="shared" si="288"/>
        <v>503.8</v>
      </c>
      <c r="L481" s="7">
        <f t="shared" si="288"/>
        <v>303.8</v>
      </c>
      <c r="M481" s="7">
        <f t="shared" si="275"/>
        <v>60.30170702659786</v>
      </c>
    </row>
    <row r="482" spans="1:13" ht="15.75" customHeight="1">
      <c r="A482" s="31" t="s">
        <v>313</v>
      </c>
      <c r="B482" s="42" t="s">
        <v>303</v>
      </c>
      <c r="C482" s="42" t="s">
        <v>157</v>
      </c>
      <c r="D482" s="42" t="s">
        <v>453</v>
      </c>
      <c r="E482" s="42" t="s">
        <v>314</v>
      </c>
      <c r="F482" s="7" t="e">
        <f>#REF!</f>
        <v>#REF!</v>
      </c>
      <c r="G482" s="7" t="e">
        <f>#REF!</f>
        <v>#REF!</v>
      </c>
      <c r="H482" s="7" t="e">
        <f>#REF!</f>
        <v>#REF!</v>
      </c>
      <c r="I482" s="7" t="e">
        <f>#REF!</f>
        <v>#REF!</v>
      </c>
      <c r="J482" s="7" t="e">
        <f>#REF!</f>
        <v>#REF!</v>
      </c>
      <c r="K482" s="7">
        <f>'Прил.№4 ведомств.'!G695</f>
        <v>503.8</v>
      </c>
      <c r="L482" s="7">
        <f>'Прил.№4 ведомств.'!H695</f>
        <v>303.8</v>
      </c>
      <c r="M482" s="7">
        <f t="shared" si="275"/>
        <v>60.30170702659786</v>
      </c>
    </row>
    <row r="483" spans="1:13" ht="31.5">
      <c r="A483" s="31" t="s">
        <v>319</v>
      </c>
      <c r="B483" s="42" t="s">
        <v>303</v>
      </c>
      <c r="C483" s="42" t="s">
        <v>157</v>
      </c>
      <c r="D483" s="42" t="s">
        <v>454</v>
      </c>
      <c r="E483" s="42"/>
      <c r="F483" s="7" t="e">
        <f>F484</f>
        <v>#REF!</v>
      </c>
      <c r="G483" s="7" t="e">
        <f aca="true" t="shared" si="289" ref="G483:L484">G484</f>
        <v>#REF!</v>
      </c>
      <c r="H483" s="7" t="e">
        <f t="shared" si="289"/>
        <v>#REF!</v>
      </c>
      <c r="I483" s="7" t="e">
        <f t="shared" si="289"/>
        <v>#REF!</v>
      </c>
      <c r="J483" s="7" t="e">
        <f t="shared" si="289"/>
        <v>#REF!</v>
      </c>
      <c r="K483" s="7">
        <f t="shared" si="289"/>
        <v>240.8</v>
      </c>
      <c r="L483" s="7">
        <f t="shared" si="289"/>
        <v>240.8</v>
      </c>
      <c r="M483" s="7">
        <f t="shared" si="275"/>
        <v>100</v>
      </c>
    </row>
    <row r="484" spans="1:13" ht="47.25">
      <c r="A484" s="31" t="s">
        <v>311</v>
      </c>
      <c r="B484" s="42" t="s">
        <v>303</v>
      </c>
      <c r="C484" s="42" t="s">
        <v>157</v>
      </c>
      <c r="D484" s="42" t="s">
        <v>454</v>
      </c>
      <c r="E484" s="42" t="s">
        <v>312</v>
      </c>
      <c r="F484" s="7" t="e">
        <f>F485</f>
        <v>#REF!</v>
      </c>
      <c r="G484" s="7" t="e">
        <f t="shared" si="289"/>
        <v>#REF!</v>
      </c>
      <c r="H484" s="7" t="e">
        <f t="shared" si="289"/>
        <v>#REF!</v>
      </c>
      <c r="I484" s="7" t="e">
        <f t="shared" si="289"/>
        <v>#REF!</v>
      </c>
      <c r="J484" s="7" t="e">
        <f t="shared" si="289"/>
        <v>#REF!</v>
      </c>
      <c r="K484" s="7">
        <f t="shared" si="289"/>
        <v>240.8</v>
      </c>
      <c r="L484" s="7">
        <f t="shared" si="289"/>
        <v>240.8</v>
      </c>
      <c r="M484" s="7">
        <f t="shared" si="275"/>
        <v>100</v>
      </c>
    </row>
    <row r="485" spans="1:13" ht="15.75">
      <c r="A485" s="31" t="s">
        <v>313</v>
      </c>
      <c r="B485" s="42" t="s">
        <v>303</v>
      </c>
      <c r="C485" s="42" t="s">
        <v>157</v>
      </c>
      <c r="D485" s="42" t="s">
        <v>454</v>
      </c>
      <c r="E485" s="42" t="s">
        <v>314</v>
      </c>
      <c r="F485" s="7" t="e">
        <f>#REF!</f>
        <v>#REF!</v>
      </c>
      <c r="G485" s="7" t="e">
        <f>#REF!</f>
        <v>#REF!</v>
      </c>
      <c r="H485" s="7" t="e">
        <f>#REF!</f>
        <v>#REF!</v>
      </c>
      <c r="I485" s="7" t="e">
        <f>#REF!</f>
        <v>#REF!</v>
      </c>
      <c r="J485" s="7" t="e">
        <f>#REF!</f>
        <v>#REF!</v>
      </c>
      <c r="K485" s="7">
        <f>'Прил.№4 ведомств.'!G698</f>
        <v>240.8</v>
      </c>
      <c r="L485" s="7">
        <f>'Прил.№4 ведомств.'!H698</f>
        <v>240.8</v>
      </c>
      <c r="M485" s="7">
        <f t="shared" si="275"/>
        <v>100</v>
      </c>
    </row>
    <row r="486" spans="1:13" ht="47.25">
      <c r="A486" s="31" t="s">
        <v>455</v>
      </c>
      <c r="B486" s="42" t="s">
        <v>303</v>
      </c>
      <c r="C486" s="42" t="s">
        <v>157</v>
      </c>
      <c r="D486" s="42" t="s">
        <v>456</v>
      </c>
      <c r="E486" s="42"/>
      <c r="F486" s="7" t="e">
        <f>F487</f>
        <v>#REF!</v>
      </c>
      <c r="G486" s="7" t="e">
        <f aca="true" t="shared" si="290" ref="G486:L487">G487</f>
        <v>#REF!</v>
      </c>
      <c r="H486" s="7" t="e">
        <f t="shared" si="290"/>
        <v>#REF!</v>
      </c>
      <c r="I486" s="7" t="e">
        <f t="shared" si="290"/>
        <v>#REF!</v>
      </c>
      <c r="J486" s="7" t="e">
        <f t="shared" si="290"/>
        <v>#REF!</v>
      </c>
      <c r="K486" s="7">
        <f t="shared" si="290"/>
        <v>5168.8</v>
      </c>
      <c r="L486" s="7">
        <f t="shared" si="290"/>
        <v>3940</v>
      </c>
      <c r="M486" s="7">
        <f t="shared" si="275"/>
        <v>76.22659031109735</v>
      </c>
    </row>
    <row r="487" spans="1:13" ht="47.25">
      <c r="A487" s="31" t="s">
        <v>311</v>
      </c>
      <c r="B487" s="42" t="s">
        <v>303</v>
      </c>
      <c r="C487" s="42" t="s">
        <v>157</v>
      </c>
      <c r="D487" s="42" t="s">
        <v>456</v>
      </c>
      <c r="E487" s="42" t="s">
        <v>312</v>
      </c>
      <c r="F487" s="7" t="e">
        <f>F488</f>
        <v>#REF!</v>
      </c>
      <c r="G487" s="7" t="e">
        <f t="shared" si="290"/>
        <v>#REF!</v>
      </c>
      <c r="H487" s="7" t="e">
        <f t="shared" si="290"/>
        <v>#REF!</v>
      </c>
      <c r="I487" s="7" t="e">
        <f t="shared" si="290"/>
        <v>#REF!</v>
      </c>
      <c r="J487" s="7" t="e">
        <f t="shared" si="290"/>
        <v>#REF!</v>
      </c>
      <c r="K487" s="7">
        <f t="shared" si="290"/>
        <v>5168.8</v>
      </c>
      <c r="L487" s="7">
        <f t="shared" si="290"/>
        <v>3940</v>
      </c>
      <c r="M487" s="7">
        <f t="shared" si="275"/>
        <v>76.22659031109735</v>
      </c>
    </row>
    <row r="488" spans="1:13" ht="15.75">
      <c r="A488" s="31" t="s">
        <v>313</v>
      </c>
      <c r="B488" s="42" t="s">
        <v>303</v>
      </c>
      <c r="C488" s="42" t="s">
        <v>157</v>
      </c>
      <c r="D488" s="42" t="s">
        <v>456</v>
      </c>
      <c r="E488" s="42" t="s">
        <v>314</v>
      </c>
      <c r="F488" s="7" t="e">
        <f>#REF!</f>
        <v>#REF!</v>
      </c>
      <c r="G488" s="7" t="e">
        <f>#REF!</f>
        <v>#REF!</v>
      </c>
      <c r="H488" s="7" t="e">
        <f>#REF!</f>
        <v>#REF!</v>
      </c>
      <c r="I488" s="7" t="e">
        <f>#REF!</f>
        <v>#REF!</v>
      </c>
      <c r="J488" s="7" t="e">
        <f>#REF!</f>
        <v>#REF!</v>
      </c>
      <c r="K488" s="7">
        <f>'Прил.№4 ведомств.'!G701</f>
        <v>5168.8</v>
      </c>
      <c r="L488" s="7">
        <f>'Прил.№4 ведомств.'!H701</f>
        <v>3940</v>
      </c>
      <c r="M488" s="7">
        <f t="shared" si="275"/>
        <v>76.22659031109735</v>
      </c>
    </row>
    <row r="489" spans="1:13" ht="31.5" customHeight="1" hidden="1">
      <c r="A489" s="31" t="s">
        <v>323</v>
      </c>
      <c r="B489" s="42" t="s">
        <v>303</v>
      </c>
      <c r="C489" s="42" t="s">
        <v>157</v>
      </c>
      <c r="D489" s="42" t="s">
        <v>457</v>
      </c>
      <c r="E489" s="42"/>
      <c r="F489" s="7" t="e">
        <f>F490</f>
        <v>#REF!</v>
      </c>
      <c r="G489" s="7" t="e">
        <f aca="true" t="shared" si="291" ref="G489:L490">G490</f>
        <v>#REF!</v>
      </c>
      <c r="H489" s="7" t="e">
        <f t="shared" si="291"/>
        <v>#REF!</v>
      </c>
      <c r="I489" s="7" t="e">
        <f t="shared" si="291"/>
        <v>#REF!</v>
      </c>
      <c r="J489" s="7" t="e">
        <f t="shared" si="291"/>
        <v>#REF!</v>
      </c>
      <c r="K489" s="7">
        <f t="shared" si="291"/>
        <v>0</v>
      </c>
      <c r="L489" s="7">
        <f t="shared" si="291"/>
        <v>0</v>
      </c>
      <c r="M489" s="7" t="e">
        <f t="shared" si="275"/>
        <v>#DIV/0!</v>
      </c>
    </row>
    <row r="490" spans="1:13" ht="47.25" customHeight="1" hidden="1">
      <c r="A490" s="31" t="s">
        <v>311</v>
      </c>
      <c r="B490" s="42" t="s">
        <v>303</v>
      </c>
      <c r="C490" s="42" t="s">
        <v>157</v>
      </c>
      <c r="D490" s="42" t="s">
        <v>457</v>
      </c>
      <c r="E490" s="42" t="s">
        <v>312</v>
      </c>
      <c r="F490" s="7" t="e">
        <f>F491</f>
        <v>#REF!</v>
      </c>
      <c r="G490" s="7" t="e">
        <f t="shared" si="291"/>
        <v>#REF!</v>
      </c>
      <c r="H490" s="7" t="e">
        <f t="shared" si="291"/>
        <v>#REF!</v>
      </c>
      <c r="I490" s="7" t="e">
        <f t="shared" si="291"/>
        <v>#REF!</v>
      </c>
      <c r="J490" s="7" t="e">
        <f t="shared" si="291"/>
        <v>#REF!</v>
      </c>
      <c r="K490" s="7">
        <f t="shared" si="291"/>
        <v>0</v>
      </c>
      <c r="L490" s="7">
        <f t="shared" si="291"/>
        <v>0</v>
      </c>
      <c r="M490" s="7" t="e">
        <f t="shared" si="275"/>
        <v>#DIV/0!</v>
      </c>
    </row>
    <row r="491" spans="1:13" ht="15.75" customHeight="1" hidden="1">
      <c r="A491" s="31" t="s">
        <v>313</v>
      </c>
      <c r="B491" s="42" t="s">
        <v>303</v>
      </c>
      <c r="C491" s="42" t="s">
        <v>157</v>
      </c>
      <c r="D491" s="42" t="s">
        <v>457</v>
      </c>
      <c r="E491" s="42" t="s">
        <v>314</v>
      </c>
      <c r="F491" s="7" t="e">
        <f>#REF!</f>
        <v>#REF!</v>
      </c>
      <c r="G491" s="7" t="e">
        <f>#REF!</f>
        <v>#REF!</v>
      </c>
      <c r="H491" s="7" t="e">
        <f>#REF!</f>
        <v>#REF!</v>
      </c>
      <c r="I491" s="7" t="e">
        <f>#REF!</f>
        <v>#REF!</v>
      </c>
      <c r="J491" s="7" t="e">
        <f>#REF!</f>
        <v>#REF!</v>
      </c>
      <c r="K491" s="7">
        <f>'Прил.№4 ведомств.'!G704</f>
        <v>0</v>
      </c>
      <c r="L491" s="7">
        <f>'Прил.№4 ведомств.'!H704</f>
        <v>0</v>
      </c>
      <c r="M491" s="7" t="e">
        <f t="shared" si="275"/>
        <v>#DIV/0!</v>
      </c>
    </row>
    <row r="492" spans="1:13" ht="42" customHeight="1">
      <c r="A492" s="70" t="s">
        <v>837</v>
      </c>
      <c r="B492" s="21" t="s">
        <v>303</v>
      </c>
      <c r="C492" s="21" t="s">
        <v>157</v>
      </c>
      <c r="D492" s="21" t="s">
        <v>840</v>
      </c>
      <c r="E492" s="21"/>
      <c r="F492" s="7" t="e">
        <f>F493</f>
        <v>#REF!</v>
      </c>
      <c r="G492" s="7" t="e">
        <f aca="true" t="shared" si="292" ref="G492:L493">G493</f>
        <v>#REF!</v>
      </c>
      <c r="H492" s="7" t="e">
        <f t="shared" si="292"/>
        <v>#REF!</v>
      </c>
      <c r="I492" s="7" t="e">
        <f t="shared" si="292"/>
        <v>#REF!</v>
      </c>
      <c r="J492" s="7" t="e">
        <f t="shared" si="292"/>
        <v>#REF!</v>
      </c>
      <c r="K492" s="7">
        <f t="shared" si="292"/>
        <v>2850</v>
      </c>
      <c r="L492" s="7">
        <f t="shared" si="292"/>
        <v>2735</v>
      </c>
      <c r="M492" s="7">
        <f t="shared" si="275"/>
        <v>95.96491228070175</v>
      </c>
    </row>
    <row r="493" spans="1:13" ht="46.5" customHeight="1">
      <c r="A493" s="31" t="s">
        <v>311</v>
      </c>
      <c r="B493" s="21" t="s">
        <v>303</v>
      </c>
      <c r="C493" s="21" t="s">
        <v>157</v>
      </c>
      <c r="D493" s="21" t="s">
        <v>840</v>
      </c>
      <c r="E493" s="21" t="s">
        <v>312</v>
      </c>
      <c r="F493" s="7" t="e">
        <f>F494</f>
        <v>#REF!</v>
      </c>
      <c r="G493" s="7" t="e">
        <f t="shared" si="292"/>
        <v>#REF!</v>
      </c>
      <c r="H493" s="7" t="e">
        <f t="shared" si="292"/>
        <v>#REF!</v>
      </c>
      <c r="I493" s="7" t="e">
        <f t="shared" si="292"/>
        <v>#REF!</v>
      </c>
      <c r="J493" s="7" t="e">
        <f t="shared" si="292"/>
        <v>#REF!</v>
      </c>
      <c r="K493" s="7">
        <f t="shared" si="292"/>
        <v>2850</v>
      </c>
      <c r="L493" s="7">
        <f t="shared" si="292"/>
        <v>2735</v>
      </c>
      <c r="M493" s="7">
        <f t="shared" si="275"/>
        <v>95.96491228070175</v>
      </c>
    </row>
    <row r="494" spans="1:13" ht="15.75" customHeight="1">
      <c r="A494" s="242" t="s">
        <v>313</v>
      </c>
      <c r="B494" s="21" t="s">
        <v>303</v>
      </c>
      <c r="C494" s="21" t="s">
        <v>157</v>
      </c>
      <c r="D494" s="21" t="s">
        <v>840</v>
      </c>
      <c r="E494" s="21" t="s">
        <v>314</v>
      </c>
      <c r="F494" s="7" t="e">
        <f>#REF!</f>
        <v>#REF!</v>
      </c>
      <c r="G494" s="7" t="e">
        <f>#REF!</f>
        <v>#REF!</v>
      </c>
      <c r="H494" s="7" t="e">
        <f>#REF!</f>
        <v>#REF!</v>
      </c>
      <c r="I494" s="7" t="e">
        <f>#REF!</f>
        <v>#REF!</v>
      </c>
      <c r="J494" s="7" t="e">
        <f>#REF!</f>
        <v>#REF!</v>
      </c>
      <c r="K494" s="7">
        <f>'Прил.№4 ведомств.'!G707</f>
        <v>2850</v>
      </c>
      <c r="L494" s="7">
        <f>'Прил.№4 ведомств.'!H707</f>
        <v>2735</v>
      </c>
      <c r="M494" s="7">
        <f t="shared" si="275"/>
        <v>95.96491228070175</v>
      </c>
    </row>
    <row r="495" spans="1:13" ht="48.75" customHeight="1">
      <c r="A495" s="70" t="s">
        <v>846</v>
      </c>
      <c r="B495" s="21" t="s">
        <v>303</v>
      </c>
      <c r="C495" s="21" t="s">
        <v>157</v>
      </c>
      <c r="D495" s="21" t="s">
        <v>841</v>
      </c>
      <c r="E495" s="21"/>
      <c r="F495" s="7" t="e">
        <f>F496</f>
        <v>#REF!</v>
      </c>
      <c r="G495" s="7" t="e">
        <f aca="true" t="shared" si="293" ref="G495:L496">G496</f>
        <v>#REF!</v>
      </c>
      <c r="H495" s="7" t="e">
        <f t="shared" si="293"/>
        <v>#REF!</v>
      </c>
      <c r="I495" s="7" t="e">
        <f t="shared" si="293"/>
        <v>#REF!</v>
      </c>
      <c r="J495" s="7" t="e">
        <f t="shared" si="293"/>
        <v>#REF!</v>
      </c>
      <c r="K495" s="7">
        <f t="shared" si="293"/>
        <v>1259.6999999999998</v>
      </c>
      <c r="L495" s="7">
        <f t="shared" si="293"/>
        <v>1248.6</v>
      </c>
      <c r="M495" s="7">
        <f t="shared" si="275"/>
        <v>99.11883781852822</v>
      </c>
    </row>
    <row r="496" spans="1:13" ht="49.5" customHeight="1">
      <c r="A496" s="31" t="s">
        <v>311</v>
      </c>
      <c r="B496" s="21" t="s">
        <v>303</v>
      </c>
      <c r="C496" s="21" t="s">
        <v>157</v>
      </c>
      <c r="D496" s="21" t="s">
        <v>841</v>
      </c>
      <c r="E496" s="21" t="s">
        <v>312</v>
      </c>
      <c r="F496" s="7" t="e">
        <f>F497</f>
        <v>#REF!</v>
      </c>
      <c r="G496" s="7" t="e">
        <f t="shared" si="293"/>
        <v>#REF!</v>
      </c>
      <c r="H496" s="7" t="e">
        <f t="shared" si="293"/>
        <v>#REF!</v>
      </c>
      <c r="I496" s="7" t="e">
        <f t="shared" si="293"/>
        <v>#REF!</v>
      </c>
      <c r="J496" s="7" t="e">
        <f t="shared" si="293"/>
        <v>#REF!</v>
      </c>
      <c r="K496" s="7">
        <f t="shared" si="293"/>
        <v>1259.6999999999998</v>
      </c>
      <c r="L496" s="7">
        <f t="shared" si="293"/>
        <v>1248.6</v>
      </c>
      <c r="M496" s="7">
        <f t="shared" si="275"/>
        <v>99.11883781852822</v>
      </c>
    </row>
    <row r="497" spans="1:13" ht="15.75" customHeight="1">
      <c r="A497" s="242" t="s">
        <v>313</v>
      </c>
      <c r="B497" s="21" t="s">
        <v>303</v>
      </c>
      <c r="C497" s="21" t="s">
        <v>157</v>
      </c>
      <c r="D497" s="21" t="s">
        <v>841</v>
      </c>
      <c r="E497" s="21" t="s">
        <v>314</v>
      </c>
      <c r="F497" s="7" t="e">
        <f>#REF!</f>
        <v>#REF!</v>
      </c>
      <c r="G497" s="7" t="e">
        <f>#REF!</f>
        <v>#REF!</v>
      </c>
      <c r="H497" s="7" t="e">
        <f>#REF!</f>
        <v>#REF!</v>
      </c>
      <c r="I497" s="7" t="e">
        <f>#REF!</f>
        <v>#REF!</v>
      </c>
      <c r="J497" s="7" t="e">
        <f>#REF!</f>
        <v>#REF!</v>
      </c>
      <c r="K497" s="7">
        <f>'Прил.№4 ведомств.'!G710</f>
        <v>1259.6999999999998</v>
      </c>
      <c r="L497" s="7">
        <f>'Прил.№4 ведомств.'!H710</f>
        <v>1248.6</v>
      </c>
      <c r="M497" s="7">
        <f t="shared" si="275"/>
        <v>99.11883781852822</v>
      </c>
    </row>
    <row r="498" spans="1:13" ht="141.75">
      <c r="A498" s="26" t="s">
        <v>463</v>
      </c>
      <c r="B498" s="42" t="s">
        <v>303</v>
      </c>
      <c r="C498" s="42" t="s">
        <v>157</v>
      </c>
      <c r="D498" s="21" t="s">
        <v>978</v>
      </c>
      <c r="E498" s="21"/>
      <c r="F498" s="7"/>
      <c r="G498" s="7"/>
      <c r="H498" s="7"/>
      <c r="I498" s="7"/>
      <c r="J498" s="7"/>
      <c r="K498" s="7">
        <f>K499</f>
        <v>124.4</v>
      </c>
      <c r="L498" s="7">
        <f aca="true" t="shared" si="294" ref="L498:L499">L499</f>
        <v>124.4</v>
      </c>
      <c r="M498" s="7">
        <f t="shared" si="275"/>
        <v>100</v>
      </c>
    </row>
    <row r="499" spans="1:13" ht="47.25">
      <c r="A499" s="31" t="s">
        <v>311</v>
      </c>
      <c r="B499" s="42" t="s">
        <v>303</v>
      </c>
      <c r="C499" s="42" t="s">
        <v>157</v>
      </c>
      <c r="D499" s="21" t="s">
        <v>978</v>
      </c>
      <c r="E499" s="21" t="s">
        <v>312</v>
      </c>
      <c r="F499" s="7"/>
      <c r="G499" s="7"/>
      <c r="H499" s="7"/>
      <c r="I499" s="7"/>
      <c r="J499" s="7"/>
      <c r="K499" s="7">
        <f>K500</f>
        <v>124.4</v>
      </c>
      <c r="L499" s="7">
        <f t="shared" si="294"/>
        <v>124.4</v>
      </c>
      <c r="M499" s="7">
        <f t="shared" si="275"/>
        <v>100</v>
      </c>
    </row>
    <row r="500" spans="1:13" ht="15.75">
      <c r="A500" s="242" t="s">
        <v>313</v>
      </c>
      <c r="B500" s="42" t="s">
        <v>303</v>
      </c>
      <c r="C500" s="42" t="s">
        <v>157</v>
      </c>
      <c r="D500" s="21" t="s">
        <v>978</v>
      </c>
      <c r="E500" s="21" t="s">
        <v>314</v>
      </c>
      <c r="F500" s="7"/>
      <c r="G500" s="7"/>
      <c r="H500" s="7"/>
      <c r="I500" s="7"/>
      <c r="J500" s="7"/>
      <c r="K500" s="7">
        <f>'Прил.№4 ведомств.'!G713</f>
        <v>124.4</v>
      </c>
      <c r="L500" s="7">
        <f>'Прил.№4 ведомств.'!H713</f>
        <v>124.4</v>
      </c>
      <c r="M500" s="7">
        <f t="shared" si="275"/>
        <v>100</v>
      </c>
    </row>
    <row r="501" spans="1:13" ht="63">
      <c r="A501" s="33" t="s">
        <v>920</v>
      </c>
      <c r="B501" s="21" t="s">
        <v>303</v>
      </c>
      <c r="C501" s="21" t="s">
        <v>157</v>
      </c>
      <c r="D501" s="21" t="s">
        <v>363</v>
      </c>
      <c r="E501" s="21"/>
      <c r="F501" s="7"/>
      <c r="G501" s="7"/>
      <c r="H501" s="7"/>
      <c r="I501" s="7"/>
      <c r="J501" s="7"/>
      <c r="K501" s="7">
        <f>K502</f>
        <v>697</v>
      </c>
      <c r="L501" s="7">
        <f aca="true" t="shared" si="295" ref="L501:L503">L502</f>
        <v>0</v>
      </c>
      <c r="M501" s="7">
        <f t="shared" si="275"/>
        <v>0</v>
      </c>
    </row>
    <row r="502" spans="1:13" ht="47.25">
      <c r="A502" s="33" t="s">
        <v>364</v>
      </c>
      <c r="B502" s="21" t="s">
        <v>303</v>
      </c>
      <c r="C502" s="21" t="s">
        <v>157</v>
      </c>
      <c r="D502" s="21" t="s">
        <v>365</v>
      </c>
      <c r="E502" s="21"/>
      <c r="F502" s="7"/>
      <c r="G502" s="7"/>
      <c r="H502" s="7"/>
      <c r="I502" s="7"/>
      <c r="J502" s="7"/>
      <c r="K502" s="7">
        <f>K503</f>
        <v>697</v>
      </c>
      <c r="L502" s="7">
        <f t="shared" si="295"/>
        <v>0</v>
      </c>
      <c r="M502" s="7">
        <f t="shared" si="275"/>
        <v>0</v>
      </c>
    </row>
    <row r="503" spans="1:13" ht="47.25">
      <c r="A503" s="33" t="s">
        <v>311</v>
      </c>
      <c r="B503" s="21" t="s">
        <v>303</v>
      </c>
      <c r="C503" s="21" t="s">
        <v>157</v>
      </c>
      <c r="D503" s="21" t="s">
        <v>365</v>
      </c>
      <c r="E503" s="21" t="s">
        <v>312</v>
      </c>
      <c r="F503" s="7"/>
      <c r="G503" s="7"/>
      <c r="H503" s="7"/>
      <c r="I503" s="7"/>
      <c r="J503" s="7"/>
      <c r="K503" s="7">
        <f>K504</f>
        <v>697</v>
      </c>
      <c r="L503" s="7">
        <f t="shared" si="295"/>
        <v>0</v>
      </c>
      <c r="M503" s="7">
        <f t="shared" si="275"/>
        <v>0</v>
      </c>
    </row>
    <row r="504" spans="1:13" ht="15.75">
      <c r="A504" s="33" t="s">
        <v>313</v>
      </c>
      <c r="B504" s="21" t="s">
        <v>303</v>
      </c>
      <c r="C504" s="21" t="s">
        <v>157</v>
      </c>
      <c r="D504" s="21" t="s">
        <v>365</v>
      </c>
      <c r="E504" s="21" t="s">
        <v>314</v>
      </c>
      <c r="F504" s="7"/>
      <c r="G504" s="7"/>
      <c r="H504" s="7"/>
      <c r="I504" s="7"/>
      <c r="J504" s="7"/>
      <c r="K504" s="7">
        <f>'Прил.№4 ведомств.'!G717</f>
        <v>697</v>
      </c>
      <c r="L504" s="7">
        <f>'Прил.№4 ведомств.'!H717</f>
        <v>0</v>
      </c>
      <c r="M504" s="7">
        <f t="shared" si="275"/>
        <v>0</v>
      </c>
    </row>
    <row r="505" spans="1:13" ht="63">
      <c r="A505" s="31" t="s">
        <v>777</v>
      </c>
      <c r="B505" s="21" t="s">
        <v>303</v>
      </c>
      <c r="C505" s="21" t="s">
        <v>157</v>
      </c>
      <c r="D505" s="21" t="s">
        <v>775</v>
      </c>
      <c r="E505" s="34"/>
      <c r="F505" s="7"/>
      <c r="G505" s="7"/>
      <c r="H505" s="7"/>
      <c r="I505" s="7"/>
      <c r="J505" s="7"/>
      <c r="K505" s="7">
        <f>K506</f>
        <v>464.3</v>
      </c>
      <c r="L505" s="7">
        <f aca="true" t="shared" si="296" ref="L505:L507">L506</f>
        <v>315.9</v>
      </c>
      <c r="M505" s="7">
        <f t="shared" si="275"/>
        <v>68.03790652595303</v>
      </c>
    </row>
    <row r="506" spans="1:13" ht="47.25">
      <c r="A506" s="119" t="s">
        <v>915</v>
      </c>
      <c r="B506" s="21" t="s">
        <v>303</v>
      </c>
      <c r="C506" s="21" t="s">
        <v>157</v>
      </c>
      <c r="D506" s="21" t="s">
        <v>916</v>
      </c>
      <c r="E506" s="34"/>
      <c r="F506" s="7"/>
      <c r="G506" s="7"/>
      <c r="H506" s="7"/>
      <c r="I506" s="7"/>
      <c r="J506" s="7"/>
      <c r="K506" s="7">
        <f>K507</f>
        <v>464.3</v>
      </c>
      <c r="L506" s="7">
        <f t="shared" si="296"/>
        <v>315.9</v>
      </c>
      <c r="M506" s="7">
        <f t="shared" si="275"/>
        <v>68.03790652595303</v>
      </c>
    </row>
    <row r="507" spans="1:13" ht="47.25">
      <c r="A507" s="31" t="s">
        <v>311</v>
      </c>
      <c r="B507" s="21" t="s">
        <v>303</v>
      </c>
      <c r="C507" s="21" t="s">
        <v>157</v>
      </c>
      <c r="D507" s="21" t="s">
        <v>916</v>
      </c>
      <c r="E507" s="34" t="s">
        <v>312</v>
      </c>
      <c r="F507" s="7"/>
      <c r="G507" s="7"/>
      <c r="H507" s="7"/>
      <c r="I507" s="7"/>
      <c r="J507" s="7"/>
      <c r="K507" s="7">
        <f>K508</f>
        <v>464.3</v>
      </c>
      <c r="L507" s="7">
        <f t="shared" si="296"/>
        <v>315.9</v>
      </c>
      <c r="M507" s="7">
        <f t="shared" si="275"/>
        <v>68.03790652595303</v>
      </c>
    </row>
    <row r="508" spans="1:13" ht="15.75">
      <c r="A508" s="242" t="s">
        <v>313</v>
      </c>
      <c r="B508" s="21" t="s">
        <v>303</v>
      </c>
      <c r="C508" s="21" t="s">
        <v>157</v>
      </c>
      <c r="D508" s="21" t="s">
        <v>916</v>
      </c>
      <c r="E508" s="34" t="s">
        <v>314</v>
      </c>
      <c r="F508" s="7"/>
      <c r="G508" s="7"/>
      <c r="H508" s="7"/>
      <c r="I508" s="7"/>
      <c r="J508" s="7"/>
      <c r="K508" s="7">
        <f>'Прил.№4 ведомств.'!G721</f>
        <v>464.3</v>
      </c>
      <c r="L508" s="7">
        <f>'Прил.№4 ведомств.'!H721</f>
        <v>315.9</v>
      </c>
      <c r="M508" s="7">
        <f t="shared" si="275"/>
        <v>68.03790652595303</v>
      </c>
    </row>
    <row r="509" spans="1:13" ht="15.75">
      <c r="A509" s="31" t="s">
        <v>160</v>
      </c>
      <c r="B509" s="42" t="s">
        <v>303</v>
      </c>
      <c r="C509" s="42" t="s">
        <v>157</v>
      </c>
      <c r="D509" s="42" t="s">
        <v>161</v>
      </c>
      <c r="E509" s="42"/>
      <c r="F509" s="7" t="e">
        <f aca="true" t="shared" si="297" ref="F509:L509">F510</f>
        <v>#REF!</v>
      </c>
      <c r="G509" s="7" t="e">
        <f t="shared" si="297"/>
        <v>#REF!</v>
      </c>
      <c r="H509" s="7" t="e">
        <f t="shared" si="297"/>
        <v>#REF!</v>
      </c>
      <c r="I509" s="7" t="e">
        <f t="shared" si="297"/>
        <v>#REF!</v>
      </c>
      <c r="J509" s="7" t="e">
        <f t="shared" si="297"/>
        <v>#REF!</v>
      </c>
      <c r="K509" s="7">
        <f t="shared" si="297"/>
        <v>75171.4</v>
      </c>
      <c r="L509" s="7">
        <f t="shared" si="297"/>
        <v>61186.6</v>
      </c>
      <c r="M509" s="7">
        <f t="shared" si="275"/>
        <v>81.39611607606085</v>
      </c>
    </row>
    <row r="510" spans="1:13" ht="31.5">
      <c r="A510" s="31" t="s">
        <v>224</v>
      </c>
      <c r="B510" s="42" t="s">
        <v>303</v>
      </c>
      <c r="C510" s="42" t="s">
        <v>157</v>
      </c>
      <c r="D510" s="42" t="s">
        <v>225</v>
      </c>
      <c r="E510" s="42"/>
      <c r="F510" s="7" t="e">
        <f>F514+F517+F520+F523+F526</f>
        <v>#REF!</v>
      </c>
      <c r="G510" s="7" t="e">
        <f>G514+G517+G520+G523+G526</f>
        <v>#REF!</v>
      </c>
      <c r="H510" s="7" t="e">
        <f>H514+H517+H520+H523+H526</f>
        <v>#REF!</v>
      </c>
      <c r="I510" s="7" t="e">
        <f>I514+I517+I520+I523+I526</f>
        <v>#REF!</v>
      </c>
      <c r="J510" s="7" t="e">
        <f>J514+J517+J520+J523+J526</f>
        <v>#REF!</v>
      </c>
      <c r="K510" s="7">
        <f>K514+K517+K520+K523+K526+K511</f>
        <v>75171.4</v>
      </c>
      <c r="L510" s="7">
        <f aca="true" t="shared" si="298" ref="L510">L514+L517+L520+L523+L526+L511</f>
        <v>61186.6</v>
      </c>
      <c r="M510" s="7">
        <f t="shared" si="275"/>
        <v>81.39611607606085</v>
      </c>
    </row>
    <row r="511" spans="1:13" ht="141.75">
      <c r="A511" s="26" t="s">
        <v>463</v>
      </c>
      <c r="B511" s="42" t="s">
        <v>303</v>
      </c>
      <c r="C511" s="42" t="s">
        <v>157</v>
      </c>
      <c r="D511" s="42" t="s">
        <v>968</v>
      </c>
      <c r="E511" s="42"/>
      <c r="F511" s="7"/>
      <c r="G511" s="7"/>
      <c r="H511" s="7"/>
      <c r="I511" s="7"/>
      <c r="J511" s="7"/>
      <c r="K511" s="7">
        <f>K512</f>
        <v>165.9</v>
      </c>
      <c r="L511" s="7">
        <f aca="true" t="shared" si="299" ref="L511:L512">L512</f>
        <v>97.4</v>
      </c>
      <c r="M511" s="7">
        <f t="shared" si="275"/>
        <v>58.71006630500302</v>
      </c>
    </row>
    <row r="512" spans="1:13" ht="47.25">
      <c r="A512" s="26" t="s">
        <v>311</v>
      </c>
      <c r="B512" s="42" t="s">
        <v>303</v>
      </c>
      <c r="C512" s="42" t="s">
        <v>157</v>
      </c>
      <c r="D512" s="42" t="s">
        <v>968</v>
      </c>
      <c r="E512" s="42" t="s">
        <v>312</v>
      </c>
      <c r="F512" s="7"/>
      <c r="G512" s="7"/>
      <c r="H512" s="7"/>
      <c r="I512" s="7"/>
      <c r="J512" s="7"/>
      <c r="K512" s="7">
        <f>K513</f>
        <v>165.9</v>
      </c>
      <c r="L512" s="7">
        <f t="shared" si="299"/>
        <v>97.4</v>
      </c>
      <c r="M512" s="7">
        <f t="shared" si="275"/>
        <v>58.71006630500302</v>
      </c>
    </row>
    <row r="513" spans="1:13" ht="15.75">
      <c r="A513" s="26" t="s">
        <v>313</v>
      </c>
      <c r="B513" s="42" t="s">
        <v>303</v>
      </c>
      <c r="C513" s="42" t="s">
        <v>157</v>
      </c>
      <c r="D513" s="42" t="s">
        <v>968</v>
      </c>
      <c r="E513" s="42" t="s">
        <v>314</v>
      </c>
      <c r="F513" s="7"/>
      <c r="G513" s="7"/>
      <c r="H513" s="7"/>
      <c r="I513" s="7"/>
      <c r="J513" s="7"/>
      <c r="K513" s="7">
        <f>'Прил.№4 ведомств.'!G726</f>
        <v>165.9</v>
      </c>
      <c r="L513" s="7">
        <f>'Прил.№4 ведомств.'!H726</f>
        <v>97.4</v>
      </c>
      <c r="M513" s="7">
        <f t="shared" si="275"/>
        <v>58.71006630500302</v>
      </c>
    </row>
    <row r="514" spans="1:13" ht="63">
      <c r="A514" s="47" t="s">
        <v>328</v>
      </c>
      <c r="B514" s="42" t="s">
        <v>303</v>
      </c>
      <c r="C514" s="42" t="s">
        <v>157</v>
      </c>
      <c r="D514" s="42" t="s">
        <v>329</v>
      </c>
      <c r="E514" s="42"/>
      <c r="F514" s="7" t="e">
        <f>F515</f>
        <v>#REF!</v>
      </c>
      <c r="G514" s="7" t="e">
        <f aca="true" t="shared" si="300" ref="G514:L515">G515</f>
        <v>#REF!</v>
      </c>
      <c r="H514" s="7" t="e">
        <f t="shared" si="300"/>
        <v>#REF!</v>
      </c>
      <c r="I514" s="7" t="e">
        <f t="shared" si="300"/>
        <v>#REF!</v>
      </c>
      <c r="J514" s="7" t="e">
        <f t="shared" si="300"/>
        <v>#REF!</v>
      </c>
      <c r="K514" s="7">
        <f t="shared" si="300"/>
        <v>310.2</v>
      </c>
      <c r="L514" s="7">
        <f t="shared" si="300"/>
        <v>271.8</v>
      </c>
      <c r="M514" s="7">
        <f t="shared" si="275"/>
        <v>87.62088974854933</v>
      </c>
    </row>
    <row r="515" spans="1:13" ht="47.25">
      <c r="A515" s="31" t="s">
        <v>311</v>
      </c>
      <c r="B515" s="42" t="s">
        <v>303</v>
      </c>
      <c r="C515" s="42" t="s">
        <v>157</v>
      </c>
      <c r="D515" s="42" t="s">
        <v>329</v>
      </c>
      <c r="E515" s="42" t="s">
        <v>312</v>
      </c>
      <c r="F515" s="7" t="e">
        <f>F516</f>
        <v>#REF!</v>
      </c>
      <c r="G515" s="7" t="e">
        <f t="shared" si="300"/>
        <v>#REF!</v>
      </c>
      <c r="H515" s="7" t="e">
        <f t="shared" si="300"/>
        <v>#REF!</v>
      </c>
      <c r="I515" s="7" t="e">
        <f t="shared" si="300"/>
        <v>#REF!</v>
      </c>
      <c r="J515" s="7" t="e">
        <f t="shared" si="300"/>
        <v>#REF!</v>
      </c>
      <c r="K515" s="7">
        <f t="shared" si="300"/>
        <v>310.2</v>
      </c>
      <c r="L515" s="7">
        <f t="shared" si="300"/>
        <v>271.8</v>
      </c>
      <c r="M515" s="7">
        <f t="shared" si="275"/>
        <v>87.62088974854933</v>
      </c>
    </row>
    <row r="516" spans="1:13" ht="15.75">
      <c r="A516" s="31" t="s">
        <v>313</v>
      </c>
      <c r="B516" s="42" t="s">
        <v>303</v>
      </c>
      <c r="C516" s="42" t="s">
        <v>157</v>
      </c>
      <c r="D516" s="42" t="s">
        <v>329</v>
      </c>
      <c r="E516" s="42" t="s">
        <v>314</v>
      </c>
      <c r="F516" s="7" t="e">
        <f>#REF!</f>
        <v>#REF!</v>
      </c>
      <c r="G516" s="7" t="e">
        <f>#REF!</f>
        <v>#REF!</v>
      </c>
      <c r="H516" s="7" t="e">
        <f>#REF!</f>
        <v>#REF!</v>
      </c>
      <c r="I516" s="7" t="e">
        <f>#REF!</f>
        <v>#REF!</v>
      </c>
      <c r="J516" s="7" t="e">
        <f>#REF!</f>
        <v>#REF!</v>
      </c>
      <c r="K516" s="7">
        <f>'Прил.№4 ведомств.'!G732</f>
        <v>310.2</v>
      </c>
      <c r="L516" s="7">
        <f>'Прил.№4 ведомств.'!H732</f>
        <v>271.8</v>
      </c>
      <c r="M516" s="7">
        <f t="shared" si="275"/>
        <v>87.62088974854933</v>
      </c>
    </row>
    <row r="517" spans="1:13" ht="63">
      <c r="A517" s="47" t="s">
        <v>460</v>
      </c>
      <c r="B517" s="42" t="s">
        <v>303</v>
      </c>
      <c r="C517" s="42" t="s">
        <v>157</v>
      </c>
      <c r="D517" s="42" t="s">
        <v>331</v>
      </c>
      <c r="E517" s="42"/>
      <c r="F517" s="7" t="e">
        <f>F518</f>
        <v>#REF!</v>
      </c>
      <c r="G517" s="7" t="e">
        <f aca="true" t="shared" si="301" ref="G517:L518">G518</f>
        <v>#REF!</v>
      </c>
      <c r="H517" s="7" t="e">
        <f t="shared" si="301"/>
        <v>#REF!</v>
      </c>
      <c r="I517" s="7" t="e">
        <f t="shared" si="301"/>
        <v>#REF!</v>
      </c>
      <c r="J517" s="7" t="e">
        <f t="shared" si="301"/>
        <v>#REF!</v>
      </c>
      <c r="K517" s="7">
        <f t="shared" si="301"/>
        <v>1755.8</v>
      </c>
      <c r="L517" s="7">
        <f t="shared" si="301"/>
        <v>931.6</v>
      </c>
      <c r="M517" s="7">
        <f t="shared" si="275"/>
        <v>53.05843490146942</v>
      </c>
    </row>
    <row r="518" spans="1:13" ht="47.25">
      <c r="A518" s="31" t="s">
        <v>311</v>
      </c>
      <c r="B518" s="42" t="s">
        <v>303</v>
      </c>
      <c r="C518" s="42" t="s">
        <v>157</v>
      </c>
      <c r="D518" s="42" t="s">
        <v>331</v>
      </c>
      <c r="E518" s="42" t="s">
        <v>312</v>
      </c>
      <c r="F518" s="7" t="e">
        <f>F519</f>
        <v>#REF!</v>
      </c>
      <c r="G518" s="7" t="e">
        <f t="shared" si="301"/>
        <v>#REF!</v>
      </c>
      <c r="H518" s="7" t="e">
        <f t="shared" si="301"/>
        <v>#REF!</v>
      </c>
      <c r="I518" s="7" t="e">
        <f t="shared" si="301"/>
        <v>#REF!</v>
      </c>
      <c r="J518" s="7" t="e">
        <f t="shared" si="301"/>
        <v>#REF!</v>
      </c>
      <c r="K518" s="7">
        <f t="shared" si="301"/>
        <v>1755.8</v>
      </c>
      <c r="L518" s="7">
        <f t="shared" si="301"/>
        <v>931.6</v>
      </c>
      <c r="M518" s="7">
        <f t="shared" si="275"/>
        <v>53.05843490146942</v>
      </c>
    </row>
    <row r="519" spans="1:13" ht="15.75">
      <c r="A519" s="31" t="s">
        <v>313</v>
      </c>
      <c r="B519" s="42" t="s">
        <v>303</v>
      </c>
      <c r="C519" s="42" t="s">
        <v>157</v>
      </c>
      <c r="D519" s="42" t="s">
        <v>331</v>
      </c>
      <c r="E519" s="42" t="s">
        <v>314</v>
      </c>
      <c r="F519" s="7" t="e">
        <f>#REF!</f>
        <v>#REF!</v>
      </c>
      <c r="G519" s="7" t="e">
        <f>#REF!</f>
        <v>#REF!</v>
      </c>
      <c r="H519" s="7" t="e">
        <f>#REF!</f>
        <v>#REF!</v>
      </c>
      <c r="I519" s="7" t="e">
        <f>#REF!</f>
        <v>#REF!</v>
      </c>
      <c r="J519" s="7" t="e">
        <f>#REF!</f>
        <v>#REF!</v>
      </c>
      <c r="K519" s="7">
        <f>'Прил.№4 ведомств.'!G735</f>
        <v>1755.8</v>
      </c>
      <c r="L519" s="7">
        <f>'Прил.№4 ведомств.'!H735</f>
        <v>931.6</v>
      </c>
      <c r="M519" s="7">
        <f t="shared" si="275"/>
        <v>53.05843490146942</v>
      </c>
    </row>
    <row r="520" spans="1:13" ht="94.5">
      <c r="A520" s="33" t="s">
        <v>461</v>
      </c>
      <c r="B520" s="42" t="s">
        <v>303</v>
      </c>
      <c r="C520" s="42" t="s">
        <v>157</v>
      </c>
      <c r="D520" s="42" t="s">
        <v>462</v>
      </c>
      <c r="E520" s="42"/>
      <c r="F520" s="7" t="e">
        <f>F521</f>
        <v>#REF!</v>
      </c>
      <c r="G520" s="7" t="e">
        <f aca="true" t="shared" si="302" ref="G520:L521">G521</f>
        <v>#REF!</v>
      </c>
      <c r="H520" s="7" t="e">
        <f t="shared" si="302"/>
        <v>#REF!</v>
      </c>
      <c r="I520" s="7" t="e">
        <f t="shared" si="302"/>
        <v>#REF!</v>
      </c>
      <c r="J520" s="7" t="e">
        <f t="shared" si="302"/>
        <v>#REF!</v>
      </c>
      <c r="K520" s="7">
        <f t="shared" si="302"/>
        <v>70227.1</v>
      </c>
      <c r="L520" s="7">
        <f t="shared" si="302"/>
        <v>57624.7</v>
      </c>
      <c r="M520" s="7">
        <f t="shared" si="275"/>
        <v>82.05479081437221</v>
      </c>
    </row>
    <row r="521" spans="1:13" ht="47.25">
      <c r="A521" s="31" t="s">
        <v>311</v>
      </c>
      <c r="B521" s="42" t="s">
        <v>303</v>
      </c>
      <c r="C521" s="42" t="s">
        <v>157</v>
      </c>
      <c r="D521" s="42" t="s">
        <v>462</v>
      </c>
      <c r="E521" s="42" t="s">
        <v>312</v>
      </c>
      <c r="F521" s="7" t="e">
        <f>F522</f>
        <v>#REF!</v>
      </c>
      <c r="G521" s="7" t="e">
        <f t="shared" si="302"/>
        <v>#REF!</v>
      </c>
      <c r="H521" s="7" t="e">
        <f t="shared" si="302"/>
        <v>#REF!</v>
      </c>
      <c r="I521" s="7" t="e">
        <f t="shared" si="302"/>
        <v>#REF!</v>
      </c>
      <c r="J521" s="7" t="e">
        <f t="shared" si="302"/>
        <v>#REF!</v>
      </c>
      <c r="K521" s="7">
        <f t="shared" si="302"/>
        <v>70227.1</v>
      </c>
      <c r="L521" s="7">
        <f t="shared" si="302"/>
        <v>57624.7</v>
      </c>
      <c r="M521" s="7">
        <f t="shared" si="275"/>
        <v>82.05479081437221</v>
      </c>
    </row>
    <row r="522" spans="1:13" ht="15.75">
      <c r="A522" s="31" t="s">
        <v>313</v>
      </c>
      <c r="B522" s="42" t="s">
        <v>303</v>
      </c>
      <c r="C522" s="42" t="s">
        <v>157</v>
      </c>
      <c r="D522" s="42" t="s">
        <v>462</v>
      </c>
      <c r="E522" s="42" t="s">
        <v>314</v>
      </c>
      <c r="F522" s="7" t="e">
        <f>#REF!</f>
        <v>#REF!</v>
      </c>
      <c r="G522" s="7" t="e">
        <f>#REF!</f>
        <v>#REF!</v>
      </c>
      <c r="H522" s="7" t="e">
        <f>#REF!</f>
        <v>#REF!</v>
      </c>
      <c r="I522" s="7" t="e">
        <f>#REF!</f>
        <v>#REF!</v>
      </c>
      <c r="J522" s="7" t="e">
        <f>#REF!</f>
        <v>#REF!</v>
      </c>
      <c r="K522" s="7">
        <f>'Прил.№4 ведомств.'!G738</f>
        <v>70227.1</v>
      </c>
      <c r="L522" s="7">
        <f>'Прил.№4 ведомств.'!H738</f>
        <v>57624.7</v>
      </c>
      <c r="M522" s="7">
        <f t="shared" si="275"/>
        <v>82.05479081437221</v>
      </c>
    </row>
    <row r="523" spans="1:13" ht="94.5">
      <c r="A523" s="47" t="s">
        <v>332</v>
      </c>
      <c r="B523" s="42" t="s">
        <v>303</v>
      </c>
      <c r="C523" s="42" t="s">
        <v>157</v>
      </c>
      <c r="D523" s="21" t="s">
        <v>333</v>
      </c>
      <c r="E523" s="42"/>
      <c r="F523" s="7" t="e">
        <f>F524</f>
        <v>#REF!</v>
      </c>
      <c r="G523" s="7" t="e">
        <f aca="true" t="shared" si="303" ref="G523:L524">G524</f>
        <v>#REF!</v>
      </c>
      <c r="H523" s="7" t="e">
        <f t="shared" si="303"/>
        <v>#REF!</v>
      </c>
      <c r="I523" s="7" t="e">
        <f t="shared" si="303"/>
        <v>#REF!</v>
      </c>
      <c r="J523" s="7" t="e">
        <f t="shared" si="303"/>
        <v>#REF!</v>
      </c>
      <c r="K523" s="7">
        <f t="shared" si="303"/>
        <v>2712.4</v>
      </c>
      <c r="L523" s="7">
        <f t="shared" si="303"/>
        <v>2261.1</v>
      </c>
      <c r="M523" s="7">
        <f t="shared" si="275"/>
        <v>83.36159858427959</v>
      </c>
    </row>
    <row r="524" spans="1:13" ht="47.25">
      <c r="A524" s="31" t="s">
        <v>311</v>
      </c>
      <c r="B524" s="42" t="s">
        <v>303</v>
      </c>
      <c r="C524" s="42" t="s">
        <v>157</v>
      </c>
      <c r="D524" s="21" t="s">
        <v>333</v>
      </c>
      <c r="E524" s="42" t="s">
        <v>312</v>
      </c>
      <c r="F524" s="7" t="e">
        <f>F525</f>
        <v>#REF!</v>
      </c>
      <c r="G524" s="7" t="e">
        <f t="shared" si="303"/>
        <v>#REF!</v>
      </c>
      <c r="H524" s="7" t="e">
        <f t="shared" si="303"/>
        <v>#REF!</v>
      </c>
      <c r="I524" s="7" t="e">
        <f t="shared" si="303"/>
        <v>#REF!</v>
      </c>
      <c r="J524" s="7" t="e">
        <f t="shared" si="303"/>
        <v>#REF!</v>
      </c>
      <c r="K524" s="7">
        <f t="shared" si="303"/>
        <v>2712.4</v>
      </c>
      <c r="L524" s="7">
        <f t="shared" si="303"/>
        <v>2261.1</v>
      </c>
      <c r="M524" s="7">
        <f t="shared" si="275"/>
        <v>83.36159858427959</v>
      </c>
    </row>
    <row r="525" spans="1:13" ht="15.75">
      <c r="A525" s="31" t="s">
        <v>313</v>
      </c>
      <c r="B525" s="42" t="s">
        <v>303</v>
      </c>
      <c r="C525" s="42" t="s">
        <v>157</v>
      </c>
      <c r="D525" s="21" t="s">
        <v>333</v>
      </c>
      <c r="E525" s="42" t="s">
        <v>314</v>
      </c>
      <c r="F525" s="7" t="e">
        <f>#REF!</f>
        <v>#REF!</v>
      </c>
      <c r="G525" s="7" t="e">
        <f>#REF!</f>
        <v>#REF!</v>
      </c>
      <c r="H525" s="7" t="e">
        <f>#REF!</f>
        <v>#REF!</v>
      </c>
      <c r="I525" s="7" t="e">
        <f>#REF!</f>
        <v>#REF!</v>
      </c>
      <c r="J525" s="7" t="e">
        <f>#REF!</f>
        <v>#REF!</v>
      </c>
      <c r="K525" s="7">
        <f>'Прил.№4 ведомств.'!G741</f>
        <v>2712.4</v>
      </c>
      <c r="L525" s="7">
        <f>'Прил.№4 ведомств.'!H741</f>
        <v>2261.1</v>
      </c>
      <c r="M525" s="7">
        <f t="shared" si="275"/>
        <v>83.36159858427959</v>
      </c>
    </row>
    <row r="526" spans="1:13" ht="141.75" customHeight="1" hidden="1">
      <c r="A526" s="26" t="s">
        <v>463</v>
      </c>
      <c r="B526" s="42" t="s">
        <v>303</v>
      </c>
      <c r="C526" s="42" t="s">
        <v>157</v>
      </c>
      <c r="D526" s="21" t="s">
        <v>464</v>
      </c>
      <c r="E526" s="42"/>
      <c r="F526" s="7">
        <f>F527</f>
        <v>0</v>
      </c>
      <c r="G526" s="7">
        <f aca="true" t="shared" si="304" ref="G526:L527">G527</f>
        <v>0</v>
      </c>
      <c r="H526" s="7">
        <f t="shared" si="304"/>
        <v>0</v>
      </c>
      <c r="I526" s="7">
        <f t="shared" si="304"/>
        <v>0</v>
      </c>
      <c r="J526" s="7">
        <f t="shared" si="304"/>
        <v>0</v>
      </c>
      <c r="K526" s="7">
        <f t="shared" si="304"/>
        <v>0</v>
      </c>
      <c r="L526" s="7">
        <f t="shared" si="304"/>
        <v>0</v>
      </c>
      <c r="M526" s="4" t="e">
        <f aca="true" t="shared" si="305" ref="M526:M590">L526/K526*100</f>
        <v>#DIV/0!</v>
      </c>
    </row>
    <row r="527" spans="1:13" ht="47.25" customHeight="1" hidden="1">
      <c r="A527" s="26" t="s">
        <v>311</v>
      </c>
      <c r="B527" s="42" t="s">
        <v>303</v>
      </c>
      <c r="C527" s="42" t="s">
        <v>157</v>
      </c>
      <c r="D527" s="21" t="s">
        <v>464</v>
      </c>
      <c r="E527" s="42" t="s">
        <v>312</v>
      </c>
      <c r="F527" s="7">
        <f>F528</f>
        <v>0</v>
      </c>
      <c r="G527" s="7">
        <f t="shared" si="304"/>
        <v>0</v>
      </c>
      <c r="H527" s="7">
        <f t="shared" si="304"/>
        <v>0</v>
      </c>
      <c r="I527" s="7">
        <f t="shared" si="304"/>
        <v>0</v>
      </c>
      <c r="J527" s="7">
        <f t="shared" si="304"/>
        <v>0</v>
      </c>
      <c r="K527" s="7">
        <f t="shared" si="304"/>
        <v>0</v>
      </c>
      <c r="L527" s="7">
        <f t="shared" si="304"/>
        <v>0</v>
      </c>
      <c r="M527" s="4" t="e">
        <f t="shared" si="305"/>
        <v>#DIV/0!</v>
      </c>
    </row>
    <row r="528" spans="1:13" ht="15.75" customHeight="1" hidden="1">
      <c r="A528" s="26" t="s">
        <v>313</v>
      </c>
      <c r="B528" s="42" t="s">
        <v>303</v>
      </c>
      <c r="C528" s="42" t="s">
        <v>157</v>
      </c>
      <c r="D528" s="21" t="s">
        <v>464</v>
      </c>
      <c r="E528" s="42" t="s">
        <v>314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4" t="e">
        <f t="shared" si="305"/>
        <v>#DIV/0!</v>
      </c>
    </row>
    <row r="529" spans="1:13" ht="15.75">
      <c r="A529" s="43" t="s">
        <v>465</v>
      </c>
      <c r="B529" s="8" t="s">
        <v>303</v>
      </c>
      <c r="C529" s="8" t="s">
        <v>252</v>
      </c>
      <c r="D529" s="8"/>
      <c r="E529" s="8"/>
      <c r="F529" s="4" t="e">
        <f>F530+F586</f>
        <v>#REF!</v>
      </c>
      <c r="G529" s="4" t="e">
        <f>G530+G586</f>
        <v>#REF!</v>
      </c>
      <c r="H529" s="4" t="e">
        <f>H530+H586</f>
        <v>#REF!</v>
      </c>
      <c r="I529" s="4" t="e">
        <f>I530+I586</f>
        <v>#REF!</v>
      </c>
      <c r="J529" s="4" t="e">
        <f>J530+J586</f>
        <v>#REF!</v>
      </c>
      <c r="K529" s="4">
        <f>K530+K586+K578+K582</f>
        <v>141314.1</v>
      </c>
      <c r="L529" s="4">
        <f aca="true" t="shared" si="306" ref="L529">L530+L586+L578+L582</f>
        <v>116946.50000000001</v>
      </c>
      <c r="M529" s="4">
        <f t="shared" si="305"/>
        <v>82.75642699490002</v>
      </c>
    </row>
    <row r="530" spans="1:13" ht="47.25">
      <c r="A530" s="31" t="s">
        <v>466</v>
      </c>
      <c r="B530" s="42" t="s">
        <v>303</v>
      </c>
      <c r="C530" s="42" t="s">
        <v>252</v>
      </c>
      <c r="D530" s="42" t="s">
        <v>446</v>
      </c>
      <c r="E530" s="42"/>
      <c r="F530" s="7" t="e">
        <f aca="true" t="shared" si="307" ref="F530:K530">F531+F535</f>
        <v>#REF!</v>
      </c>
      <c r="G530" s="7" t="e">
        <f t="shared" si="307"/>
        <v>#REF!</v>
      </c>
      <c r="H530" s="7" t="e">
        <f t="shared" si="307"/>
        <v>#REF!</v>
      </c>
      <c r="I530" s="7" t="e">
        <f t="shared" si="307"/>
        <v>#REF!</v>
      </c>
      <c r="J530" s="7" t="e">
        <f t="shared" si="307"/>
        <v>#REF!</v>
      </c>
      <c r="K530" s="7">
        <f t="shared" si="307"/>
        <v>37048.1</v>
      </c>
      <c r="L530" s="7">
        <f aca="true" t="shared" si="308" ref="L530">L531+L535</f>
        <v>26319.4</v>
      </c>
      <c r="M530" s="7">
        <f t="shared" si="305"/>
        <v>71.04116000550637</v>
      </c>
    </row>
    <row r="531" spans="1:13" ht="31.5">
      <c r="A531" s="31" t="s">
        <v>447</v>
      </c>
      <c r="B531" s="42" t="s">
        <v>303</v>
      </c>
      <c r="C531" s="42" t="s">
        <v>252</v>
      </c>
      <c r="D531" s="42" t="s">
        <v>448</v>
      </c>
      <c r="E531" s="42"/>
      <c r="F531" s="7" t="e">
        <f>F532</f>
        <v>#REF!</v>
      </c>
      <c r="G531" s="7" t="e">
        <f aca="true" t="shared" si="309" ref="G531:L533">G532</f>
        <v>#REF!</v>
      </c>
      <c r="H531" s="7" t="e">
        <f t="shared" si="309"/>
        <v>#REF!</v>
      </c>
      <c r="I531" s="7" t="e">
        <f t="shared" si="309"/>
        <v>#REF!</v>
      </c>
      <c r="J531" s="7" t="e">
        <f t="shared" si="309"/>
        <v>#REF!</v>
      </c>
      <c r="K531" s="7">
        <f t="shared" si="309"/>
        <v>27637.999999999996</v>
      </c>
      <c r="L531" s="7">
        <f t="shared" si="309"/>
        <v>18675.6</v>
      </c>
      <c r="M531" s="7">
        <f t="shared" si="305"/>
        <v>67.5721832259932</v>
      </c>
    </row>
    <row r="532" spans="1:13" ht="47.25">
      <c r="A532" s="31" t="s">
        <v>467</v>
      </c>
      <c r="B532" s="42" t="s">
        <v>303</v>
      </c>
      <c r="C532" s="42" t="s">
        <v>252</v>
      </c>
      <c r="D532" s="42" t="s">
        <v>468</v>
      </c>
      <c r="E532" s="42"/>
      <c r="F532" s="7" t="e">
        <f>F533</f>
        <v>#REF!</v>
      </c>
      <c r="G532" s="7" t="e">
        <f t="shared" si="309"/>
        <v>#REF!</v>
      </c>
      <c r="H532" s="7" t="e">
        <f t="shared" si="309"/>
        <v>#REF!</v>
      </c>
      <c r="I532" s="7" t="e">
        <f t="shared" si="309"/>
        <v>#REF!</v>
      </c>
      <c r="J532" s="7" t="e">
        <f t="shared" si="309"/>
        <v>#REF!</v>
      </c>
      <c r="K532" s="7">
        <f t="shared" si="309"/>
        <v>27637.999999999996</v>
      </c>
      <c r="L532" s="7">
        <f t="shared" si="309"/>
        <v>18675.6</v>
      </c>
      <c r="M532" s="7">
        <f t="shared" si="305"/>
        <v>67.5721832259932</v>
      </c>
    </row>
    <row r="533" spans="1:13" ht="47.25">
      <c r="A533" s="31" t="s">
        <v>311</v>
      </c>
      <c r="B533" s="42" t="s">
        <v>303</v>
      </c>
      <c r="C533" s="42" t="s">
        <v>252</v>
      </c>
      <c r="D533" s="42" t="s">
        <v>468</v>
      </c>
      <c r="E533" s="42" t="s">
        <v>312</v>
      </c>
      <c r="F533" s="63" t="e">
        <f>F534</f>
        <v>#REF!</v>
      </c>
      <c r="G533" s="63" t="e">
        <f t="shared" si="309"/>
        <v>#REF!</v>
      </c>
      <c r="H533" s="63" t="e">
        <f t="shared" si="309"/>
        <v>#REF!</v>
      </c>
      <c r="I533" s="63" t="e">
        <f t="shared" si="309"/>
        <v>#REF!</v>
      </c>
      <c r="J533" s="63" t="e">
        <f t="shared" si="309"/>
        <v>#REF!</v>
      </c>
      <c r="K533" s="63">
        <f t="shared" si="309"/>
        <v>27637.999999999996</v>
      </c>
      <c r="L533" s="63">
        <f t="shared" si="309"/>
        <v>18675.6</v>
      </c>
      <c r="M533" s="7">
        <f t="shared" si="305"/>
        <v>67.5721832259932</v>
      </c>
    </row>
    <row r="534" spans="1:13" ht="15.75">
      <c r="A534" s="31" t="s">
        <v>313</v>
      </c>
      <c r="B534" s="42" t="s">
        <v>303</v>
      </c>
      <c r="C534" s="42" t="s">
        <v>252</v>
      </c>
      <c r="D534" s="42" t="s">
        <v>468</v>
      </c>
      <c r="E534" s="42" t="s">
        <v>314</v>
      </c>
      <c r="F534" s="63" t="e">
        <f>#REF!</f>
        <v>#REF!</v>
      </c>
      <c r="G534" s="63" t="e">
        <f>#REF!</f>
        <v>#REF!</v>
      </c>
      <c r="H534" s="63" t="e">
        <f>#REF!</f>
        <v>#REF!</v>
      </c>
      <c r="I534" s="63" t="e">
        <f>#REF!</f>
        <v>#REF!</v>
      </c>
      <c r="J534" s="63" t="e">
        <f>#REF!</f>
        <v>#REF!</v>
      </c>
      <c r="K534" s="63">
        <f>'Прил.№4 ведомств.'!G750</f>
        <v>27637.999999999996</v>
      </c>
      <c r="L534" s="63">
        <f>'Прил.№4 ведомств.'!H750</f>
        <v>18675.6</v>
      </c>
      <c r="M534" s="7">
        <f t="shared" si="305"/>
        <v>67.5721832259932</v>
      </c>
    </row>
    <row r="535" spans="1:13" ht="31.5">
      <c r="A535" s="31" t="s">
        <v>470</v>
      </c>
      <c r="B535" s="42" t="s">
        <v>303</v>
      </c>
      <c r="C535" s="42" t="s">
        <v>252</v>
      </c>
      <c r="D535" s="42" t="s">
        <v>471</v>
      </c>
      <c r="E535" s="42"/>
      <c r="F535" s="7" t="e">
        <f>F536+F550+F565+F571+F540+F543+F568+F553+F547+F559+F562</f>
        <v>#REF!</v>
      </c>
      <c r="G535" s="7" t="e">
        <f>G536+G550+G565+G571+G540+G543+G568+G553+G547+G559+G562</f>
        <v>#REF!</v>
      </c>
      <c r="H535" s="7" t="e">
        <f>H536+H550+H565+H571+H540+H543+H568+H553+H547+H559+H562</f>
        <v>#REF!</v>
      </c>
      <c r="I535" s="7" t="e">
        <f>I536+I550+I565+I571+I540+I543+I568+I553+I547+I559+I562</f>
        <v>#REF!</v>
      </c>
      <c r="J535" s="7" t="e">
        <f>J536+J550+J565+J571+J540+J543+J568+J553+J547+J559+J562</f>
        <v>#REF!</v>
      </c>
      <c r="K535" s="7">
        <f>K536+K550+K565+K571+K540+K543+K568+K553+K547+K559+K562+K556+K574</f>
        <v>9410.1</v>
      </c>
      <c r="L535" s="7">
        <f aca="true" t="shared" si="310" ref="L535">L536+L550+L565+L571+L540+L543+L568+L553+L547+L559+L562+L556+L574</f>
        <v>7643.800000000001</v>
      </c>
      <c r="M535" s="7">
        <f t="shared" si="305"/>
        <v>81.22974251070659</v>
      </c>
    </row>
    <row r="536" spans="1:13" ht="47.25" customHeight="1" hidden="1">
      <c r="A536" s="31" t="s">
        <v>644</v>
      </c>
      <c r="B536" s="42" t="s">
        <v>303</v>
      </c>
      <c r="C536" s="42" t="s">
        <v>252</v>
      </c>
      <c r="D536" s="42" t="s">
        <v>650</v>
      </c>
      <c r="E536" s="42"/>
      <c r="F536" s="7">
        <f>F537</f>
        <v>0</v>
      </c>
      <c r="G536" s="7">
        <f aca="true" t="shared" si="311" ref="G536:L538">G537</f>
        <v>0</v>
      </c>
      <c r="H536" s="7">
        <f t="shared" si="311"/>
        <v>0</v>
      </c>
      <c r="I536" s="7">
        <f t="shared" si="311"/>
        <v>0</v>
      </c>
      <c r="J536" s="7">
        <f t="shared" si="311"/>
        <v>0</v>
      </c>
      <c r="K536" s="7">
        <f t="shared" si="311"/>
        <v>0</v>
      </c>
      <c r="L536" s="7">
        <f t="shared" si="311"/>
        <v>0</v>
      </c>
      <c r="M536" s="7" t="e">
        <f t="shared" si="305"/>
        <v>#DIV/0!</v>
      </c>
    </row>
    <row r="537" spans="1:13" ht="47.25" customHeight="1" hidden="1">
      <c r="A537" s="31" t="s">
        <v>311</v>
      </c>
      <c r="B537" s="42" t="s">
        <v>303</v>
      </c>
      <c r="C537" s="42" t="s">
        <v>252</v>
      </c>
      <c r="D537" s="42" t="s">
        <v>650</v>
      </c>
      <c r="E537" s="42" t="s">
        <v>312</v>
      </c>
      <c r="F537" s="7">
        <f>F538</f>
        <v>0</v>
      </c>
      <c r="G537" s="7">
        <f t="shared" si="311"/>
        <v>0</v>
      </c>
      <c r="H537" s="7">
        <f t="shared" si="311"/>
        <v>0</v>
      </c>
      <c r="I537" s="7">
        <f t="shared" si="311"/>
        <v>0</v>
      </c>
      <c r="J537" s="7">
        <f t="shared" si="311"/>
        <v>0</v>
      </c>
      <c r="K537" s="7">
        <f t="shared" si="311"/>
        <v>0</v>
      </c>
      <c r="L537" s="7">
        <f t="shared" si="311"/>
        <v>0</v>
      </c>
      <c r="M537" s="7" t="e">
        <f t="shared" si="305"/>
        <v>#DIV/0!</v>
      </c>
    </row>
    <row r="538" spans="1:13" ht="15.75" customHeight="1" hidden="1">
      <c r="A538" s="31" t="s">
        <v>313</v>
      </c>
      <c r="B538" s="42" t="s">
        <v>303</v>
      </c>
      <c r="C538" s="42" t="s">
        <v>252</v>
      </c>
      <c r="D538" s="42" t="s">
        <v>650</v>
      </c>
      <c r="E538" s="42" t="s">
        <v>314</v>
      </c>
      <c r="F538" s="7">
        <f>F539</f>
        <v>0</v>
      </c>
      <c r="G538" s="7">
        <f t="shared" si="311"/>
        <v>0</v>
      </c>
      <c r="H538" s="7">
        <f t="shared" si="311"/>
        <v>0</v>
      </c>
      <c r="I538" s="7">
        <f t="shared" si="311"/>
        <v>0</v>
      </c>
      <c r="J538" s="7">
        <f t="shared" si="311"/>
        <v>0</v>
      </c>
      <c r="K538" s="7">
        <f t="shared" si="311"/>
        <v>0</v>
      </c>
      <c r="L538" s="7">
        <f t="shared" si="311"/>
        <v>0</v>
      </c>
      <c r="M538" s="7" t="e">
        <f t="shared" si="305"/>
        <v>#DIV/0!</v>
      </c>
    </row>
    <row r="539" spans="1:13" ht="15.75" customHeight="1" hidden="1">
      <c r="A539" s="31" t="s">
        <v>647</v>
      </c>
      <c r="B539" s="42" t="s">
        <v>303</v>
      </c>
      <c r="C539" s="42" t="s">
        <v>252</v>
      </c>
      <c r="D539" s="42" t="s">
        <v>650</v>
      </c>
      <c r="E539" s="42" t="s">
        <v>648</v>
      </c>
      <c r="F539" s="7"/>
      <c r="G539" s="7"/>
      <c r="H539" s="7"/>
      <c r="I539" s="7"/>
      <c r="J539" s="7"/>
      <c r="K539" s="7"/>
      <c r="L539" s="7"/>
      <c r="M539" s="7" t="e">
        <f t="shared" si="305"/>
        <v>#DIV/0!</v>
      </c>
    </row>
    <row r="540" spans="1:13" ht="47.25" customHeight="1" hidden="1">
      <c r="A540" s="31" t="s">
        <v>472</v>
      </c>
      <c r="B540" s="42" t="s">
        <v>303</v>
      </c>
      <c r="C540" s="42" t="s">
        <v>252</v>
      </c>
      <c r="D540" s="42" t="s">
        <v>473</v>
      </c>
      <c r="E540" s="42"/>
      <c r="F540" s="7">
        <f>F541</f>
        <v>0</v>
      </c>
      <c r="G540" s="7">
        <f aca="true" t="shared" si="312" ref="G540:L541">G541</f>
        <v>0</v>
      </c>
      <c r="H540" s="7">
        <f t="shared" si="312"/>
        <v>0</v>
      </c>
      <c r="I540" s="7">
        <f t="shared" si="312"/>
        <v>0</v>
      </c>
      <c r="J540" s="7">
        <f t="shared" si="312"/>
        <v>0</v>
      </c>
      <c r="K540" s="7">
        <f t="shared" si="312"/>
        <v>0</v>
      </c>
      <c r="L540" s="7">
        <f t="shared" si="312"/>
        <v>0</v>
      </c>
      <c r="M540" s="7" t="e">
        <f t="shared" si="305"/>
        <v>#DIV/0!</v>
      </c>
    </row>
    <row r="541" spans="1:13" ht="47.25" customHeight="1" hidden="1">
      <c r="A541" s="31" t="s">
        <v>311</v>
      </c>
      <c r="B541" s="42" t="s">
        <v>303</v>
      </c>
      <c r="C541" s="42" t="s">
        <v>252</v>
      </c>
      <c r="D541" s="42" t="s">
        <v>473</v>
      </c>
      <c r="E541" s="42" t="s">
        <v>312</v>
      </c>
      <c r="F541" s="7">
        <f>F542</f>
        <v>0</v>
      </c>
      <c r="G541" s="7">
        <f t="shared" si="312"/>
        <v>0</v>
      </c>
      <c r="H541" s="7">
        <f t="shared" si="312"/>
        <v>0</v>
      </c>
      <c r="I541" s="7">
        <f t="shared" si="312"/>
        <v>0</v>
      </c>
      <c r="J541" s="7">
        <f t="shared" si="312"/>
        <v>0</v>
      </c>
      <c r="K541" s="7">
        <f t="shared" si="312"/>
        <v>0</v>
      </c>
      <c r="L541" s="7">
        <f t="shared" si="312"/>
        <v>0</v>
      </c>
      <c r="M541" s="7" t="e">
        <f t="shared" si="305"/>
        <v>#DIV/0!</v>
      </c>
    </row>
    <row r="542" spans="1:13" ht="15.75" customHeight="1" hidden="1">
      <c r="A542" s="31" t="s">
        <v>313</v>
      </c>
      <c r="B542" s="42" t="s">
        <v>303</v>
      </c>
      <c r="C542" s="42" t="s">
        <v>252</v>
      </c>
      <c r="D542" s="42" t="s">
        <v>473</v>
      </c>
      <c r="E542" s="42" t="s">
        <v>314</v>
      </c>
      <c r="F542" s="7"/>
      <c r="G542" s="7"/>
      <c r="H542" s="7"/>
      <c r="I542" s="7"/>
      <c r="J542" s="7"/>
      <c r="K542" s="7"/>
      <c r="L542" s="7"/>
      <c r="M542" s="7" t="e">
        <f t="shared" si="305"/>
        <v>#DIV/0!</v>
      </c>
    </row>
    <row r="543" spans="1:13" ht="31.5" customHeight="1" hidden="1">
      <c r="A543" s="31" t="s">
        <v>319</v>
      </c>
      <c r="B543" s="42" t="s">
        <v>303</v>
      </c>
      <c r="C543" s="42" t="s">
        <v>252</v>
      </c>
      <c r="D543" s="42" t="s">
        <v>651</v>
      </c>
      <c r="E543" s="42"/>
      <c r="F543" s="7">
        <f>F544</f>
        <v>0</v>
      </c>
      <c r="G543" s="7">
        <f aca="true" t="shared" si="313" ref="G543:L545">G544</f>
        <v>0</v>
      </c>
      <c r="H543" s="7">
        <f t="shared" si="313"/>
        <v>0</v>
      </c>
      <c r="I543" s="7">
        <f t="shared" si="313"/>
        <v>0</v>
      </c>
      <c r="J543" s="7">
        <f t="shared" si="313"/>
        <v>0</v>
      </c>
      <c r="K543" s="7">
        <f t="shared" si="313"/>
        <v>0</v>
      </c>
      <c r="L543" s="7">
        <f t="shared" si="313"/>
        <v>0</v>
      </c>
      <c r="M543" s="7" t="e">
        <f t="shared" si="305"/>
        <v>#DIV/0!</v>
      </c>
    </row>
    <row r="544" spans="1:13" ht="47.25" customHeight="1" hidden="1">
      <c r="A544" s="31" t="s">
        <v>311</v>
      </c>
      <c r="B544" s="42" t="s">
        <v>303</v>
      </c>
      <c r="C544" s="42" t="s">
        <v>252</v>
      </c>
      <c r="D544" s="42" t="s">
        <v>651</v>
      </c>
      <c r="E544" s="42" t="s">
        <v>312</v>
      </c>
      <c r="F544" s="7">
        <f>F545</f>
        <v>0</v>
      </c>
      <c r="G544" s="7">
        <f t="shared" si="313"/>
        <v>0</v>
      </c>
      <c r="H544" s="7">
        <f t="shared" si="313"/>
        <v>0</v>
      </c>
      <c r="I544" s="7">
        <f t="shared" si="313"/>
        <v>0</v>
      </c>
      <c r="J544" s="7">
        <f t="shared" si="313"/>
        <v>0</v>
      </c>
      <c r="K544" s="7">
        <f t="shared" si="313"/>
        <v>0</v>
      </c>
      <c r="L544" s="7">
        <f t="shared" si="313"/>
        <v>0</v>
      </c>
      <c r="M544" s="7" t="e">
        <f t="shared" si="305"/>
        <v>#DIV/0!</v>
      </c>
    </row>
    <row r="545" spans="1:13" ht="15.75" customHeight="1" hidden="1">
      <c r="A545" s="31" t="s">
        <v>313</v>
      </c>
      <c r="B545" s="42" t="s">
        <v>303</v>
      </c>
      <c r="C545" s="42" t="s">
        <v>252</v>
      </c>
      <c r="D545" s="42" t="s">
        <v>651</v>
      </c>
      <c r="E545" s="42" t="s">
        <v>314</v>
      </c>
      <c r="F545" s="7">
        <f>F546</f>
        <v>0</v>
      </c>
      <c r="G545" s="7">
        <f t="shared" si="313"/>
        <v>0</v>
      </c>
      <c r="H545" s="7">
        <f t="shared" si="313"/>
        <v>0</v>
      </c>
      <c r="I545" s="7">
        <f t="shared" si="313"/>
        <v>0</v>
      </c>
      <c r="J545" s="7">
        <f t="shared" si="313"/>
        <v>0</v>
      </c>
      <c r="K545" s="7">
        <f t="shared" si="313"/>
        <v>0</v>
      </c>
      <c r="L545" s="7">
        <f t="shared" si="313"/>
        <v>0</v>
      </c>
      <c r="M545" s="7" t="e">
        <f t="shared" si="305"/>
        <v>#DIV/0!</v>
      </c>
    </row>
    <row r="546" spans="1:13" ht="15.75" customHeight="1" hidden="1">
      <c r="A546" s="31" t="s">
        <v>647</v>
      </c>
      <c r="B546" s="42" t="s">
        <v>303</v>
      </c>
      <c r="C546" s="42" t="s">
        <v>252</v>
      </c>
      <c r="D546" s="42" t="s">
        <v>651</v>
      </c>
      <c r="E546" s="42" t="s">
        <v>648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 t="e">
        <f t="shared" si="305"/>
        <v>#DIV/0!</v>
      </c>
    </row>
    <row r="547" spans="1:13" ht="31.5" customHeight="1" hidden="1">
      <c r="A547" s="26" t="s">
        <v>474</v>
      </c>
      <c r="B547" s="42" t="s">
        <v>303</v>
      </c>
      <c r="C547" s="42" t="s">
        <v>252</v>
      </c>
      <c r="D547" s="42" t="s">
        <v>475</v>
      </c>
      <c r="E547" s="42"/>
      <c r="F547" s="7">
        <f>F548</f>
        <v>0</v>
      </c>
      <c r="G547" s="7">
        <f aca="true" t="shared" si="314" ref="G547:L548">G548</f>
        <v>0</v>
      </c>
      <c r="H547" s="7">
        <f t="shared" si="314"/>
        <v>0</v>
      </c>
      <c r="I547" s="7">
        <f t="shared" si="314"/>
        <v>0</v>
      </c>
      <c r="J547" s="7">
        <f t="shared" si="314"/>
        <v>0</v>
      </c>
      <c r="K547" s="7">
        <f t="shared" si="314"/>
        <v>0</v>
      </c>
      <c r="L547" s="7">
        <f t="shared" si="314"/>
        <v>0</v>
      </c>
      <c r="M547" s="7" t="e">
        <f t="shared" si="305"/>
        <v>#DIV/0!</v>
      </c>
    </row>
    <row r="548" spans="1:13" ht="47.25" customHeight="1" hidden="1">
      <c r="A548" s="26" t="s">
        <v>311</v>
      </c>
      <c r="B548" s="42" t="s">
        <v>303</v>
      </c>
      <c r="C548" s="42" t="s">
        <v>252</v>
      </c>
      <c r="D548" s="42" t="s">
        <v>475</v>
      </c>
      <c r="E548" s="42" t="s">
        <v>312</v>
      </c>
      <c r="F548" s="7">
        <f>F549</f>
        <v>0</v>
      </c>
      <c r="G548" s="7">
        <f t="shared" si="314"/>
        <v>0</v>
      </c>
      <c r="H548" s="7">
        <f t="shared" si="314"/>
        <v>0</v>
      </c>
      <c r="I548" s="7">
        <f t="shared" si="314"/>
        <v>0</v>
      </c>
      <c r="J548" s="7">
        <f t="shared" si="314"/>
        <v>0</v>
      </c>
      <c r="K548" s="7">
        <f t="shared" si="314"/>
        <v>0</v>
      </c>
      <c r="L548" s="7">
        <f t="shared" si="314"/>
        <v>0</v>
      </c>
      <c r="M548" s="7" t="e">
        <f t="shared" si="305"/>
        <v>#DIV/0!</v>
      </c>
    </row>
    <row r="549" spans="1:13" ht="15.75" customHeight="1" hidden="1">
      <c r="A549" s="26" t="s">
        <v>313</v>
      </c>
      <c r="B549" s="42" t="s">
        <v>303</v>
      </c>
      <c r="C549" s="42" t="s">
        <v>252</v>
      </c>
      <c r="D549" s="42" t="s">
        <v>475</v>
      </c>
      <c r="E549" s="42" t="s">
        <v>314</v>
      </c>
      <c r="F549" s="7"/>
      <c r="G549" s="7"/>
      <c r="H549" s="7"/>
      <c r="I549" s="7"/>
      <c r="J549" s="7"/>
      <c r="K549" s="7"/>
      <c r="L549" s="7"/>
      <c r="M549" s="7" t="e">
        <f t="shared" si="305"/>
        <v>#DIV/0!</v>
      </c>
    </row>
    <row r="550" spans="1:13" ht="47.25">
      <c r="A550" s="31" t="s">
        <v>652</v>
      </c>
      <c r="B550" s="42" t="s">
        <v>303</v>
      </c>
      <c r="C550" s="42" t="s">
        <v>252</v>
      </c>
      <c r="D550" s="42" t="s">
        <v>477</v>
      </c>
      <c r="E550" s="42"/>
      <c r="F550" s="7" t="e">
        <f>F551</f>
        <v>#REF!</v>
      </c>
      <c r="G550" s="7" t="e">
        <f aca="true" t="shared" si="315" ref="G550:L551">G551</f>
        <v>#REF!</v>
      </c>
      <c r="H550" s="7" t="e">
        <f t="shared" si="315"/>
        <v>#REF!</v>
      </c>
      <c r="I550" s="7" t="e">
        <f t="shared" si="315"/>
        <v>#REF!</v>
      </c>
      <c r="J550" s="7" t="e">
        <f t="shared" si="315"/>
        <v>#REF!</v>
      </c>
      <c r="K550" s="7">
        <f t="shared" si="315"/>
        <v>2914.2000000000003</v>
      </c>
      <c r="L550" s="7">
        <f t="shared" si="315"/>
        <v>1488</v>
      </c>
      <c r="M550" s="7">
        <f t="shared" si="305"/>
        <v>51.060325303685396</v>
      </c>
    </row>
    <row r="551" spans="1:13" ht="47.25">
      <c r="A551" s="31" t="s">
        <v>311</v>
      </c>
      <c r="B551" s="42" t="s">
        <v>303</v>
      </c>
      <c r="C551" s="42" t="s">
        <v>252</v>
      </c>
      <c r="D551" s="42" t="s">
        <v>477</v>
      </c>
      <c r="E551" s="42" t="s">
        <v>312</v>
      </c>
      <c r="F551" s="7" t="e">
        <f>F552</f>
        <v>#REF!</v>
      </c>
      <c r="G551" s="7" t="e">
        <f t="shared" si="315"/>
        <v>#REF!</v>
      </c>
      <c r="H551" s="7" t="e">
        <f t="shared" si="315"/>
        <v>#REF!</v>
      </c>
      <c r="I551" s="7" t="e">
        <f t="shared" si="315"/>
        <v>#REF!</v>
      </c>
      <c r="J551" s="7" t="e">
        <f t="shared" si="315"/>
        <v>#REF!</v>
      </c>
      <c r="K551" s="7">
        <f t="shared" si="315"/>
        <v>2914.2000000000003</v>
      </c>
      <c r="L551" s="7">
        <f t="shared" si="315"/>
        <v>1488</v>
      </c>
      <c r="M551" s="7">
        <f t="shared" si="305"/>
        <v>51.060325303685396</v>
      </c>
    </row>
    <row r="552" spans="1:13" ht="15.75">
      <c r="A552" s="31" t="s">
        <v>313</v>
      </c>
      <c r="B552" s="42" t="s">
        <v>303</v>
      </c>
      <c r="C552" s="42" t="s">
        <v>252</v>
      </c>
      <c r="D552" s="42" t="s">
        <v>477</v>
      </c>
      <c r="E552" s="42" t="s">
        <v>314</v>
      </c>
      <c r="F552" s="7" t="e">
        <f>#REF!</f>
        <v>#REF!</v>
      </c>
      <c r="G552" s="7" t="e">
        <f>#REF!</f>
        <v>#REF!</v>
      </c>
      <c r="H552" s="7" t="e">
        <f>#REF!</f>
        <v>#REF!</v>
      </c>
      <c r="I552" s="7" t="e">
        <f>#REF!</f>
        <v>#REF!</v>
      </c>
      <c r="J552" s="7" t="e">
        <f>#REF!</f>
        <v>#REF!</v>
      </c>
      <c r="K552" s="7">
        <f>'Прил.№4 ведомств.'!G760</f>
        <v>2914.2000000000003</v>
      </c>
      <c r="L552" s="7">
        <f>'Прил.№4 ведомств.'!H760</f>
        <v>1488</v>
      </c>
      <c r="M552" s="7">
        <f t="shared" si="305"/>
        <v>51.060325303685396</v>
      </c>
    </row>
    <row r="553" spans="1:13" ht="63">
      <c r="A553" s="26" t="s">
        <v>478</v>
      </c>
      <c r="B553" s="42" t="s">
        <v>303</v>
      </c>
      <c r="C553" s="42" t="s">
        <v>252</v>
      </c>
      <c r="D553" s="21" t="s">
        <v>479</v>
      </c>
      <c r="E553" s="42"/>
      <c r="F553" s="7" t="e">
        <f>F554</f>
        <v>#REF!</v>
      </c>
      <c r="G553" s="7" t="e">
        <f aca="true" t="shared" si="316" ref="G553:L554">G554</f>
        <v>#REF!</v>
      </c>
      <c r="H553" s="7" t="e">
        <f t="shared" si="316"/>
        <v>#REF!</v>
      </c>
      <c r="I553" s="7" t="e">
        <f t="shared" si="316"/>
        <v>#REF!</v>
      </c>
      <c r="J553" s="7" t="e">
        <f t="shared" si="316"/>
        <v>#REF!</v>
      </c>
      <c r="K553" s="7">
        <f t="shared" si="316"/>
        <v>416</v>
      </c>
      <c r="L553" s="7">
        <f t="shared" si="316"/>
        <v>416</v>
      </c>
      <c r="M553" s="7">
        <f t="shared" si="305"/>
        <v>100</v>
      </c>
    </row>
    <row r="554" spans="1:13" ht="47.25">
      <c r="A554" s="26" t="s">
        <v>311</v>
      </c>
      <c r="B554" s="42" t="s">
        <v>303</v>
      </c>
      <c r="C554" s="42" t="s">
        <v>252</v>
      </c>
      <c r="D554" s="21" t="s">
        <v>479</v>
      </c>
      <c r="E554" s="42" t="s">
        <v>312</v>
      </c>
      <c r="F554" s="7" t="e">
        <f>F555</f>
        <v>#REF!</v>
      </c>
      <c r="G554" s="7" t="e">
        <f t="shared" si="316"/>
        <v>#REF!</v>
      </c>
      <c r="H554" s="7" t="e">
        <f t="shared" si="316"/>
        <v>#REF!</v>
      </c>
      <c r="I554" s="7" t="e">
        <f t="shared" si="316"/>
        <v>#REF!</v>
      </c>
      <c r="J554" s="7" t="e">
        <f t="shared" si="316"/>
        <v>#REF!</v>
      </c>
      <c r="K554" s="7">
        <f t="shared" si="316"/>
        <v>416</v>
      </c>
      <c r="L554" s="7">
        <f t="shared" si="316"/>
        <v>416</v>
      </c>
      <c r="M554" s="7">
        <f t="shared" si="305"/>
        <v>100</v>
      </c>
    </row>
    <row r="555" spans="1:13" ht="15.75">
      <c r="A555" s="26" t="s">
        <v>313</v>
      </c>
      <c r="B555" s="42" t="s">
        <v>303</v>
      </c>
      <c r="C555" s="42" t="s">
        <v>252</v>
      </c>
      <c r="D555" s="21" t="s">
        <v>479</v>
      </c>
      <c r="E555" s="42" t="s">
        <v>314</v>
      </c>
      <c r="F555" s="7" t="e">
        <f>#REF!</f>
        <v>#REF!</v>
      </c>
      <c r="G555" s="7" t="e">
        <f>#REF!</f>
        <v>#REF!</v>
      </c>
      <c r="H555" s="7" t="e">
        <f>#REF!</f>
        <v>#REF!</v>
      </c>
      <c r="I555" s="7" t="e">
        <f>#REF!</f>
        <v>#REF!</v>
      </c>
      <c r="J555" s="7" t="e">
        <f>#REF!</f>
        <v>#REF!</v>
      </c>
      <c r="K555" s="7">
        <f>'Прил.№4 ведомств.'!G763</f>
        <v>416</v>
      </c>
      <c r="L555" s="7">
        <f>'Прил.№4 ведомств.'!H763</f>
        <v>416</v>
      </c>
      <c r="M555" s="7">
        <f t="shared" si="305"/>
        <v>100</v>
      </c>
    </row>
    <row r="556" spans="1:13" ht="47.25">
      <c r="A556" s="26" t="s">
        <v>480</v>
      </c>
      <c r="B556" s="42" t="s">
        <v>303</v>
      </c>
      <c r="C556" s="42" t="s">
        <v>252</v>
      </c>
      <c r="D556" s="21" t="s">
        <v>481</v>
      </c>
      <c r="E556" s="42"/>
      <c r="F556" s="7"/>
      <c r="G556" s="7"/>
      <c r="H556" s="7"/>
      <c r="I556" s="7"/>
      <c r="J556" s="7"/>
      <c r="K556" s="7">
        <f>K557</f>
        <v>57.3</v>
      </c>
      <c r="L556" s="7">
        <f aca="true" t="shared" si="317" ref="L556:L557">L557</f>
        <v>57.3</v>
      </c>
      <c r="M556" s="7">
        <f t="shared" si="305"/>
        <v>100</v>
      </c>
    </row>
    <row r="557" spans="1:13" ht="47.25">
      <c r="A557" s="26" t="s">
        <v>311</v>
      </c>
      <c r="B557" s="42" t="s">
        <v>303</v>
      </c>
      <c r="C557" s="42" t="s">
        <v>252</v>
      </c>
      <c r="D557" s="21" t="s">
        <v>481</v>
      </c>
      <c r="E557" s="42" t="s">
        <v>312</v>
      </c>
      <c r="F557" s="7"/>
      <c r="G557" s="7"/>
      <c r="H557" s="7"/>
      <c r="I557" s="7"/>
      <c r="J557" s="7"/>
      <c r="K557" s="7">
        <f>K558</f>
        <v>57.3</v>
      </c>
      <c r="L557" s="7">
        <f t="shared" si="317"/>
        <v>57.3</v>
      </c>
      <c r="M557" s="7">
        <f t="shared" si="305"/>
        <v>100</v>
      </c>
    </row>
    <row r="558" spans="1:13" ht="15.75">
      <c r="A558" s="26" t="s">
        <v>313</v>
      </c>
      <c r="B558" s="42" t="s">
        <v>303</v>
      </c>
      <c r="C558" s="42" t="s">
        <v>252</v>
      </c>
      <c r="D558" s="21" t="s">
        <v>481</v>
      </c>
      <c r="E558" s="42" t="s">
        <v>314</v>
      </c>
      <c r="F558" s="7"/>
      <c r="G558" s="7"/>
      <c r="H558" s="7"/>
      <c r="I558" s="7"/>
      <c r="J558" s="7"/>
      <c r="K558" s="7">
        <f>'Прил.№4 ведомств.'!G766</f>
        <v>57.3</v>
      </c>
      <c r="L558" s="7">
        <f>'Прил.№4 ведомств.'!H766</f>
        <v>57.3</v>
      </c>
      <c r="M558" s="7">
        <f t="shared" si="305"/>
        <v>100</v>
      </c>
    </row>
    <row r="559" spans="1:13" ht="31.5">
      <c r="A559" s="26" t="s">
        <v>317</v>
      </c>
      <c r="B559" s="42" t="s">
        <v>303</v>
      </c>
      <c r="C559" s="42" t="s">
        <v>252</v>
      </c>
      <c r="D559" s="21" t="s">
        <v>482</v>
      </c>
      <c r="E559" s="42"/>
      <c r="F559" s="7" t="e">
        <f>F560</f>
        <v>#REF!</v>
      </c>
      <c r="G559" s="7" t="e">
        <f aca="true" t="shared" si="318" ref="G559:L560">G560</f>
        <v>#REF!</v>
      </c>
      <c r="H559" s="7" t="e">
        <f t="shared" si="318"/>
        <v>#REF!</v>
      </c>
      <c r="I559" s="7" t="e">
        <f t="shared" si="318"/>
        <v>#REF!</v>
      </c>
      <c r="J559" s="7" t="e">
        <f t="shared" si="318"/>
        <v>#REF!</v>
      </c>
      <c r="K559" s="7">
        <f t="shared" si="318"/>
        <v>1337.5</v>
      </c>
      <c r="L559" s="7">
        <f t="shared" si="318"/>
        <v>1311.4</v>
      </c>
      <c r="M559" s="7">
        <f t="shared" si="305"/>
        <v>98.04859813084113</v>
      </c>
    </row>
    <row r="560" spans="1:13" ht="47.25">
      <c r="A560" s="26" t="s">
        <v>311</v>
      </c>
      <c r="B560" s="42" t="s">
        <v>303</v>
      </c>
      <c r="C560" s="42" t="s">
        <v>252</v>
      </c>
      <c r="D560" s="21" t="s">
        <v>482</v>
      </c>
      <c r="E560" s="42" t="s">
        <v>312</v>
      </c>
      <c r="F560" s="7" t="e">
        <f>F561</f>
        <v>#REF!</v>
      </c>
      <c r="G560" s="7" t="e">
        <f t="shared" si="318"/>
        <v>#REF!</v>
      </c>
      <c r="H560" s="7" t="e">
        <f t="shared" si="318"/>
        <v>#REF!</v>
      </c>
      <c r="I560" s="7" t="e">
        <f t="shared" si="318"/>
        <v>#REF!</v>
      </c>
      <c r="J560" s="7" t="e">
        <f t="shared" si="318"/>
        <v>#REF!</v>
      </c>
      <c r="K560" s="7">
        <f t="shared" si="318"/>
        <v>1337.5</v>
      </c>
      <c r="L560" s="7">
        <f t="shared" si="318"/>
        <v>1311.4</v>
      </c>
      <c r="M560" s="7">
        <f t="shared" si="305"/>
        <v>98.04859813084113</v>
      </c>
    </row>
    <row r="561" spans="1:13" ht="15.75">
      <c r="A561" s="26" t="s">
        <v>313</v>
      </c>
      <c r="B561" s="42" t="s">
        <v>303</v>
      </c>
      <c r="C561" s="42" t="s">
        <v>252</v>
      </c>
      <c r="D561" s="21" t="s">
        <v>482</v>
      </c>
      <c r="E561" s="42" t="s">
        <v>314</v>
      </c>
      <c r="F561" s="7" t="e">
        <f>#REF!</f>
        <v>#REF!</v>
      </c>
      <c r="G561" s="7" t="e">
        <f>#REF!</f>
        <v>#REF!</v>
      </c>
      <c r="H561" s="7" t="e">
        <f>#REF!</f>
        <v>#REF!</v>
      </c>
      <c r="I561" s="7" t="e">
        <f>#REF!</f>
        <v>#REF!</v>
      </c>
      <c r="J561" s="7" t="e">
        <f>#REF!</f>
        <v>#REF!</v>
      </c>
      <c r="K561" s="7">
        <f>'Прил.№4 ведомств.'!G769</f>
        <v>1337.5</v>
      </c>
      <c r="L561" s="7">
        <f>'Прил.№4 ведомств.'!H769</f>
        <v>1311.4</v>
      </c>
      <c r="M561" s="7">
        <f t="shared" si="305"/>
        <v>98.04859813084113</v>
      </c>
    </row>
    <row r="562" spans="1:13" ht="31.5">
      <c r="A562" s="26" t="s">
        <v>319</v>
      </c>
      <c r="B562" s="21" t="s">
        <v>303</v>
      </c>
      <c r="C562" s="21" t="s">
        <v>252</v>
      </c>
      <c r="D562" s="21" t="s">
        <v>483</v>
      </c>
      <c r="E562" s="21"/>
      <c r="F562" s="7" t="e">
        <f>F563</f>
        <v>#REF!</v>
      </c>
      <c r="G562" s="7" t="e">
        <f aca="true" t="shared" si="319" ref="G562:L563">G563</f>
        <v>#REF!</v>
      </c>
      <c r="H562" s="7" t="e">
        <f t="shared" si="319"/>
        <v>#REF!</v>
      </c>
      <c r="I562" s="7" t="e">
        <f t="shared" si="319"/>
        <v>#REF!</v>
      </c>
      <c r="J562" s="7" t="e">
        <f t="shared" si="319"/>
        <v>#REF!</v>
      </c>
      <c r="K562" s="7">
        <f t="shared" si="319"/>
        <v>547.2</v>
      </c>
      <c r="L562" s="7">
        <f t="shared" si="319"/>
        <v>547.2</v>
      </c>
      <c r="M562" s="7">
        <f t="shared" si="305"/>
        <v>100</v>
      </c>
    </row>
    <row r="563" spans="1:13" ht="47.25">
      <c r="A563" s="26" t="s">
        <v>311</v>
      </c>
      <c r="B563" s="21" t="s">
        <v>303</v>
      </c>
      <c r="C563" s="21" t="s">
        <v>252</v>
      </c>
      <c r="D563" s="21" t="s">
        <v>483</v>
      </c>
      <c r="E563" s="21" t="s">
        <v>312</v>
      </c>
      <c r="F563" s="7" t="e">
        <f>F564</f>
        <v>#REF!</v>
      </c>
      <c r="G563" s="7" t="e">
        <f t="shared" si="319"/>
        <v>#REF!</v>
      </c>
      <c r="H563" s="7" t="e">
        <f t="shared" si="319"/>
        <v>#REF!</v>
      </c>
      <c r="I563" s="7" t="e">
        <f t="shared" si="319"/>
        <v>#REF!</v>
      </c>
      <c r="J563" s="7" t="e">
        <f t="shared" si="319"/>
        <v>#REF!</v>
      </c>
      <c r="K563" s="7">
        <f t="shared" si="319"/>
        <v>547.2</v>
      </c>
      <c r="L563" s="7">
        <f t="shared" si="319"/>
        <v>547.2</v>
      </c>
      <c r="M563" s="7">
        <f t="shared" si="305"/>
        <v>100</v>
      </c>
    </row>
    <row r="564" spans="1:13" ht="15.75">
      <c r="A564" s="26" t="s">
        <v>313</v>
      </c>
      <c r="B564" s="21" t="s">
        <v>303</v>
      </c>
      <c r="C564" s="21" t="s">
        <v>252</v>
      </c>
      <c r="D564" s="21" t="s">
        <v>483</v>
      </c>
      <c r="E564" s="21" t="s">
        <v>314</v>
      </c>
      <c r="F564" s="7" t="e">
        <f>#REF!</f>
        <v>#REF!</v>
      </c>
      <c r="G564" s="7" t="e">
        <f>#REF!</f>
        <v>#REF!</v>
      </c>
      <c r="H564" s="7" t="e">
        <f>#REF!</f>
        <v>#REF!</v>
      </c>
      <c r="I564" s="7" t="e">
        <f>#REF!</f>
        <v>#REF!</v>
      </c>
      <c r="J564" s="7" t="e">
        <f>#REF!</f>
        <v>#REF!</v>
      </c>
      <c r="K564" s="7">
        <f>'Прил.№4 ведомств.'!G772</f>
        <v>547.2</v>
      </c>
      <c r="L564" s="7">
        <f>'Прил.№4 ведомств.'!H772</f>
        <v>547.2</v>
      </c>
      <c r="M564" s="7">
        <f t="shared" si="305"/>
        <v>100</v>
      </c>
    </row>
    <row r="565" spans="1:13" ht="31.5">
      <c r="A565" s="31" t="s">
        <v>321</v>
      </c>
      <c r="B565" s="42" t="s">
        <v>303</v>
      </c>
      <c r="C565" s="42" t="s">
        <v>252</v>
      </c>
      <c r="D565" s="42" t="s">
        <v>484</v>
      </c>
      <c r="E565" s="42"/>
      <c r="F565" s="7" t="e">
        <f>F566</f>
        <v>#REF!</v>
      </c>
      <c r="G565" s="7" t="e">
        <f aca="true" t="shared" si="320" ref="G565:L566">G566</f>
        <v>#REF!</v>
      </c>
      <c r="H565" s="7" t="e">
        <f t="shared" si="320"/>
        <v>#REF!</v>
      </c>
      <c r="I565" s="7" t="e">
        <f t="shared" si="320"/>
        <v>#REF!</v>
      </c>
      <c r="J565" s="7" t="e">
        <f t="shared" si="320"/>
        <v>#REF!</v>
      </c>
      <c r="K565" s="7">
        <f t="shared" si="320"/>
        <v>224.2</v>
      </c>
      <c r="L565" s="7">
        <f t="shared" si="320"/>
        <v>162.6</v>
      </c>
      <c r="M565" s="7">
        <f t="shared" si="305"/>
        <v>72.52453166815343</v>
      </c>
    </row>
    <row r="566" spans="1:13" ht="47.25">
      <c r="A566" s="31" t="s">
        <v>311</v>
      </c>
      <c r="B566" s="42" t="s">
        <v>303</v>
      </c>
      <c r="C566" s="42" t="s">
        <v>252</v>
      </c>
      <c r="D566" s="42" t="s">
        <v>484</v>
      </c>
      <c r="E566" s="42" t="s">
        <v>312</v>
      </c>
      <c r="F566" s="7" t="e">
        <f>F567</f>
        <v>#REF!</v>
      </c>
      <c r="G566" s="7" t="e">
        <f t="shared" si="320"/>
        <v>#REF!</v>
      </c>
      <c r="H566" s="7" t="e">
        <f t="shared" si="320"/>
        <v>#REF!</v>
      </c>
      <c r="I566" s="7" t="e">
        <f t="shared" si="320"/>
        <v>#REF!</v>
      </c>
      <c r="J566" s="7" t="e">
        <f t="shared" si="320"/>
        <v>#REF!</v>
      </c>
      <c r="K566" s="7">
        <f t="shared" si="320"/>
        <v>224.2</v>
      </c>
      <c r="L566" s="7">
        <f t="shared" si="320"/>
        <v>162.6</v>
      </c>
      <c r="M566" s="7">
        <f t="shared" si="305"/>
        <v>72.52453166815343</v>
      </c>
    </row>
    <row r="567" spans="1:13" ht="15.75">
      <c r="A567" s="31" t="s">
        <v>313</v>
      </c>
      <c r="B567" s="42" t="s">
        <v>303</v>
      </c>
      <c r="C567" s="42" t="s">
        <v>252</v>
      </c>
      <c r="D567" s="42" t="s">
        <v>484</v>
      </c>
      <c r="E567" s="42" t="s">
        <v>314</v>
      </c>
      <c r="F567" s="7" t="e">
        <f>#REF!</f>
        <v>#REF!</v>
      </c>
      <c r="G567" s="7" t="e">
        <f>#REF!</f>
        <v>#REF!</v>
      </c>
      <c r="H567" s="7" t="e">
        <f>#REF!</f>
        <v>#REF!</v>
      </c>
      <c r="I567" s="7" t="e">
        <f>#REF!</f>
        <v>#REF!</v>
      </c>
      <c r="J567" s="7" t="e">
        <f>#REF!</f>
        <v>#REF!</v>
      </c>
      <c r="K567" s="7">
        <f>'Прил.№4 ведомств.'!G775</f>
        <v>224.2</v>
      </c>
      <c r="L567" s="7">
        <f>'Прил.№4 ведомств.'!H775</f>
        <v>162.6</v>
      </c>
      <c r="M567" s="7">
        <f t="shared" si="305"/>
        <v>72.52453166815343</v>
      </c>
    </row>
    <row r="568" spans="1:13" ht="31.5" hidden="1">
      <c r="A568" s="31" t="s">
        <v>323</v>
      </c>
      <c r="B568" s="42" t="s">
        <v>303</v>
      </c>
      <c r="C568" s="42" t="s">
        <v>252</v>
      </c>
      <c r="D568" s="42" t="s">
        <v>485</v>
      </c>
      <c r="E568" s="42"/>
      <c r="F568" s="7" t="e">
        <f>F569</f>
        <v>#REF!</v>
      </c>
      <c r="G568" s="7" t="e">
        <f aca="true" t="shared" si="321" ref="G568:L569">G569</f>
        <v>#REF!</v>
      </c>
      <c r="H568" s="7" t="e">
        <f t="shared" si="321"/>
        <v>#REF!</v>
      </c>
      <c r="I568" s="7" t="e">
        <f t="shared" si="321"/>
        <v>#REF!</v>
      </c>
      <c r="J568" s="7" t="e">
        <f t="shared" si="321"/>
        <v>#REF!</v>
      </c>
      <c r="K568" s="7">
        <f t="shared" si="321"/>
        <v>658.1</v>
      </c>
      <c r="L568" s="7">
        <f t="shared" si="321"/>
        <v>658.2</v>
      </c>
      <c r="M568" s="7">
        <f t="shared" si="305"/>
        <v>100.01519525907918</v>
      </c>
    </row>
    <row r="569" spans="1:13" ht="47.25" hidden="1">
      <c r="A569" s="31" t="s">
        <v>311</v>
      </c>
      <c r="B569" s="42" t="s">
        <v>303</v>
      </c>
      <c r="C569" s="42" t="s">
        <v>252</v>
      </c>
      <c r="D569" s="42" t="s">
        <v>485</v>
      </c>
      <c r="E569" s="42" t="s">
        <v>312</v>
      </c>
      <c r="F569" s="7" t="e">
        <f>F570</f>
        <v>#REF!</v>
      </c>
      <c r="G569" s="7" t="e">
        <f t="shared" si="321"/>
        <v>#REF!</v>
      </c>
      <c r="H569" s="7" t="e">
        <f t="shared" si="321"/>
        <v>#REF!</v>
      </c>
      <c r="I569" s="7" t="e">
        <f t="shared" si="321"/>
        <v>#REF!</v>
      </c>
      <c r="J569" s="7" t="e">
        <f t="shared" si="321"/>
        <v>#REF!</v>
      </c>
      <c r="K569" s="7">
        <f t="shared" si="321"/>
        <v>658.1</v>
      </c>
      <c r="L569" s="7">
        <f t="shared" si="321"/>
        <v>658.2</v>
      </c>
      <c r="M569" s="7">
        <f t="shared" si="305"/>
        <v>100.01519525907918</v>
      </c>
    </row>
    <row r="570" spans="1:13" ht="15.75" hidden="1">
      <c r="A570" s="31" t="s">
        <v>313</v>
      </c>
      <c r="B570" s="42" t="s">
        <v>303</v>
      </c>
      <c r="C570" s="42" t="s">
        <v>252</v>
      </c>
      <c r="D570" s="42" t="s">
        <v>485</v>
      </c>
      <c r="E570" s="42" t="s">
        <v>314</v>
      </c>
      <c r="F570" s="7" t="e">
        <f>#REF!</f>
        <v>#REF!</v>
      </c>
      <c r="G570" s="7" t="e">
        <f>#REF!</f>
        <v>#REF!</v>
      </c>
      <c r="H570" s="7" t="e">
        <f>#REF!</f>
        <v>#REF!</v>
      </c>
      <c r="I570" s="7" t="e">
        <f>#REF!</f>
        <v>#REF!</v>
      </c>
      <c r="J570" s="7" t="e">
        <f>#REF!</f>
        <v>#REF!</v>
      </c>
      <c r="K570" s="7">
        <f>'Прил.№4 ведомств.'!G778</f>
        <v>658.1</v>
      </c>
      <c r="L570" s="7">
        <f>'Прил.№4 ведомств.'!H778</f>
        <v>658.2</v>
      </c>
      <c r="M570" s="7">
        <f t="shared" si="305"/>
        <v>100.01519525907918</v>
      </c>
    </row>
    <row r="571" spans="1:13" ht="31.5" customHeight="1">
      <c r="A571" s="198" t="s">
        <v>837</v>
      </c>
      <c r="B571" s="21" t="s">
        <v>303</v>
      </c>
      <c r="C571" s="21" t="s">
        <v>252</v>
      </c>
      <c r="D571" s="21" t="s">
        <v>839</v>
      </c>
      <c r="E571" s="21"/>
      <c r="F571" s="7" t="e">
        <f>F572</f>
        <v>#REF!</v>
      </c>
      <c r="G571" s="243" t="e">
        <f aca="true" t="shared" si="322" ref="G571:L571">G572</f>
        <v>#REF!</v>
      </c>
      <c r="H571" s="7" t="e">
        <f t="shared" si="322"/>
        <v>#REF!</v>
      </c>
      <c r="I571" s="7" t="e">
        <f t="shared" si="322"/>
        <v>#REF!</v>
      </c>
      <c r="J571" s="7" t="e">
        <f t="shared" si="322"/>
        <v>#REF!</v>
      </c>
      <c r="K571" s="7">
        <f t="shared" si="322"/>
        <v>2634</v>
      </c>
      <c r="L571" s="7">
        <f t="shared" si="322"/>
        <v>2634</v>
      </c>
      <c r="M571" s="7">
        <f t="shared" si="305"/>
        <v>100</v>
      </c>
    </row>
    <row r="572" spans="1:13" ht="21.75" customHeight="1">
      <c r="A572" s="31" t="s">
        <v>647</v>
      </c>
      <c r="B572" s="21" t="s">
        <v>303</v>
      </c>
      <c r="C572" s="21" t="s">
        <v>252</v>
      </c>
      <c r="D572" s="21" t="s">
        <v>839</v>
      </c>
      <c r="E572" s="21" t="s">
        <v>312</v>
      </c>
      <c r="F572" s="7" t="e">
        <f aca="true" t="shared" si="323" ref="F572:J572">F577</f>
        <v>#REF!</v>
      </c>
      <c r="G572" s="7" t="e">
        <f t="shared" si="323"/>
        <v>#REF!</v>
      </c>
      <c r="H572" s="7" t="e">
        <f t="shared" si="323"/>
        <v>#REF!</v>
      </c>
      <c r="I572" s="7" t="e">
        <f t="shared" si="323"/>
        <v>#REF!</v>
      </c>
      <c r="J572" s="7" t="e">
        <f t="shared" si="323"/>
        <v>#REF!</v>
      </c>
      <c r="K572" s="7">
        <f>K573</f>
        <v>2634</v>
      </c>
      <c r="L572" s="7">
        <f>L573</f>
        <v>2634</v>
      </c>
      <c r="M572" s="7">
        <f t="shared" si="305"/>
        <v>100</v>
      </c>
    </row>
    <row r="573" spans="1:13" s="299" customFormat="1" ht="21.75" customHeight="1">
      <c r="A573" s="31" t="s">
        <v>313</v>
      </c>
      <c r="B573" s="21" t="s">
        <v>303</v>
      </c>
      <c r="C573" s="21" t="s">
        <v>252</v>
      </c>
      <c r="D573" s="21" t="s">
        <v>839</v>
      </c>
      <c r="E573" s="21" t="s">
        <v>314</v>
      </c>
      <c r="F573" s="7" t="e">
        <f>#REF!</f>
        <v>#REF!</v>
      </c>
      <c r="G573" s="7" t="e">
        <f>#REF!</f>
        <v>#REF!</v>
      </c>
      <c r="H573" s="7" t="e">
        <f>#REF!</f>
        <v>#REF!</v>
      </c>
      <c r="I573" s="7" t="e">
        <f>#REF!</f>
        <v>#REF!</v>
      </c>
      <c r="J573" s="7" t="e">
        <f>#REF!</f>
        <v>#REF!</v>
      </c>
      <c r="K573" s="7">
        <f>'Прил.№4 ведомств.'!G781</f>
        <v>2634</v>
      </c>
      <c r="L573" s="7">
        <f>'Прил.№4 ведомств.'!H781</f>
        <v>2634</v>
      </c>
      <c r="M573" s="7">
        <f aca="true" t="shared" si="324" ref="M573">L573/K573*100</f>
        <v>100</v>
      </c>
    </row>
    <row r="574" spans="1:13" s="299" customFormat="1" ht="63">
      <c r="A574" s="242" t="s">
        <v>1057</v>
      </c>
      <c r="B574" s="21" t="s">
        <v>303</v>
      </c>
      <c r="C574" s="21" t="s">
        <v>252</v>
      </c>
      <c r="D574" s="21" t="s">
        <v>1058</v>
      </c>
      <c r="E574" s="21"/>
      <c r="F574" s="7"/>
      <c r="G574" s="7"/>
      <c r="H574" s="7"/>
      <c r="I574" s="7"/>
      <c r="J574" s="7"/>
      <c r="K574" s="7">
        <f>K575</f>
        <v>621.6</v>
      </c>
      <c r="L574" s="7">
        <f aca="true" t="shared" si="325" ref="L574:L575">L575</f>
        <v>369.1</v>
      </c>
      <c r="M574" s="7">
        <f t="shared" si="305"/>
        <v>59.37902187902188</v>
      </c>
    </row>
    <row r="575" spans="1:13" s="299" customFormat="1" ht="47.25">
      <c r="A575" s="33" t="s">
        <v>311</v>
      </c>
      <c r="B575" s="21" t="s">
        <v>303</v>
      </c>
      <c r="C575" s="21" t="s">
        <v>252</v>
      </c>
      <c r="D575" s="21" t="s">
        <v>1058</v>
      </c>
      <c r="E575" s="21" t="s">
        <v>312</v>
      </c>
      <c r="F575" s="7"/>
      <c r="G575" s="7"/>
      <c r="H575" s="7"/>
      <c r="I575" s="7"/>
      <c r="J575" s="7"/>
      <c r="K575" s="7">
        <f>K576</f>
        <v>621.6</v>
      </c>
      <c r="L575" s="7">
        <f t="shared" si="325"/>
        <v>369.1</v>
      </c>
      <c r="M575" s="7">
        <f t="shared" si="305"/>
        <v>59.37902187902188</v>
      </c>
    </row>
    <row r="576" spans="1:13" s="299" customFormat="1" ht="21.75" customHeight="1">
      <c r="A576" s="33" t="s">
        <v>313</v>
      </c>
      <c r="B576" s="21" t="s">
        <v>303</v>
      </c>
      <c r="C576" s="21" t="s">
        <v>252</v>
      </c>
      <c r="D576" s="21" t="s">
        <v>1058</v>
      </c>
      <c r="E576" s="21" t="s">
        <v>314</v>
      </c>
      <c r="F576" s="7"/>
      <c r="G576" s="7"/>
      <c r="H576" s="7"/>
      <c r="I576" s="7"/>
      <c r="J576" s="7"/>
      <c r="K576" s="7">
        <f>'Прил.№4 ведомств.'!G784</f>
        <v>621.6</v>
      </c>
      <c r="L576" s="7">
        <f>'Прил.№4 ведомств.'!H784</f>
        <v>369.1</v>
      </c>
      <c r="M576" s="7">
        <f t="shared" si="305"/>
        <v>59.37902187902188</v>
      </c>
    </row>
    <row r="577" spans="1:13" ht="15.75" customHeight="1" hidden="1">
      <c r="A577" s="31" t="s">
        <v>313</v>
      </c>
      <c r="B577" s="21" t="s">
        <v>303</v>
      </c>
      <c r="C577" s="21" t="s">
        <v>252</v>
      </c>
      <c r="D577" s="21" t="s">
        <v>839</v>
      </c>
      <c r="E577" s="21" t="s">
        <v>314</v>
      </c>
      <c r="F577" s="7" t="e">
        <f>#REF!</f>
        <v>#REF!</v>
      </c>
      <c r="G577" s="7" t="e">
        <f>#REF!</f>
        <v>#REF!</v>
      </c>
      <c r="H577" s="7" t="e">
        <f>#REF!</f>
        <v>#REF!</v>
      </c>
      <c r="I577" s="7" t="e">
        <f>#REF!</f>
        <v>#REF!</v>
      </c>
      <c r="J577" s="7" t="e">
        <f>#REF!</f>
        <v>#REF!</v>
      </c>
      <c r="K577" s="7"/>
      <c r="L577" s="7"/>
      <c r="M577" s="7"/>
    </row>
    <row r="578" spans="1:13" ht="54" customHeight="1">
      <c r="A578" s="33" t="s">
        <v>920</v>
      </c>
      <c r="B578" s="21" t="s">
        <v>303</v>
      </c>
      <c r="C578" s="21" t="s">
        <v>252</v>
      </c>
      <c r="D578" s="21" t="s">
        <v>363</v>
      </c>
      <c r="E578" s="21"/>
      <c r="F578" s="7"/>
      <c r="G578" s="7"/>
      <c r="H578" s="7"/>
      <c r="I578" s="7"/>
      <c r="J578" s="7"/>
      <c r="K578" s="7">
        <f>K579</f>
        <v>150</v>
      </c>
      <c r="L578" s="7">
        <f aca="true" t="shared" si="326" ref="L578:L580">L579</f>
        <v>150</v>
      </c>
      <c r="M578" s="7">
        <f t="shared" si="305"/>
        <v>100</v>
      </c>
    </row>
    <row r="579" spans="1:13" ht="51.75" customHeight="1">
      <c r="A579" s="33" t="s">
        <v>364</v>
      </c>
      <c r="B579" s="21" t="s">
        <v>303</v>
      </c>
      <c r="C579" s="21" t="s">
        <v>252</v>
      </c>
      <c r="D579" s="21" t="s">
        <v>365</v>
      </c>
      <c r="E579" s="21"/>
      <c r="F579" s="7"/>
      <c r="G579" s="7"/>
      <c r="H579" s="7"/>
      <c r="I579" s="7"/>
      <c r="J579" s="7"/>
      <c r="K579" s="7">
        <f>K580</f>
        <v>150</v>
      </c>
      <c r="L579" s="7">
        <f t="shared" si="326"/>
        <v>150</v>
      </c>
      <c r="M579" s="7">
        <f t="shared" si="305"/>
        <v>100</v>
      </c>
    </row>
    <row r="580" spans="1:13" ht="51" customHeight="1">
      <c r="A580" s="33" t="s">
        <v>311</v>
      </c>
      <c r="B580" s="21" t="s">
        <v>303</v>
      </c>
      <c r="C580" s="21" t="s">
        <v>252</v>
      </c>
      <c r="D580" s="21" t="s">
        <v>365</v>
      </c>
      <c r="E580" s="21" t="s">
        <v>312</v>
      </c>
      <c r="F580" s="7"/>
      <c r="G580" s="7"/>
      <c r="H580" s="7"/>
      <c r="I580" s="7"/>
      <c r="J580" s="7"/>
      <c r="K580" s="7">
        <f>K581</f>
        <v>150</v>
      </c>
      <c r="L580" s="7">
        <f t="shared" si="326"/>
        <v>150</v>
      </c>
      <c r="M580" s="7">
        <f t="shared" si="305"/>
        <v>100</v>
      </c>
    </row>
    <row r="581" spans="1:13" ht="15.75" customHeight="1">
      <c r="A581" s="33" t="s">
        <v>313</v>
      </c>
      <c r="B581" s="21" t="s">
        <v>303</v>
      </c>
      <c r="C581" s="21" t="s">
        <v>252</v>
      </c>
      <c r="D581" s="21" t="s">
        <v>365</v>
      </c>
      <c r="E581" s="21" t="s">
        <v>314</v>
      </c>
      <c r="F581" s="7"/>
      <c r="G581" s="7"/>
      <c r="H581" s="7"/>
      <c r="I581" s="7"/>
      <c r="J581" s="7"/>
      <c r="K581" s="7">
        <f>'Прил.№4 ведомств.'!G788</f>
        <v>150</v>
      </c>
      <c r="L581" s="7">
        <f>'Прил.№4 ведомств.'!H788</f>
        <v>150</v>
      </c>
      <c r="M581" s="7">
        <f t="shared" si="305"/>
        <v>100</v>
      </c>
    </row>
    <row r="582" spans="1:13" ht="63.75" customHeight="1">
      <c r="A582" s="31" t="s">
        <v>777</v>
      </c>
      <c r="B582" s="21" t="s">
        <v>303</v>
      </c>
      <c r="C582" s="21" t="s">
        <v>252</v>
      </c>
      <c r="D582" s="21" t="s">
        <v>775</v>
      </c>
      <c r="E582" s="34"/>
      <c r="F582" s="7"/>
      <c r="G582" s="7"/>
      <c r="H582" s="7"/>
      <c r="I582" s="7"/>
      <c r="J582" s="7"/>
      <c r="K582" s="7">
        <f>K583</f>
        <v>723.3</v>
      </c>
      <c r="L582" s="7">
        <f aca="true" t="shared" si="327" ref="L582:L584">L583</f>
        <v>605.3</v>
      </c>
      <c r="M582" s="7">
        <f t="shared" si="305"/>
        <v>83.68588414212637</v>
      </c>
    </row>
    <row r="583" spans="1:13" ht="52.5" customHeight="1">
      <c r="A583" s="119" t="s">
        <v>915</v>
      </c>
      <c r="B583" s="21" t="s">
        <v>303</v>
      </c>
      <c r="C583" s="21" t="s">
        <v>252</v>
      </c>
      <c r="D583" s="21" t="s">
        <v>916</v>
      </c>
      <c r="E583" s="34"/>
      <c r="F583" s="7"/>
      <c r="G583" s="7"/>
      <c r="H583" s="7"/>
      <c r="I583" s="7"/>
      <c r="J583" s="7"/>
      <c r="K583" s="7">
        <f>K584</f>
        <v>723.3</v>
      </c>
      <c r="L583" s="7">
        <f t="shared" si="327"/>
        <v>605.3</v>
      </c>
      <c r="M583" s="7">
        <f t="shared" si="305"/>
        <v>83.68588414212637</v>
      </c>
    </row>
    <row r="584" spans="1:13" ht="45" customHeight="1">
      <c r="A584" s="31" t="s">
        <v>311</v>
      </c>
      <c r="B584" s="21" t="s">
        <v>303</v>
      </c>
      <c r="C584" s="21" t="s">
        <v>252</v>
      </c>
      <c r="D584" s="21" t="s">
        <v>916</v>
      </c>
      <c r="E584" s="34" t="s">
        <v>312</v>
      </c>
      <c r="F584" s="7"/>
      <c r="G584" s="7"/>
      <c r="H584" s="7"/>
      <c r="I584" s="7"/>
      <c r="J584" s="7"/>
      <c r="K584" s="7">
        <f>K585</f>
        <v>723.3</v>
      </c>
      <c r="L584" s="7">
        <f t="shared" si="327"/>
        <v>605.3</v>
      </c>
      <c r="M584" s="7">
        <f t="shared" si="305"/>
        <v>83.68588414212637</v>
      </c>
    </row>
    <row r="585" spans="1:13" ht="15.75" customHeight="1">
      <c r="A585" s="242" t="s">
        <v>313</v>
      </c>
      <c r="B585" s="21" t="s">
        <v>303</v>
      </c>
      <c r="C585" s="21" t="s">
        <v>252</v>
      </c>
      <c r="D585" s="21" t="s">
        <v>916</v>
      </c>
      <c r="E585" s="34" t="s">
        <v>314</v>
      </c>
      <c r="F585" s="7"/>
      <c r="G585" s="7"/>
      <c r="H585" s="7"/>
      <c r="I585" s="7"/>
      <c r="J585" s="7"/>
      <c r="K585" s="7">
        <f>'Прил.№4 ведомств.'!G792</f>
        <v>723.3</v>
      </c>
      <c r="L585" s="7">
        <f>'Прил.№4 ведомств.'!H792</f>
        <v>605.3</v>
      </c>
      <c r="M585" s="7">
        <f t="shared" si="305"/>
        <v>83.68588414212637</v>
      </c>
    </row>
    <row r="586" spans="1:13" ht="15.75">
      <c r="A586" s="31" t="s">
        <v>160</v>
      </c>
      <c r="B586" s="42" t="s">
        <v>303</v>
      </c>
      <c r="C586" s="42" t="s">
        <v>252</v>
      </c>
      <c r="D586" s="42" t="s">
        <v>161</v>
      </c>
      <c r="E586" s="42"/>
      <c r="F586" s="7" t="e">
        <f aca="true" t="shared" si="328" ref="F586:L586">F587</f>
        <v>#REF!</v>
      </c>
      <c r="G586" s="7" t="e">
        <f t="shared" si="328"/>
        <v>#REF!</v>
      </c>
      <c r="H586" s="7" t="e">
        <f t="shared" si="328"/>
        <v>#REF!</v>
      </c>
      <c r="I586" s="7" t="e">
        <f t="shared" si="328"/>
        <v>#REF!</v>
      </c>
      <c r="J586" s="7" t="e">
        <f t="shared" si="328"/>
        <v>#REF!</v>
      </c>
      <c r="K586" s="7">
        <f t="shared" si="328"/>
        <v>103392.70000000001</v>
      </c>
      <c r="L586" s="7">
        <f t="shared" si="328"/>
        <v>89871.8</v>
      </c>
      <c r="M586" s="7">
        <f t="shared" si="305"/>
        <v>86.92277114341728</v>
      </c>
    </row>
    <row r="587" spans="1:13" ht="31.5">
      <c r="A587" s="31" t="s">
        <v>224</v>
      </c>
      <c r="B587" s="42" t="s">
        <v>303</v>
      </c>
      <c r="C587" s="42" t="s">
        <v>252</v>
      </c>
      <c r="D587" s="42" t="s">
        <v>225</v>
      </c>
      <c r="E587" s="42"/>
      <c r="F587" s="7" t="e">
        <f aca="true" t="shared" si="329" ref="F587:K587">F588+F591+F594+F597+F603+F606+F609+F612+F615+F600</f>
        <v>#REF!</v>
      </c>
      <c r="G587" s="7" t="e">
        <f t="shared" si="329"/>
        <v>#REF!</v>
      </c>
      <c r="H587" s="7" t="e">
        <f t="shared" si="329"/>
        <v>#REF!</v>
      </c>
      <c r="I587" s="7" t="e">
        <f t="shared" si="329"/>
        <v>#REF!</v>
      </c>
      <c r="J587" s="7" t="e">
        <f t="shared" si="329"/>
        <v>#REF!</v>
      </c>
      <c r="K587" s="7">
        <f t="shared" si="329"/>
        <v>103392.70000000001</v>
      </c>
      <c r="L587" s="7">
        <f aca="true" t="shared" si="330" ref="L587">L588+L591+L594+L597+L603+L606+L609+L612+L615+L600</f>
        <v>89871.8</v>
      </c>
      <c r="M587" s="7">
        <f t="shared" si="305"/>
        <v>86.92277114341728</v>
      </c>
    </row>
    <row r="588" spans="1:13" ht="47.25" customHeight="1" hidden="1">
      <c r="A588" s="26" t="s">
        <v>490</v>
      </c>
      <c r="B588" s="21" t="s">
        <v>303</v>
      </c>
      <c r="C588" s="21" t="s">
        <v>252</v>
      </c>
      <c r="D588" s="21" t="s">
        <v>491</v>
      </c>
      <c r="E588" s="21"/>
      <c r="F588" s="7">
        <f>F589</f>
        <v>0</v>
      </c>
      <c r="G588" s="7">
        <f aca="true" t="shared" si="331" ref="G588:L589">G589</f>
        <v>0</v>
      </c>
      <c r="H588" s="7">
        <f t="shared" si="331"/>
        <v>0</v>
      </c>
      <c r="I588" s="7">
        <f t="shared" si="331"/>
        <v>0</v>
      </c>
      <c r="J588" s="7">
        <f t="shared" si="331"/>
        <v>0</v>
      </c>
      <c r="K588" s="7">
        <f t="shared" si="331"/>
        <v>0</v>
      </c>
      <c r="L588" s="7">
        <f t="shared" si="331"/>
        <v>0</v>
      </c>
      <c r="M588" s="7" t="e">
        <f t="shared" si="305"/>
        <v>#DIV/0!</v>
      </c>
    </row>
    <row r="589" spans="1:13" ht="47.25" customHeight="1" hidden="1">
      <c r="A589" s="26" t="s">
        <v>311</v>
      </c>
      <c r="B589" s="21" t="s">
        <v>303</v>
      </c>
      <c r="C589" s="21" t="s">
        <v>252</v>
      </c>
      <c r="D589" s="21" t="s">
        <v>491</v>
      </c>
      <c r="E589" s="21" t="s">
        <v>312</v>
      </c>
      <c r="F589" s="7">
        <f>F590</f>
        <v>0</v>
      </c>
      <c r="G589" s="7">
        <f t="shared" si="331"/>
        <v>0</v>
      </c>
      <c r="H589" s="7">
        <f t="shared" si="331"/>
        <v>0</v>
      </c>
      <c r="I589" s="7">
        <f t="shared" si="331"/>
        <v>0</v>
      </c>
      <c r="J589" s="7">
        <f t="shared" si="331"/>
        <v>0</v>
      </c>
      <c r="K589" s="7">
        <f t="shared" si="331"/>
        <v>0</v>
      </c>
      <c r="L589" s="7">
        <f t="shared" si="331"/>
        <v>0</v>
      </c>
      <c r="M589" s="7" t="e">
        <f t="shared" si="305"/>
        <v>#DIV/0!</v>
      </c>
    </row>
    <row r="590" spans="1:13" ht="15.75" customHeight="1" hidden="1">
      <c r="A590" s="26" t="s">
        <v>313</v>
      </c>
      <c r="B590" s="21" t="s">
        <v>303</v>
      </c>
      <c r="C590" s="21" t="s">
        <v>252</v>
      </c>
      <c r="D590" s="21" t="s">
        <v>491</v>
      </c>
      <c r="E590" s="21" t="s">
        <v>314</v>
      </c>
      <c r="F590" s="7"/>
      <c r="G590" s="7"/>
      <c r="H590" s="7"/>
      <c r="I590" s="7"/>
      <c r="J590" s="7"/>
      <c r="K590" s="7"/>
      <c r="L590" s="7"/>
      <c r="M590" s="7" t="e">
        <f t="shared" si="305"/>
        <v>#DIV/0!</v>
      </c>
    </row>
    <row r="591" spans="1:13" ht="15.75" customHeight="1" hidden="1">
      <c r="A591" s="26" t="s">
        <v>492</v>
      </c>
      <c r="B591" s="21" t="s">
        <v>303</v>
      </c>
      <c r="C591" s="21" t="s">
        <v>252</v>
      </c>
      <c r="D591" s="21" t="s">
        <v>493</v>
      </c>
      <c r="E591" s="21"/>
      <c r="F591" s="7">
        <f>F592</f>
        <v>0</v>
      </c>
      <c r="G591" s="7">
        <f aca="true" t="shared" si="332" ref="G591:L592">G592</f>
        <v>0</v>
      </c>
      <c r="H591" s="7">
        <f t="shared" si="332"/>
        <v>0</v>
      </c>
      <c r="I591" s="7">
        <f t="shared" si="332"/>
        <v>0</v>
      </c>
      <c r="J591" s="7">
        <f t="shared" si="332"/>
        <v>0</v>
      </c>
      <c r="K591" s="7">
        <f t="shared" si="332"/>
        <v>0</v>
      </c>
      <c r="L591" s="7">
        <f t="shared" si="332"/>
        <v>0</v>
      </c>
      <c r="M591" s="7" t="e">
        <f aca="true" t="shared" si="333" ref="M591:M654">L591/K591*100</f>
        <v>#DIV/0!</v>
      </c>
    </row>
    <row r="592" spans="1:13" ht="47.25" customHeight="1" hidden="1">
      <c r="A592" s="26" t="s">
        <v>311</v>
      </c>
      <c r="B592" s="21" t="s">
        <v>303</v>
      </c>
      <c r="C592" s="21" t="s">
        <v>252</v>
      </c>
      <c r="D592" s="21" t="s">
        <v>493</v>
      </c>
      <c r="E592" s="21" t="s">
        <v>312</v>
      </c>
      <c r="F592" s="7">
        <f>F593</f>
        <v>0</v>
      </c>
      <c r="G592" s="7">
        <f t="shared" si="332"/>
        <v>0</v>
      </c>
      <c r="H592" s="7">
        <f t="shared" si="332"/>
        <v>0</v>
      </c>
      <c r="I592" s="7">
        <f t="shared" si="332"/>
        <v>0</v>
      </c>
      <c r="J592" s="7">
        <f t="shared" si="332"/>
        <v>0</v>
      </c>
      <c r="K592" s="7">
        <f t="shared" si="332"/>
        <v>0</v>
      </c>
      <c r="L592" s="7">
        <f t="shared" si="332"/>
        <v>0</v>
      </c>
      <c r="M592" s="7" t="e">
        <f t="shared" si="333"/>
        <v>#DIV/0!</v>
      </c>
    </row>
    <row r="593" spans="1:13" ht="15.75" customHeight="1" hidden="1">
      <c r="A593" s="26" t="s">
        <v>313</v>
      </c>
      <c r="B593" s="21" t="s">
        <v>303</v>
      </c>
      <c r="C593" s="21" t="s">
        <v>252</v>
      </c>
      <c r="D593" s="21" t="s">
        <v>493</v>
      </c>
      <c r="E593" s="21" t="s">
        <v>314</v>
      </c>
      <c r="F593" s="7"/>
      <c r="G593" s="7"/>
      <c r="H593" s="7"/>
      <c r="I593" s="7"/>
      <c r="J593" s="7"/>
      <c r="K593" s="7"/>
      <c r="L593" s="7"/>
      <c r="M593" s="7" t="e">
        <f t="shared" si="333"/>
        <v>#DIV/0!</v>
      </c>
    </row>
    <row r="594" spans="1:13" ht="31.5" customHeight="1" hidden="1">
      <c r="A594" s="31" t="s">
        <v>659</v>
      </c>
      <c r="B594" s="42" t="s">
        <v>303</v>
      </c>
      <c r="C594" s="42" t="s">
        <v>252</v>
      </c>
      <c r="D594" s="42" t="s">
        <v>495</v>
      </c>
      <c r="E594" s="42"/>
      <c r="F594" s="7">
        <f>F595</f>
        <v>0</v>
      </c>
      <c r="G594" s="7">
        <f aca="true" t="shared" si="334" ref="G594:L595">G595</f>
        <v>0</v>
      </c>
      <c r="H594" s="7">
        <f t="shared" si="334"/>
        <v>0</v>
      </c>
      <c r="I594" s="7">
        <f t="shared" si="334"/>
        <v>0</v>
      </c>
      <c r="J594" s="7">
        <f t="shared" si="334"/>
        <v>0</v>
      </c>
      <c r="K594" s="7">
        <f t="shared" si="334"/>
        <v>0</v>
      </c>
      <c r="L594" s="7">
        <f t="shared" si="334"/>
        <v>0</v>
      </c>
      <c r="M594" s="7" t="e">
        <f t="shared" si="333"/>
        <v>#DIV/0!</v>
      </c>
    </row>
    <row r="595" spans="1:13" ht="47.25" customHeight="1" hidden="1">
      <c r="A595" s="31" t="s">
        <v>311</v>
      </c>
      <c r="B595" s="42" t="s">
        <v>303</v>
      </c>
      <c r="C595" s="42" t="s">
        <v>252</v>
      </c>
      <c r="D595" s="42" t="s">
        <v>495</v>
      </c>
      <c r="E595" s="42" t="s">
        <v>312</v>
      </c>
      <c r="F595" s="7">
        <f>F596</f>
        <v>0</v>
      </c>
      <c r="G595" s="7">
        <f t="shared" si="334"/>
        <v>0</v>
      </c>
      <c r="H595" s="7">
        <f t="shared" si="334"/>
        <v>0</v>
      </c>
      <c r="I595" s="7">
        <f t="shared" si="334"/>
        <v>0</v>
      </c>
      <c r="J595" s="7">
        <f t="shared" si="334"/>
        <v>0</v>
      </c>
      <c r="K595" s="7">
        <f t="shared" si="334"/>
        <v>0</v>
      </c>
      <c r="L595" s="7">
        <f t="shared" si="334"/>
        <v>0</v>
      </c>
      <c r="M595" s="7" t="e">
        <f t="shared" si="333"/>
        <v>#DIV/0!</v>
      </c>
    </row>
    <row r="596" spans="1:13" ht="15.75" customHeight="1" hidden="1">
      <c r="A596" s="31" t="s">
        <v>313</v>
      </c>
      <c r="B596" s="42" t="s">
        <v>303</v>
      </c>
      <c r="C596" s="42" t="s">
        <v>252</v>
      </c>
      <c r="D596" s="42" t="s">
        <v>495</v>
      </c>
      <c r="E596" s="42" t="s">
        <v>314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 t="e">
        <f t="shared" si="333"/>
        <v>#DIV/0!</v>
      </c>
    </row>
    <row r="597" spans="1:13" ht="31.5">
      <c r="A597" s="31" t="s">
        <v>496</v>
      </c>
      <c r="B597" s="42" t="s">
        <v>303</v>
      </c>
      <c r="C597" s="42" t="s">
        <v>252</v>
      </c>
      <c r="D597" s="42" t="s">
        <v>497</v>
      </c>
      <c r="E597" s="42"/>
      <c r="F597" s="7" t="e">
        <f>F598</f>
        <v>#REF!</v>
      </c>
      <c r="G597" s="7" t="e">
        <f aca="true" t="shared" si="335" ref="G597:L598">G598</f>
        <v>#REF!</v>
      </c>
      <c r="H597" s="7" t="e">
        <f t="shared" si="335"/>
        <v>#REF!</v>
      </c>
      <c r="I597" s="7" t="e">
        <f t="shared" si="335"/>
        <v>#REF!</v>
      </c>
      <c r="J597" s="7" t="e">
        <f t="shared" si="335"/>
        <v>#REF!</v>
      </c>
      <c r="K597" s="7">
        <f t="shared" si="335"/>
        <v>1668.6</v>
      </c>
      <c r="L597" s="7">
        <f t="shared" si="335"/>
        <v>617</v>
      </c>
      <c r="M597" s="7">
        <f t="shared" si="333"/>
        <v>36.97710655639458</v>
      </c>
    </row>
    <row r="598" spans="1:13" ht="47.25">
      <c r="A598" s="31" t="s">
        <v>311</v>
      </c>
      <c r="B598" s="42" t="s">
        <v>303</v>
      </c>
      <c r="C598" s="42" t="s">
        <v>252</v>
      </c>
      <c r="D598" s="42" t="s">
        <v>497</v>
      </c>
      <c r="E598" s="42" t="s">
        <v>312</v>
      </c>
      <c r="F598" s="7" t="e">
        <f>F599</f>
        <v>#REF!</v>
      </c>
      <c r="G598" s="7" t="e">
        <f t="shared" si="335"/>
        <v>#REF!</v>
      </c>
      <c r="H598" s="7" t="e">
        <f t="shared" si="335"/>
        <v>#REF!</v>
      </c>
      <c r="I598" s="7" t="e">
        <f t="shared" si="335"/>
        <v>#REF!</v>
      </c>
      <c r="J598" s="7" t="e">
        <f t="shared" si="335"/>
        <v>#REF!</v>
      </c>
      <c r="K598" s="7">
        <f t="shared" si="335"/>
        <v>1668.6</v>
      </c>
      <c r="L598" s="7">
        <f t="shared" si="335"/>
        <v>617</v>
      </c>
      <c r="M598" s="7">
        <f t="shared" si="333"/>
        <v>36.97710655639458</v>
      </c>
    </row>
    <row r="599" spans="1:13" ht="15.75">
      <c r="A599" s="31" t="s">
        <v>313</v>
      </c>
      <c r="B599" s="42" t="s">
        <v>303</v>
      </c>
      <c r="C599" s="42" t="s">
        <v>252</v>
      </c>
      <c r="D599" s="42" t="s">
        <v>497</v>
      </c>
      <c r="E599" s="42" t="s">
        <v>314</v>
      </c>
      <c r="F599" s="7" t="e">
        <f>#REF!</f>
        <v>#REF!</v>
      </c>
      <c r="G599" s="7" t="e">
        <f>#REF!</f>
        <v>#REF!</v>
      </c>
      <c r="H599" s="7" t="e">
        <f>#REF!</f>
        <v>#REF!</v>
      </c>
      <c r="I599" s="7" t="e">
        <f>#REF!</f>
        <v>#REF!</v>
      </c>
      <c r="J599" s="7" t="e">
        <f>#REF!</f>
        <v>#REF!</v>
      </c>
      <c r="K599" s="7">
        <f>'Прил.№4 ведомств.'!G806</f>
        <v>1668.6</v>
      </c>
      <c r="L599" s="7">
        <f>'Прил.№4 ведомств.'!H806</f>
        <v>617</v>
      </c>
      <c r="M599" s="7">
        <f t="shared" si="333"/>
        <v>36.97710655639458</v>
      </c>
    </row>
    <row r="600" spans="1:13" ht="47.25">
      <c r="A600" s="26" t="s">
        <v>498</v>
      </c>
      <c r="B600" s="42" t="s">
        <v>303</v>
      </c>
      <c r="C600" s="42" t="s">
        <v>252</v>
      </c>
      <c r="D600" s="42" t="s">
        <v>499</v>
      </c>
      <c r="E600" s="42"/>
      <c r="F600" s="7" t="e">
        <f>F601</f>
        <v>#REF!</v>
      </c>
      <c r="G600" s="7" t="e">
        <f aca="true" t="shared" si="336" ref="G600:L601">G601</f>
        <v>#REF!</v>
      </c>
      <c r="H600" s="7" t="e">
        <f t="shared" si="336"/>
        <v>#REF!</v>
      </c>
      <c r="I600" s="7" t="e">
        <f t="shared" si="336"/>
        <v>#REF!</v>
      </c>
      <c r="J600" s="7" t="e">
        <f t="shared" si="336"/>
        <v>#REF!</v>
      </c>
      <c r="K600" s="7">
        <f t="shared" si="336"/>
        <v>496.7</v>
      </c>
      <c r="L600" s="7">
        <f t="shared" si="336"/>
        <v>256.5</v>
      </c>
      <c r="M600" s="7">
        <f t="shared" si="333"/>
        <v>51.64082947453191</v>
      </c>
    </row>
    <row r="601" spans="1:13" ht="47.25">
      <c r="A601" s="26" t="s">
        <v>311</v>
      </c>
      <c r="B601" s="42" t="s">
        <v>303</v>
      </c>
      <c r="C601" s="42" t="s">
        <v>252</v>
      </c>
      <c r="D601" s="42" t="s">
        <v>499</v>
      </c>
      <c r="E601" s="42" t="s">
        <v>312</v>
      </c>
      <c r="F601" s="7" t="e">
        <f>F602</f>
        <v>#REF!</v>
      </c>
      <c r="G601" s="7" t="e">
        <f t="shared" si="336"/>
        <v>#REF!</v>
      </c>
      <c r="H601" s="7" t="e">
        <f t="shared" si="336"/>
        <v>#REF!</v>
      </c>
      <c r="I601" s="7" t="e">
        <f t="shared" si="336"/>
        <v>#REF!</v>
      </c>
      <c r="J601" s="7" t="e">
        <f t="shared" si="336"/>
        <v>#REF!</v>
      </c>
      <c r="K601" s="7">
        <f t="shared" si="336"/>
        <v>496.7</v>
      </c>
      <c r="L601" s="7">
        <f t="shared" si="336"/>
        <v>256.5</v>
      </c>
      <c r="M601" s="7">
        <f t="shared" si="333"/>
        <v>51.64082947453191</v>
      </c>
    </row>
    <row r="602" spans="1:13" ht="15.75">
      <c r="A602" s="26" t="s">
        <v>313</v>
      </c>
      <c r="B602" s="42" t="s">
        <v>303</v>
      </c>
      <c r="C602" s="42" t="s">
        <v>252</v>
      </c>
      <c r="D602" s="42" t="s">
        <v>499</v>
      </c>
      <c r="E602" s="42" t="s">
        <v>314</v>
      </c>
      <c r="F602" s="7" t="e">
        <f>#REF!</f>
        <v>#REF!</v>
      </c>
      <c r="G602" s="7" t="e">
        <f>#REF!</f>
        <v>#REF!</v>
      </c>
      <c r="H602" s="7" t="e">
        <f>#REF!</f>
        <v>#REF!</v>
      </c>
      <c r="I602" s="7" t="e">
        <f>#REF!</f>
        <v>#REF!</v>
      </c>
      <c r="J602" s="7" t="e">
        <f>#REF!</f>
        <v>#REF!</v>
      </c>
      <c r="K602" s="7">
        <f>'Прил.№4 ведомств.'!G809</f>
        <v>496.7</v>
      </c>
      <c r="L602" s="7">
        <f>'Прил.№4 ведомств.'!H809</f>
        <v>256.5</v>
      </c>
      <c r="M602" s="7">
        <f t="shared" si="333"/>
        <v>51.64082947453191</v>
      </c>
    </row>
    <row r="603" spans="1:13" ht="78.75">
      <c r="A603" s="33" t="s">
        <v>500</v>
      </c>
      <c r="B603" s="42" t="s">
        <v>303</v>
      </c>
      <c r="C603" s="42" t="s">
        <v>252</v>
      </c>
      <c r="D603" s="42" t="s">
        <v>501</v>
      </c>
      <c r="E603" s="42"/>
      <c r="F603" s="7" t="e">
        <f>F604</f>
        <v>#REF!</v>
      </c>
      <c r="G603" s="7" t="e">
        <f aca="true" t="shared" si="337" ref="G603:L604">G604</f>
        <v>#REF!</v>
      </c>
      <c r="H603" s="7" t="e">
        <f t="shared" si="337"/>
        <v>#REF!</v>
      </c>
      <c r="I603" s="7" t="e">
        <f t="shared" si="337"/>
        <v>#REF!</v>
      </c>
      <c r="J603" s="7" t="e">
        <f t="shared" si="337"/>
        <v>#REF!</v>
      </c>
      <c r="K603" s="7">
        <f t="shared" si="337"/>
        <v>92562.79999999999</v>
      </c>
      <c r="L603" s="7">
        <f t="shared" si="337"/>
        <v>82772.1</v>
      </c>
      <c r="M603" s="7">
        <f t="shared" si="333"/>
        <v>89.42264062884875</v>
      </c>
    </row>
    <row r="604" spans="1:13" ht="47.25">
      <c r="A604" s="31" t="s">
        <v>311</v>
      </c>
      <c r="B604" s="42" t="s">
        <v>303</v>
      </c>
      <c r="C604" s="42" t="s">
        <v>252</v>
      </c>
      <c r="D604" s="42" t="s">
        <v>501</v>
      </c>
      <c r="E604" s="42" t="s">
        <v>312</v>
      </c>
      <c r="F604" s="7" t="e">
        <f>F605</f>
        <v>#REF!</v>
      </c>
      <c r="G604" s="7" t="e">
        <f t="shared" si="337"/>
        <v>#REF!</v>
      </c>
      <c r="H604" s="7" t="e">
        <f t="shared" si="337"/>
        <v>#REF!</v>
      </c>
      <c r="I604" s="7" t="e">
        <f t="shared" si="337"/>
        <v>#REF!</v>
      </c>
      <c r="J604" s="7" t="e">
        <f t="shared" si="337"/>
        <v>#REF!</v>
      </c>
      <c r="K604" s="7">
        <f t="shared" si="337"/>
        <v>92562.79999999999</v>
      </c>
      <c r="L604" s="7">
        <f t="shared" si="337"/>
        <v>82772.1</v>
      </c>
      <c r="M604" s="7">
        <f t="shared" si="333"/>
        <v>89.42264062884875</v>
      </c>
    </row>
    <row r="605" spans="1:13" ht="15.75">
      <c r="A605" s="31" t="s">
        <v>313</v>
      </c>
      <c r="B605" s="42" t="s">
        <v>303</v>
      </c>
      <c r="C605" s="42" t="s">
        <v>252</v>
      </c>
      <c r="D605" s="42" t="s">
        <v>501</v>
      </c>
      <c r="E605" s="42" t="s">
        <v>314</v>
      </c>
      <c r="F605" s="7" t="e">
        <f>#REF!</f>
        <v>#REF!</v>
      </c>
      <c r="G605" s="7" t="e">
        <f>#REF!</f>
        <v>#REF!</v>
      </c>
      <c r="H605" s="7" t="e">
        <f>#REF!</f>
        <v>#REF!</v>
      </c>
      <c r="I605" s="7" t="e">
        <f>#REF!</f>
        <v>#REF!</v>
      </c>
      <c r="J605" s="7" t="e">
        <f>#REF!</f>
        <v>#REF!</v>
      </c>
      <c r="K605" s="7">
        <f>'Прил.№4 ведомств.'!G812</f>
        <v>92562.79999999999</v>
      </c>
      <c r="L605" s="7">
        <f>'Прил.№4 ведомств.'!H812</f>
        <v>82772.1</v>
      </c>
      <c r="M605" s="7">
        <f t="shared" si="333"/>
        <v>89.42264062884875</v>
      </c>
    </row>
    <row r="606" spans="1:13" ht="63">
      <c r="A606" s="47" t="s">
        <v>328</v>
      </c>
      <c r="B606" s="42" t="s">
        <v>303</v>
      </c>
      <c r="C606" s="42" t="s">
        <v>252</v>
      </c>
      <c r="D606" s="42" t="s">
        <v>329</v>
      </c>
      <c r="E606" s="42"/>
      <c r="F606" s="7" t="e">
        <f>F607</f>
        <v>#REF!</v>
      </c>
      <c r="G606" s="7" t="e">
        <f aca="true" t="shared" si="338" ref="G606:L607">G607</f>
        <v>#REF!</v>
      </c>
      <c r="H606" s="7" t="e">
        <f t="shared" si="338"/>
        <v>#REF!</v>
      </c>
      <c r="I606" s="7" t="e">
        <f t="shared" si="338"/>
        <v>#REF!</v>
      </c>
      <c r="J606" s="7" t="e">
        <f t="shared" si="338"/>
        <v>#REF!</v>
      </c>
      <c r="K606" s="7">
        <f t="shared" si="338"/>
        <v>605.5999999999999</v>
      </c>
      <c r="L606" s="7">
        <f t="shared" si="338"/>
        <v>535.3</v>
      </c>
      <c r="M606" s="7">
        <f t="shared" si="333"/>
        <v>88.39167767503304</v>
      </c>
    </row>
    <row r="607" spans="1:13" ht="47.25">
      <c r="A607" s="31" t="s">
        <v>311</v>
      </c>
      <c r="B607" s="42" t="s">
        <v>303</v>
      </c>
      <c r="C607" s="42" t="s">
        <v>252</v>
      </c>
      <c r="D607" s="42" t="s">
        <v>329</v>
      </c>
      <c r="E607" s="42" t="s">
        <v>312</v>
      </c>
      <c r="F607" s="7" t="e">
        <f>F608</f>
        <v>#REF!</v>
      </c>
      <c r="G607" s="7" t="e">
        <f t="shared" si="338"/>
        <v>#REF!</v>
      </c>
      <c r="H607" s="7" t="e">
        <f t="shared" si="338"/>
        <v>#REF!</v>
      </c>
      <c r="I607" s="7" t="e">
        <f t="shared" si="338"/>
        <v>#REF!</v>
      </c>
      <c r="J607" s="7" t="e">
        <f t="shared" si="338"/>
        <v>#REF!</v>
      </c>
      <c r="K607" s="7">
        <f t="shared" si="338"/>
        <v>605.5999999999999</v>
      </c>
      <c r="L607" s="7">
        <f t="shared" si="338"/>
        <v>535.3</v>
      </c>
      <c r="M607" s="7">
        <f t="shared" si="333"/>
        <v>88.39167767503304</v>
      </c>
    </row>
    <row r="608" spans="1:13" ht="15.75">
      <c r="A608" s="31" t="s">
        <v>313</v>
      </c>
      <c r="B608" s="42" t="s">
        <v>303</v>
      </c>
      <c r="C608" s="42" t="s">
        <v>252</v>
      </c>
      <c r="D608" s="42" t="s">
        <v>329</v>
      </c>
      <c r="E608" s="42" t="s">
        <v>314</v>
      </c>
      <c r="F608" s="7" t="e">
        <f>#REF!</f>
        <v>#REF!</v>
      </c>
      <c r="G608" s="7" t="e">
        <f>#REF!</f>
        <v>#REF!</v>
      </c>
      <c r="H608" s="7" t="e">
        <f>#REF!</f>
        <v>#REF!</v>
      </c>
      <c r="I608" s="7" t="e">
        <f>#REF!</f>
        <v>#REF!</v>
      </c>
      <c r="J608" s="7" t="e">
        <f>#REF!</f>
        <v>#REF!</v>
      </c>
      <c r="K608" s="7">
        <f>'Прил.№4 ведомств.'!G815</f>
        <v>605.5999999999999</v>
      </c>
      <c r="L608" s="7">
        <f>'Прил.№4 ведомств.'!H815</f>
        <v>535.3</v>
      </c>
      <c r="M608" s="7">
        <f t="shared" si="333"/>
        <v>88.39167767503304</v>
      </c>
    </row>
    <row r="609" spans="1:13" ht="63">
      <c r="A609" s="47" t="s">
        <v>330</v>
      </c>
      <c r="B609" s="42" t="s">
        <v>303</v>
      </c>
      <c r="C609" s="42" t="s">
        <v>252</v>
      </c>
      <c r="D609" s="42" t="s">
        <v>331</v>
      </c>
      <c r="E609" s="42"/>
      <c r="F609" s="7" t="e">
        <f>F610</f>
        <v>#REF!</v>
      </c>
      <c r="G609" s="7" t="e">
        <f aca="true" t="shared" si="339" ref="G609:L610">G610</f>
        <v>#REF!</v>
      </c>
      <c r="H609" s="7" t="e">
        <f t="shared" si="339"/>
        <v>#REF!</v>
      </c>
      <c r="I609" s="7" t="e">
        <f t="shared" si="339"/>
        <v>#REF!</v>
      </c>
      <c r="J609" s="7" t="e">
        <f t="shared" si="339"/>
        <v>#REF!</v>
      </c>
      <c r="K609" s="7">
        <f t="shared" si="339"/>
        <v>2442.6</v>
      </c>
      <c r="L609" s="7">
        <f t="shared" si="339"/>
        <v>1825.4</v>
      </c>
      <c r="M609" s="7">
        <f t="shared" si="333"/>
        <v>74.73184311798904</v>
      </c>
    </row>
    <row r="610" spans="1:13" ht="47.25">
      <c r="A610" s="31" t="s">
        <v>311</v>
      </c>
      <c r="B610" s="42" t="s">
        <v>303</v>
      </c>
      <c r="C610" s="42" t="s">
        <v>252</v>
      </c>
      <c r="D610" s="42" t="s">
        <v>331</v>
      </c>
      <c r="E610" s="42" t="s">
        <v>312</v>
      </c>
      <c r="F610" s="7" t="e">
        <f>F611</f>
        <v>#REF!</v>
      </c>
      <c r="G610" s="7" t="e">
        <f t="shared" si="339"/>
        <v>#REF!</v>
      </c>
      <c r="H610" s="7" t="e">
        <f t="shared" si="339"/>
        <v>#REF!</v>
      </c>
      <c r="I610" s="7" t="e">
        <f t="shared" si="339"/>
        <v>#REF!</v>
      </c>
      <c r="J610" s="7" t="e">
        <f t="shared" si="339"/>
        <v>#REF!</v>
      </c>
      <c r="K610" s="7">
        <f t="shared" si="339"/>
        <v>2442.6</v>
      </c>
      <c r="L610" s="7">
        <f t="shared" si="339"/>
        <v>1825.4</v>
      </c>
      <c r="M610" s="7">
        <f t="shared" si="333"/>
        <v>74.73184311798904</v>
      </c>
    </row>
    <row r="611" spans="1:13" ht="15.75">
      <c r="A611" s="31" t="s">
        <v>313</v>
      </c>
      <c r="B611" s="42" t="s">
        <v>303</v>
      </c>
      <c r="C611" s="42" t="s">
        <v>252</v>
      </c>
      <c r="D611" s="42" t="s">
        <v>331</v>
      </c>
      <c r="E611" s="42" t="s">
        <v>314</v>
      </c>
      <c r="F611" s="7" t="e">
        <f>#REF!</f>
        <v>#REF!</v>
      </c>
      <c r="G611" s="7" t="e">
        <f>#REF!</f>
        <v>#REF!</v>
      </c>
      <c r="H611" s="7" t="e">
        <f>#REF!</f>
        <v>#REF!</v>
      </c>
      <c r="I611" s="7" t="e">
        <f>#REF!</f>
        <v>#REF!</v>
      </c>
      <c r="J611" s="7" t="e">
        <f>#REF!</f>
        <v>#REF!</v>
      </c>
      <c r="K611" s="7">
        <f>'Прил.№4 ведомств.'!G818</f>
        <v>2442.6</v>
      </c>
      <c r="L611" s="7">
        <f>'Прил.№4 ведомств.'!H818</f>
        <v>1825.4</v>
      </c>
      <c r="M611" s="7">
        <f t="shared" si="333"/>
        <v>74.73184311798904</v>
      </c>
    </row>
    <row r="612" spans="1:13" ht="47.25">
      <c r="A612" s="33" t="s">
        <v>502</v>
      </c>
      <c r="B612" s="42" t="s">
        <v>303</v>
      </c>
      <c r="C612" s="42" t="s">
        <v>252</v>
      </c>
      <c r="D612" s="42" t="s">
        <v>503</v>
      </c>
      <c r="E612" s="42"/>
      <c r="F612" s="7" t="e">
        <f>F613</f>
        <v>#REF!</v>
      </c>
      <c r="G612" s="7" t="e">
        <f aca="true" t="shared" si="340" ref="G612:L613">G613</f>
        <v>#REF!</v>
      </c>
      <c r="H612" s="7" t="e">
        <f t="shared" si="340"/>
        <v>#REF!</v>
      </c>
      <c r="I612" s="7" t="e">
        <f t="shared" si="340"/>
        <v>#REF!</v>
      </c>
      <c r="J612" s="7" t="e">
        <f t="shared" si="340"/>
        <v>#REF!</v>
      </c>
      <c r="K612" s="7">
        <f t="shared" si="340"/>
        <v>946.8</v>
      </c>
      <c r="L612" s="7">
        <f t="shared" si="340"/>
        <v>734.5</v>
      </c>
      <c r="M612" s="7">
        <f t="shared" si="333"/>
        <v>77.57710181664554</v>
      </c>
    </row>
    <row r="613" spans="1:13" ht="47.25">
      <c r="A613" s="31" t="s">
        <v>311</v>
      </c>
      <c r="B613" s="42" t="s">
        <v>303</v>
      </c>
      <c r="C613" s="42" t="s">
        <v>252</v>
      </c>
      <c r="D613" s="42" t="s">
        <v>503</v>
      </c>
      <c r="E613" s="42" t="s">
        <v>312</v>
      </c>
      <c r="F613" s="7" t="e">
        <f>F614</f>
        <v>#REF!</v>
      </c>
      <c r="G613" s="7" t="e">
        <f t="shared" si="340"/>
        <v>#REF!</v>
      </c>
      <c r="H613" s="7" t="e">
        <f t="shared" si="340"/>
        <v>#REF!</v>
      </c>
      <c r="I613" s="7" t="e">
        <f t="shared" si="340"/>
        <v>#REF!</v>
      </c>
      <c r="J613" s="7" t="e">
        <f t="shared" si="340"/>
        <v>#REF!</v>
      </c>
      <c r="K613" s="7">
        <f t="shared" si="340"/>
        <v>946.8</v>
      </c>
      <c r="L613" s="7">
        <f t="shared" si="340"/>
        <v>734.5</v>
      </c>
      <c r="M613" s="7">
        <f t="shared" si="333"/>
        <v>77.57710181664554</v>
      </c>
    </row>
    <row r="614" spans="1:13" ht="15.75">
      <c r="A614" s="31" t="s">
        <v>313</v>
      </c>
      <c r="B614" s="42" t="s">
        <v>303</v>
      </c>
      <c r="C614" s="42" t="s">
        <v>252</v>
      </c>
      <c r="D614" s="42" t="s">
        <v>503</v>
      </c>
      <c r="E614" s="42" t="s">
        <v>314</v>
      </c>
      <c r="F614" s="7" t="e">
        <f>#REF!</f>
        <v>#REF!</v>
      </c>
      <c r="G614" s="7" t="e">
        <f>#REF!</f>
        <v>#REF!</v>
      </c>
      <c r="H614" s="7" t="e">
        <f>#REF!</f>
        <v>#REF!</v>
      </c>
      <c r="I614" s="7" t="e">
        <f>#REF!</f>
        <v>#REF!</v>
      </c>
      <c r="J614" s="7" t="e">
        <f>#REF!</f>
        <v>#REF!</v>
      </c>
      <c r="K614" s="7">
        <f>'Прил.№4 ведомств.'!G821</f>
        <v>946.8</v>
      </c>
      <c r="L614" s="7">
        <f>'Прил.№4 ведомств.'!H821</f>
        <v>734.5</v>
      </c>
      <c r="M614" s="7">
        <f t="shared" si="333"/>
        <v>77.57710181664554</v>
      </c>
    </row>
    <row r="615" spans="1:13" ht="94.5">
      <c r="A615" s="47" t="s">
        <v>332</v>
      </c>
      <c r="B615" s="42" t="s">
        <v>303</v>
      </c>
      <c r="C615" s="42" t="s">
        <v>252</v>
      </c>
      <c r="D615" s="21" t="s">
        <v>333</v>
      </c>
      <c r="E615" s="42"/>
      <c r="F615" s="7" t="e">
        <f>F616</f>
        <v>#REF!</v>
      </c>
      <c r="G615" s="7" t="e">
        <f aca="true" t="shared" si="341" ref="G615:L616">G616</f>
        <v>#REF!</v>
      </c>
      <c r="H615" s="7" t="e">
        <f t="shared" si="341"/>
        <v>#REF!</v>
      </c>
      <c r="I615" s="7" t="e">
        <f t="shared" si="341"/>
        <v>#REF!</v>
      </c>
      <c r="J615" s="7" t="e">
        <f t="shared" si="341"/>
        <v>#REF!</v>
      </c>
      <c r="K615" s="7">
        <f t="shared" si="341"/>
        <v>4669.6</v>
      </c>
      <c r="L615" s="7">
        <f t="shared" si="341"/>
        <v>3131</v>
      </c>
      <c r="M615" s="7">
        <f t="shared" si="333"/>
        <v>67.05071098166866</v>
      </c>
    </row>
    <row r="616" spans="1:13" ht="47.25">
      <c r="A616" s="31" t="s">
        <v>311</v>
      </c>
      <c r="B616" s="42" t="s">
        <v>303</v>
      </c>
      <c r="C616" s="42" t="s">
        <v>252</v>
      </c>
      <c r="D616" s="21" t="s">
        <v>333</v>
      </c>
      <c r="E616" s="42" t="s">
        <v>312</v>
      </c>
      <c r="F616" s="7" t="e">
        <f>F617</f>
        <v>#REF!</v>
      </c>
      <c r="G616" s="7" t="e">
        <f t="shared" si="341"/>
        <v>#REF!</v>
      </c>
      <c r="H616" s="7" t="e">
        <f t="shared" si="341"/>
        <v>#REF!</v>
      </c>
      <c r="I616" s="7" t="e">
        <f t="shared" si="341"/>
        <v>#REF!</v>
      </c>
      <c r="J616" s="7" t="e">
        <f t="shared" si="341"/>
        <v>#REF!</v>
      </c>
      <c r="K616" s="7">
        <f t="shared" si="341"/>
        <v>4669.6</v>
      </c>
      <c r="L616" s="7">
        <f t="shared" si="341"/>
        <v>3131</v>
      </c>
      <c r="M616" s="7">
        <f t="shared" si="333"/>
        <v>67.05071098166866</v>
      </c>
    </row>
    <row r="617" spans="1:13" ht="15.75">
      <c r="A617" s="31" t="s">
        <v>313</v>
      </c>
      <c r="B617" s="42" t="s">
        <v>303</v>
      </c>
      <c r="C617" s="42" t="s">
        <v>252</v>
      </c>
      <c r="D617" s="21" t="s">
        <v>333</v>
      </c>
      <c r="E617" s="42" t="s">
        <v>314</v>
      </c>
      <c r="F617" s="7" t="e">
        <f>#REF!</f>
        <v>#REF!</v>
      </c>
      <c r="G617" s="7" t="e">
        <f>#REF!</f>
        <v>#REF!</v>
      </c>
      <c r="H617" s="7" t="e">
        <f>#REF!</f>
        <v>#REF!</v>
      </c>
      <c r="I617" s="7" t="e">
        <f>#REF!</f>
        <v>#REF!</v>
      </c>
      <c r="J617" s="7" t="e">
        <f>#REF!</f>
        <v>#REF!</v>
      </c>
      <c r="K617" s="7">
        <f>'Прил.№4 ведомств.'!G824</f>
        <v>4669.6</v>
      </c>
      <c r="L617" s="7">
        <f>'Прил.№4 ведомств.'!H824</f>
        <v>3131</v>
      </c>
      <c r="M617" s="7">
        <f t="shared" si="333"/>
        <v>67.05071098166866</v>
      </c>
    </row>
    <row r="618" spans="1:13" ht="15.75">
      <c r="A618" s="43" t="s">
        <v>304</v>
      </c>
      <c r="B618" s="8" t="s">
        <v>303</v>
      </c>
      <c r="C618" s="8" t="s">
        <v>254</v>
      </c>
      <c r="D618" s="25"/>
      <c r="E618" s="8"/>
      <c r="F618" s="4" t="e">
        <f>F619+F631+F651+F698</f>
        <v>#REF!</v>
      </c>
      <c r="G618" s="4" t="e">
        <f>G619+G631+G651+G698</f>
        <v>#REF!</v>
      </c>
      <c r="H618" s="4" t="e">
        <f>H619+H631+H651+H698</f>
        <v>#REF!</v>
      </c>
      <c r="I618" s="4" t="e">
        <f>I619+I631+I651+I698</f>
        <v>#REF!</v>
      </c>
      <c r="J618" s="4" t="e">
        <f>J619+J631+J651+J698</f>
        <v>#REF!</v>
      </c>
      <c r="K618" s="4">
        <f>K619+K631+K651+K698+K692</f>
        <v>50122.899999999994</v>
      </c>
      <c r="L618" s="4">
        <f aca="true" t="shared" si="342" ref="L618">L619+L631+L651+L698+L692</f>
        <v>35723.4</v>
      </c>
      <c r="M618" s="4">
        <f t="shared" si="333"/>
        <v>71.27161437187395</v>
      </c>
    </row>
    <row r="619" spans="1:17" ht="47.25">
      <c r="A619" s="26" t="s">
        <v>466</v>
      </c>
      <c r="B619" s="42" t="s">
        <v>303</v>
      </c>
      <c r="C619" s="42" t="s">
        <v>254</v>
      </c>
      <c r="D619" s="21" t="s">
        <v>446</v>
      </c>
      <c r="E619" s="42"/>
      <c r="F619" s="7" t="e">
        <f aca="true" t="shared" si="343" ref="F619:K619">F620+F624</f>
        <v>#REF!</v>
      </c>
      <c r="G619" s="7" t="e">
        <f t="shared" si="343"/>
        <v>#REF!</v>
      </c>
      <c r="H619" s="7" t="e">
        <f t="shared" si="343"/>
        <v>#REF!</v>
      </c>
      <c r="I619" s="7" t="e">
        <f t="shared" si="343"/>
        <v>#REF!</v>
      </c>
      <c r="J619" s="7" t="e">
        <f t="shared" si="343"/>
        <v>#REF!</v>
      </c>
      <c r="K619" s="7">
        <f t="shared" si="343"/>
        <v>31457.399999999998</v>
      </c>
      <c r="L619" s="7">
        <f aca="true" t="shared" si="344" ref="L619">L620+L624</f>
        <v>22927.6</v>
      </c>
      <c r="M619" s="7">
        <f t="shared" si="333"/>
        <v>72.88459949010408</v>
      </c>
      <c r="Q619" s="23"/>
    </row>
    <row r="620" spans="1:17" ht="31.5">
      <c r="A620" s="26" t="s">
        <v>447</v>
      </c>
      <c r="B620" s="42" t="s">
        <v>303</v>
      </c>
      <c r="C620" s="42" t="s">
        <v>254</v>
      </c>
      <c r="D620" s="21" t="s">
        <v>448</v>
      </c>
      <c r="E620" s="42"/>
      <c r="F620" s="7" t="e">
        <f>F621</f>
        <v>#REF!</v>
      </c>
      <c r="G620" s="7" t="e">
        <f aca="true" t="shared" si="345" ref="G620:L622">G621</f>
        <v>#REF!</v>
      </c>
      <c r="H620" s="7" t="e">
        <f t="shared" si="345"/>
        <v>#REF!</v>
      </c>
      <c r="I620" s="7" t="e">
        <f t="shared" si="345"/>
        <v>#REF!</v>
      </c>
      <c r="J620" s="7" t="e">
        <f t="shared" si="345"/>
        <v>#REF!</v>
      </c>
      <c r="K620" s="7">
        <f t="shared" si="345"/>
        <v>30768.399999999998</v>
      </c>
      <c r="L620" s="7">
        <f t="shared" si="345"/>
        <v>22238.6</v>
      </c>
      <c r="M620" s="7">
        <f t="shared" si="333"/>
        <v>72.27740148984022</v>
      </c>
      <c r="Q620" s="23"/>
    </row>
    <row r="621" spans="1:13" ht="47.25">
      <c r="A621" s="26" t="s">
        <v>309</v>
      </c>
      <c r="B621" s="42" t="s">
        <v>303</v>
      </c>
      <c r="C621" s="42" t="s">
        <v>254</v>
      </c>
      <c r="D621" s="21" t="s">
        <v>469</v>
      </c>
      <c r="E621" s="42"/>
      <c r="F621" s="7" t="e">
        <f>F622</f>
        <v>#REF!</v>
      </c>
      <c r="G621" s="7" t="e">
        <f t="shared" si="345"/>
        <v>#REF!</v>
      </c>
      <c r="H621" s="7" t="e">
        <f t="shared" si="345"/>
        <v>#REF!</v>
      </c>
      <c r="I621" s="7" t="e">
        <f t="shared" si="345"/>
        <v>#REF!</v>
      </c>
      <c r="J621" s="7" t="e">
        <f t="shared" si="345"/>
        <v>#REF!</v>
      </c>
      <c r="K621" s="7">
        <f t="shared" si="345"/>
        <v>30768.399999999998</v>
      </c>
      <c r="L621" s="7">
        <f t="shared" si="345"/>
        <v>22238.6</v>
      </c>
      <c r="M621" s="7">
        <f t="shared" si="333"/>
        <v>72.27740148984022</v>
      </c>
    </row>
    <row r="622" spans="1:13" ht="47.25">
      <c r="A622" s="26" t="s">
        <v>311</v>
      </c>
      <c r="B622" s="42" t="s">
        <v>303</v>
      </c>
      <c r="C622" s="42" t="s">
        <v>254</v>
      </c>
      <c r="D622" s="21" t="s">
        <v>469</v>
      </c>
      <c r="E622" s="42" t="s">
        <v>312</v>
      </c>
      <c r="F622" s="7" t="e">
        <f>F623</f>
        <v>#REF!</v>
      </c>
      <c r="G622" s="7" t="e">
        <f t="shared" si="345"/>
        <v>#REF!</v>
      </c>
      <c r="H622" s="7" t="e">
        <f t="shared" si="345"/>
        <v>#REF!</v>
      </c>
      <c r="I622" s="7" t="e">
        <f t="shared" si="345"/>
        <v>#REF!</v>
      </c>
      <c r="J622" s="7" t="e">
        <f t="shared" si="345"/>
        <v>#REF!</v>
      </c>
      <c r="K622" s="7">
        <f t="shared" si="345"/>
        <v>30768.399999999998</v>
      </c>
      <c r="L622" s="7">
        <f t="shared" si="345"/>
        <v>22238.6</v>
      </c>
      <c r="M622" s="7">
        <f t="shared" si="333"/>
        <v>72.27740148984022</v>
      </c>
    </row>
    <row r="623" spans="1:13" ht="15.75">
      <c r="A623" s="26" t="s">
        <v>313</v>
      </c>
      <c r="B623" s="42" t="s">
        <v>303</v>
      </c>
      <c r="C623" s="42" t="s">
        <v>254</v>
      </c>
      <c r="D623" s="21" t="s">
        <v>469</v>
      </c>
      <c r="E623" s="42" t="s">
        <v>314</v>
      </c>
      <c r="F623" s="7" t="e">
        <f>#REF!</f>
        <v>#REF!</v>
      </c>
      <c r="G623" s="7" t="e">
        <f>#REF!</f>
        <v>#REF!</v>
      </c>
      <c r="H623" s="7" t="e">
        <f>#REF!</f>
        <v>#REF!</v>
      </c>
      <c r="I623" s="7" t="e">
        <f>#REF!</f>
        <v>#REF!</v>
      </c>
      <c r="J623" s="7" t="e">
        <f>#REF!</f>
        <v>#REF!</v>
      </c>
      <c r="K623" s="7">
        <f>'Прил.№4 ведомств.'!G830</f>
        <v>30768.399999999998</v>
      </c>
      <c r="L623" s="7">
        <f>'Прил.№4 ведомств.'!H830</f>
        <v>22238.6</v>
      </c>
      <c r="M623" s="7">
        <f t="shared" si="333"/>
        <v>72.27740148984022</v>
      </c>
    </row>
    <row r="624" spans="1:13" ht="31.5">
      <c r="A624" s="33" t="s">
        <v>768</v>
      </c>
      <c r="B624" s="42" t="s">
        <v>303</v>
      </c>
      <c r="C624" s="42" t="s">
        <v>254</v>
      </c>
      <c r="D624" s="21" t="s">
        <v>487</v>
      </c>
      <c r="E624" s="42"/>
      <c r="F624" s="7" t="e">
        <f aca="true" t="shared" si="346" ref="F624:K624">F625+F628</f>
        <v>#REF!</v>
      </c>
      <c r="G624" s="7" t="e">
        <f t="shared" si="346"/>
        <v>#REF!</v>
      </c>
      <c r="H624" s="7" t="e">
        <f t="shared" si="346"/>
        <v>#REF!</v>
      </c>
      <c r="I624" s="7" t="e">
        <f t="shared" si="346"/>
        <v>#REF!</v>
      </c>
      <c r="J624" s="7" t="e">
        <f t="shared" si="346"/>
        <v>#REF!</v>
      </c>
      <c r="K624" s="7">
        <f t="shared" si="346"/>
        <v>689</v>
      </c>
      <c r="L624" s="7">
        <f aca="true" t="shared" si="347" ref="L624">L625+L628</f>
        <v>689</v>
      </c>
      <c r="M624" s="7">
        <f t="shared" si="333"/>
        <v>100</v>
      </c>
    </row>
    <row r="625" spans="1:13" ht="31.5" hidden="1">
      <c r="A625" s="47" t="s">
        <v>769</v>
      </c>
      <c r="B625" s="42" t="s">
        <v>303</v>
      </c>
      <c r="C625" s="42" t="s">
        <v>254</v>
      </c>
      <c r="D625" s="21" t="s">
        <v>770</v>
      </c>
      <c r="E625" s="42"/>
      <c r="F625" s="7" t="e">
        <f>F626</f>
        <v>#REF!</v>
      </c>
      <c r="G625" s="7" t="e">
        <f aca="true" t="shared" si="348" ref="G625:L626">G626</f>
        <v>#REF!</v>
      </c>
      <c r="H625" s="7" t="e">
        <f t="shared" si="348"/>
        <v>#REF!</v>
      </c>
      <c r="I625" s="7" t="e">
        <f t="shared" si="348"/>
        <v>#REF!</v>
      </c>
      <c r="J625" s="7" t="e">
        <f t="shared" si="348"/>
        <v>#REF!</v>
      </c>
      <c r="K625" s="7">
        <f t="shared" si="348"/>
        <v>0</v>
      </c>
      <c r="L625" s="7">
        <f t="shared" si="348"/>
        <v>0</v>
      </c>
      <c r="M625" s="7" t="e">
        <f t="shared" si="333"/>
        <v>#DIV/0!</v>
      </c>
    </row>
    <row r="626" spans="1:13" ht="47.25" hidden="1">
      <c r="A626" s="33" t="s">
        <v>311</v>
      </c>
      <c r="B626" s="42" t="s">
        <v>303</v>
      </c>
      <c r="C626" s="42" t="s">
        <v>254</v>
      </c>
      <c r="D626" s="21" t="s">
        <v>770</v>
      </c>
      <c r="E626" s="42" t="s">
        <v>312</v>
      </c>
      <c r="F626" s="7" t="e">
        <f>F627</f>
        <v>#REF!</v>
      </c>
      <c r="G626" s="7" t="e">
        <f t="shared" si="348"/>
        <v>#REF!</v>
      </c>
      <c r="H626" s="7" t="e">
        <f t="shared" si="348"/>
        <v>#REF!</v>
      </c>
      <c r="I626" s="7" t="e">
        <f t="shared" si="348"/>
        <v>#REF!</v>
      </c>
      <c r="J626" s="7" t="e">
        <f t="shared" si="348"/>
        <v>#REF!</v>
      </c>
      <c r="K626" s="7">
        <f t="shared" si="348"/>
        <v>0</v>
      </c>
      <c r="L626" s="7">
        <f t="shared" si="348"/>
        <v>0</v>
      </c>
      <c r="M626" s="7" t="e">
        <f t="shared" si="333"/>
        <v>#DIV/0!</v>
      </c>
    </row>
    <row r="627" spans="1:13" ht="15.75" hidden="1">
      <c r="A627" s="33" t="s">
        <v>313</v>
      </c>
      <c r="B627" s="42" t="s">
        <v>303</v>
      </c>
      <c r="C627" s="42" t="s">
        <v>254</v>
      </c>
      <c r="D627" s="21" t="s">
        <v>770</v>
      </c>
      <c r="E627" s="42" t="s">
        <v>314</v>
      </c>
      <c r="F627" s="7" t="e">
        <f>#REF!</f>
        <v>#REF!</v>
      </c>
      <c r="G627" s="7" t="e">
        <f>#REF!</f>
        <v>#REF!</v>
      </c>
      <c r="H627" s="7" t="e">
        <f>#REF!</f>
        <v>#REF!</v>
      </c>
      <c r="I627" s="7" t="e">
        <f>#REF!</f>
        <v>#REF!</v>
      </c>
      <c r="J627" s="7" t="e">
        <f>#REF!</f>
        <v>#REF!</v>
      </c>
      <c r="K627" s="7">
        <f>'Прил.№4 ведомств.'!G833</f>
        <v>0</v>
      </c>
      <c r="L627" s="7">
        <f>'Прил.№4 ведомств.'!H833</f>
        <v>0</v>
      </c>
      <c r="M627" s="7" t="e">
        <f t="shared" si="333"/>
        <v>#DIV/0!</v>
      </c>
    </row>
    <row r="628" spans="1:13" ht="31.5">
      <c r="A628" s="47" t="s">
        <v>837</v>
      </c>
      <c r="B628" s="42" t="s">
        <v>303</v>
      </c>
      <c r="C628" s="42" t="s">
        <v>254</v>
      </c>
      <c r="D628" s="21" t="s">
        <v>838</v>
      </c>
      <c r="E628" s="42"/>
      <c r="F628" s="7" t="e">
        <f>F629</f>
        <v>#REF!</v>
      </c>
      <c r="G628" s="7" t="e">
        <f aca="true" t="shared" si="349" ref="G628:L629">G629</f>
        <v>#REF!</v>
      </c>
      <c r="H628" s="7" t="e">
        <f t="shared" si="349"/>
        <v>#REF!</v>
      </c>
      <c r="I628" s="7" t="e">
        <f t="shared" si="349"/>
        <v>#REF!</v>
      </c>
      <c r="J628" s="7" t="e">
        <f t="shared" si="349"/>
        <v>#REF!</v>
      </c>
      <c r="K628" s="7">
        <f t="shared" si="349"/>
        <v>689</v>
      </c>
      <c r="L628" s="7">
        <f t="shared" si="349"/>
        <v>689</v>
      </c>
      <c r="M628" s="7">
        <f t="shared" si="333"/>
        <v>100</v>
      </c>
    </row>
    <row r="629" spans="1:13" ht="47.25">
      <c r="A629" s="33" t="s">
        <v>311</v>
      </c>
      <c r="B629" s="42" t="s">
        <v>303</v>
      </c>
      <c r="C629" s="42" t="s">
        <v>254</v>
      </c>
      <c r="D629" s="21" t="s">
        <v>838</v>
      </c>
      <c r="E629" s="42" t="s">
        <v>312</v>
      </c>
      <c r="F629" s="7" t="e">
        <f>F630</f>
        <v>#REF!</v>
      </c>
      <c r="G629" s="7" t="e">
        <f t="shared" si="349"/>
        <v>#REF!</v>
      </c>
      <c r="H629" s="7" t="e">
        <f t="shared" si="349"/>
        <v>#REF!</v>
      </c>
      <c r="I629" s="7" t="e">
        <f t="shared" si="349"/>
        <v>#REF!</v>
      </c>
      <c r="J629" s="7" t="e">
        <f t="shared" si="349"/>
        <v>#REF!</v>
      </c>
      <c r="K629" s="7">
        <f t="shared" si="349"/>
        <v>689</v>
      </c>
      <c r="L629" s="7">
        <f t="shared" si="349"/>
        <v>689</v>
      </c>
      <c r="M629" s="7">
        <f t="shared" si="333"/>
        <v>100</v>
      </c>
    </row>
    <row r="630" spans="1:13" ht="15.75">
      <c r="A630" s="33" t="s">
        <v>313</v>
      </c>
      <c r="B630" s="42" t="s">
        <v>303</v>
      </c>
      <c r="C630" s="42" t="s">
        <v>254</v>
      </c>
      <c r="D630" s="21" t="s">
        <v>838</v>
      </c>
      <c r="E630" s="42" t="s">
        <v>314</v>
      </c>
      <c r="F630" s="7" t="e">
        <f>#REF!</f>
        <v>#REF!</v>
      </c>
      <c r="G630" s="7" t="e">
        <f>#REF!</f>
        <v>#REF!</v>
      </c>
      <c r="H630" s="7" t="e">
        <f>#REF!</f>
        <v>#REF!</v>
      </c>
      <c r="I630" s="7" t="e">
        <f>#REF!</f>
        <v>#REF!</v>
      </c>
      <c r="J630" s="7" t="e">
        <f>#REF!</f>
        <v>#REF!</v>
      </c>
      <c r="K630" s="7">
        <f>'Прил.№4 ведомств.'!G837</f>
        <v>689</v>
      </c>
      <c r="L630" s="7">
        <f>'Прил.№4 ведомств.'!H837</f>
        <v>689</v>
      </c>
      <c r="M630" s="7">
        <f t="shared" si="333"/>
        <v>100</v>
      </c>
    </row>
    <row r="631" spans="1:13" ht="47.25" hidden="1">
      <c r="A631" s="26" t="s">
        <v>521</v>
      </c>
      <c r="B631" s="42" t="s">
        <v>303</v>
      </c>
      <c r="C631" s="42" t="s">
        <v>254</v>
      </c>
      <c r="D631" s="21" t="s">
        <v>522</v>
      </c>
      <c r="E631" s="42"/>
      <c r="F631" s="7" t="e">
        <f aca="true" t="shared" si="350" ref="F631:L631">F632</f>
        <v>#REF!</v>
      </c>
      <c r="G631" s="7" t="e">
        <f t="shared" si="350"/>
        <v>#REF!</v>
      </c>
      <c r="H631" s="7" t="e">
        <f t="shared" si="350"/>
        <v>#REF!</v>
      </c>
      <c r="I631" s="7" t="e">
        <f t="shared" si="350"/>
        <v>#REF!</v>
      </c>
      <c r="J631" s="7" t="e">
        <f t="shared" si="350"/>
        <v>#REF!</v>
      </c>
      <c r="K631" s="7">
        <f t="shared" si="350"/>
        <v>0</v>
      </c>
      <c r="L631" s="7">
        <f t="shared" si="350"/>
        <v>0</v>
      </c>
      <c r="M631" s="7" t="e">
        <f t="shared" si="333"/>
        <v>#DIV/0!</v>
      </c>
    </row>
    <row r="632" spans="1:13" ht="47.25" hidden="1">
      <c r="A632" s="26" t="s">
        <v>523</v>
      </c>
      <c r="B632" s="42" t="s">
        <v>303</v>
      </c>
      <c r="C632" s="42" t="s">
        <v>254</v>
      </c>
      <c r="D632" s="21" t="s">
        <v>524</v>
      </c>
      <c r="E632" s="42"/>
      <c r="F632" s="7" t="e">
        <f aca="true" t="shared" si="351" ref="F632:K632">F633+F642+F645+F648</f>
        <v>#REF!</v>
      </c>
      <c r="G632" s="7" t="e">
        <f t="shared" si="351"/>
        <v>#REF!</v>
      </c>
      <c r="H632" s="7" t="e">
        <f t="shared" si="351"/>
        <v>#REF!</v>
      </c>
      <c r="I632" s="7" t="e">
        <f t="shared" si="351"/>
        <v>#REF!</v>
      </c>
      <c r="J632" s="7" t="e">
        <f t="shared" si="351"/>
        <v>#REF!</v>
      </c>
      <c r="K632" s="7">
        <f t="shared" si="351"/>
        <v>0</v>
      </c>
      <c r="L632" s="7">
        <f aca="true" t="shared" si="352" ref="L632">L633+L642+L645+L648</f>
        <v>0</v>
      </c>
      <c r="M632" s="7" t="e">
        <f t="shared" si="333"/>
        <v>#DIV/0!</v>
      </c>
    </row>
    <row r="633" spans="1:13" ht="47.25" hidden="1">
      <c r="A633" s="26" t="s">
        <v>309</v>
      </c>
      <c r="B633" s="42" t="s">
        <v>303</v>
      </c>
      <c r="C633" s="42" t="s">
        <v>254</v>
      </c>
      <c r="D633" s="21" t="s">
        <v>525</v>
      </c>
      <c r="E633" s="42"/>
      <c r="F633" s="7" t="e">
        <f>F634</f>
        <v>#REF!</v>
      </c>
      <c r="G633" s="7" t="e">
        <f aca="true" t="shared" si="353" ref="G633:L634">G634</f>
        <v>#REF!</v>
      </c>
      <c r="H633" s="7" t="e">
        <f t="shared" si="353"/>
        <v>#REF!</v>
      </c>
      <c r="I633" s="7" t="e">
        <f t="shared" si="353"/>
        <v>#REF!</v>
      </c>
      <c r="J633" s="7" t="e">
        <f t="shared" si="353"/>
        <v>#REF!</v>
      </c>
      <c r="K633" s="7">
        <f t="shared" si="353"/>
        <v>0</v>
      </c>
      <c r="L633" s="7">
        <f t="shared" si="353"/>
        <v>0</v>
      </c>
      <c r="M633" s="7" t="e">
        <f t="shared" si="333"/>
        <v>#DIV/0!</v>
      </c>
    </row>
    <row r="634" spans="1:13" ht="47.25" hidden="1">
      <c r="A634" s="26" t="s">
        <v>311</v>
      </c>
      <c r="B634" s="42" t="s">
        <v>303</v>
      </c>
      <c r="C634" s="42" t="s">
        <v>254</v>
      </c>
      <c r="D634" s="21" t="s">
        <v>525</v>
      </c>
      <c r="E634" s="42" t="s">
        <v>312</v>
      </c>
      <c r="F634" s="7" t="e">
        <f>F635</f>
        <v>#REF!</v>
      </c>
      <c r="G634" s="7" t="e">
        <f t="shared" si="353"/>
        <v>#REF!</v>
      </c>
      <c r="H634" s="7" t="e">
        <f t="shared" si="353"/>
        <v>#REF!</v>
      </c>
      <c r="I634" s="7" t="e">
        <f t="shared" si="353"/>
        <v>#REF!</v>
      </c>
      <c r="J634" s="7" t="e">
        <f t="shared" si="353"/>
        <v>#REF!</v>
      </c>
      <c r="K634" s="7">
        <f t="shared" si="353"/>
        <v>0</v>
      </c>
      <c r="L634" s="7">
        <f t="shared" si="353"/>
        <v>0</v>
      </c>
      <c r="M634" s="7" t="e">
        <f t="shared" si="333"/>
        <v>#DIV/0!</v>
      </c>
    </row>
    <row r="635" spans="1:13" ht="15.75" hidden="1">
      <c r="A635" s="26" t="s">
        <v>313</v>
      </c>
      <c r="B635" s="42" t="s">
        <v>303</v>
      </c>
      <c r="C635" s="42" t="s">
        <v>254</v>
      </c>
      <c r="D635" s="21" t="s">
        <v>525</v>
      </c>
      <c r="E635" s="42" t="s">
        <v>314</v>
      </c>
      <c r="F635" s="7" t="e">
        <f>#REF!</f>
        <v>#REF!</v>
      </c>
      <c r="G635" s="7" t="e">
        <f>#REF!</f>
        <v>#REF!</v>
      </c>
      <c r="H635" s="7" t="e">
        <f>#REF!</f>
        <v>#REF!</v>
      </c>
      <c r="I635" s="7" t="e">
        <f>#REF!</f>
        <v>#REF!</v>
      </c>
      <c r="J635" s="7" t="e">
        <f>#REF!</f>
        <v>#REF!</v>
      </c>
      <c r="K635" s="7">
        <f>'Прил.№4 ведомств.'!G906</f>
        <v>0</v>
      </c>
      <c r="L635" s="7">
        <f>'Прил.№4 ведомств.'!H906</f>
        <v>0</v>
      </c>
      <c r="M635" s="7" t="e">
        <f t="shared" si="333"/>
        <v>#DIV/0!</v>
      </c>
    </row>
    <row r="636" spans="1:13" ht="31.5" customHeight="1" hidden="1">
      <c r="A636" s="26" t="s">
        <v>317</v>
      </c>
      <c r="B636" s="42" t="s">
        <v>303</v>
      </c>
      <c r="C636" s="42" t="s">
        <v>254</v>
      </c>
      <c r="D636" s="21" t="s">
        <v>526</v>
      </c>
      <c r="E636" s="42"/>
      <c r="F636" s="7"/>
      <c r="G636" s="7"/>
      <c r="H636" s="7"/>
      <c r="I636" s="7"/>
      <c r="J636" s="7"/>
      <c r="K636" s="7"/>
      <c r="L636" s="7"/>
      <c r="M636" s="7" t="e">
        <f t="shared" si="333"/>
        <v>#DIV/0!</v>
      </c>
    </row>
    <row r="637" spans="1:13" ht="47.25" customHeight="1" hidden="1">
      <c r="A637" s="26" t="s">
        <v>311</v>
      </c>
      <c r="B637" s="42" t="s">
        <v>303</v>
      </c>
      <c r="C637" s="42" t="s">
        <v>254</v>
      </c>
      <c r="D637" s="21" t="s">
        <v>526</v>
      </c>
      <c r="E637" s="42"/>
      <c r="F637" s="7"/>
      <c r="G637" s="7"/>
      <c r="H637" s="7"/>
      <c r="I637" s="7"/>
      <c r="J637" s="7"/>
      <c r="K637" s="7"/>
      <c r="L637" s="7"/>
      <c r="M637" s="7" t="e">
        <f t="shared" si="333"/>
        <v>#DIV/0!</v>
      </c>
    </row>
    <row r="638" spans="1:13" ht="15.75" customHeight="1" hidden="1">
      <c r="A638" s="26" t="s">
        <v>313</v>
      </c>
      <c r="B638" s="42" t="s">
        <v>303</v>
      </c>
      <c r="C638" s="42" t="s">
        <v>254</v>
      </c>
      <c r="D638" s="21" t="s">
        <v>526</v>
      </c>
      <c r="E638" s="42"/>
      <c r="F638" s="7"/>
      <c r="G638" s="7"/>
      <c r="H638" s="7"/>
      <c r="I638" s="7"/>
      <c r="J638" s="7"/>
      <c r="K638" s="7"/>
      <c r="L638" s="7"/>
      <c r="M638" s="7" t="e">
        <f t="shared" si="333"/>
        <v>#DIV/0!</v>
      </c>
    </row>
    <row r="639" spans="1:13" ht="31.5" customHeight="1" hidden="1">
      <c r="A639" s="26" t="s">
        <v>319</v>
      </c>
      <c r="B639" s="42" t="s">
        <v>303</v>
      </c>
      <c r="C639" s="42" t="s">
        <v>254</v>
      </c>
      <c r="D639" s="21" t="s">
        <v>527</v>
      </c>
      <c r="E639" s="42"/>
      <c r="F639" s="7"/>
      <c r="G639" s="7"/>
      <c r="H639" s="7"/>
      <c r="I639" s="7"/>
      <c r="J639" s="7"/>
      <c r="K639" s="7"/>
      <c r="L639" s="7"/>
      <c r="M639" s="7" t="e">
        <f t="shared" si="333"/>
        <v>#DIV/0!</v>
      </c>
    </row>
    <row r="640" spans="1:13" ht="47.25" customHeight="1" hidden="1">
      <c r="A640" s="26" t="s">
        <v>311</v>
      </c>
      <c r="B640" s="42" t="s">
        <v>303</v>
      </c>
      <c r="C640" s="42" t="s">
        <v>254</v>
      </c>
      <c r="D640" s="21" t="s">
        <v>527</v>
      </c>
      <c r="E640" s="42"/>
      <c r="F640" s="7"/>
      <c r="G640" s="7"/>
      <c r="H640" s="7"/>
      <c r="I640" s="7"/>
      <c r="J640" s="7"/>
      <c r="K640" s="7"/>
      <c r="L640" s="7"/>
      <c r="M640" s="7" t="e">
        <f t="shared" si="333"/>
        <v>#DIV/0!</v>
      </c>
    </row>
    <row r="641" spans="1:13" ht="15.75" customHeight="1" hidden="1">
      <c r="A641" s="26" t="s">
        <v>313</v>
      </c>
      <c r="B641" s="42" t="s">
        <v>303</v>
      </c>
      <c r="C641" s="42" t="s">
        <v>254</v>
      </c>
      <c r="D641" s="21" t="s">
        <v>527</v>
      </c>
      <c r="E641" s="42"/>
      <c r="F641" s="7"/>
      <c r="G641" s="7"/>
      <c r="H641" s="7"/>
      <c r="I641" s="7"/>
      <c r="J641" s="7"/>
      <c r="K641" s="7"/>
      <c r="L641" s="7"/>
      <c r="M641" s="7" t="e">
        <f t="shared" si="333"/>
        <v>#DIV/0!</v>
      </c>
    </row>
    <row r="642" spans="1:13" ht="31.5" hidden="1">
      <c r="A642" s="26" t="s">
        <v>321</v>
      </c>
      <c r="B642" s="42" t="s">
        <v>303</v>
      </c>
      <c r="C642" s="42" t="s">
        <v>254</v>
      </c>
      <c r="D642" s="21" t="s">
        <v>528</v>
      </c>
      <c r="E642" s="42"/>
      <c r="F642" s="7" t="e">
        <f>F643</f>
        <v>#REF!</v>
      </c>
      <c r="G642" s="7" t="e">
        <f aca="true" t="shared" si="354" ref="G642:L643">G643</f>
        <v>#REF!</v>
      </c>
      <c r="H642" s="7" t="e">
        <f t="shared" si="354"/>
        <v>#REF!</v>
      </c>
      <c r="I642" s="7" t="e">
        <f t="shared" si="354"/>
        <v>#REF!</v>
      </c>
      <c r="J642" s="7" t="e">
        <f t="shared" si="354"/>
        <v>#REF!</v>
      </c>
      <c r="K642" s="7">
        <f t="shared" si="354"/>
        <v>0</v>
      </c>
      <c r="L642" s="7">
        <f t="shared" si="354"/>
        <v>0</v>
      </c>
      <c r="M642" s="7" t="e">
        <f t="shared" si="333"/>
        <v>#DIV/0!</v>
      </c>
    </row>
    <row r="643" spans="1:13" ht="47.25" hidden="1">
      <c r="A643" s="26" t="s">
        <v>311</v>
      </c>
      <c r="B643" s="42" t="s">
        <v>303</v>
      </c>
      <c r="C643" s="42" t="s">
        <v>254</v>
      </c>
      <c r="D643" s="21" t="s">
        <v>528</v>
      </c>
      <c r="E643" s="42" t="s">
        <v>312</v>
      </c>
      <c r="F643" s="7" t="e">
        <f>F644</f>
        <v>#REF!</v>
      </c>
      <c r="G643" s="7" t="e">
        <f t="shared" si="354"/>
        <v>#REF!</v>
      </c>
      <c r="H643" s="7" t="e">
        <f t="shared" si="354"/>
        <v>#REF!</v>
      </c>
      <c r="I643" s="7" t="e">
        <f t="shared" si="354"/>
        <v>#REF!</v>
      </c>
      <c r="J643" s="7" t="e">
        <f t="shared" si="354"/>
        <v>#REF!</v>
      </c>
      <c r="K643" s="7">
        <f t="shared" si="354"/>
        <v>0</v>
      </c>
      <c r="L643" s="7">
        <f t="shared" si="354"/>
        <v>0</v>
      </c>
      <c r="M643" s="7" t="e">
        <f t="shared" si="333"/>
        <v>#DIV/0!</v>
      </c>
    </row>
    <row r="644" spans="1:13" ht="15.75" hidden="1">
      <c r="A644" s="26" t="s">
        <v>313</v>
      </c>
      <c r="B644" s="42" t="s">
        <v>303</v>
      </c>
      <c r="C644" s="42" t="s">
        <v>254</v>
      </c>
      <c r="D644" s="21" t="s">
        <v>528</v>
      </c>
      <c r="E644" s="42" t="s">
        <v>314</v>
      </c>
      <c r="F644" s="7" t="e">
        <f>#REF!</f>
        <v>#REF!</v>
      </c>
      <c r="G644" s="7" t="e">
        <f>#REF!</f>
        <v>#REF!</v>
      </c>
      <c r="H644" s="7" t="e">
        <f>#REF!</f>
        <v>#REF!</v>
      </c>
      <c r="I644" s="7" t="e">
        <f>#REF!</f>
        <v>#REF!</v>
      </c>
      <c r="J644" s="7" t="e">
        <f>#REF!</f>
        <v>#REF!</v>
      </c>
      <c r="K644" s="7">
        <f>'Прил.№4 ведомств.'!G915</f>
        <v>0</v>
      </c>
      <c r="L644" s="7">
        <f>'Прил.№4 ведомств.'!H915</f>
        <v>0</v>
      </c>
      <c r="M644" s="7" t="e">
        <f t="shared" si="333"/>
        <v>#DIV/0!</v>
      </c>
    </row>
    <row r="645" spans="1:13" ht="31.5" hidden="1">
      <c r="A645" s="26" t="s">
        <v>323</v>
      </c>
      <c r="B645" s="42" t="s">
        <v>303</v>
      </c>
      <c r="C645" s="42" t="s">
        <v>254</v>
      </c>
      <c r="D645" s="21" t="s">
        <v>529</v>
      </c>
      <c r="E645" s="42"/>
      <c r="F645" s="7" t="e">
        <f>F646</f>
        <v>#REF!</v>
      </c>
      <c r="G645" s="7" t="e">
        <f aca="true" t="shared" si="355" ref="G645:L646">G646</f>
        <v>#REF!</v>
      </c>
      <c r="H645" s="7" t="e">
        <f t="shared" si="355"/>
        <v>#REF!</v>
      </c>
      <c r="I645" s="7" t="e">
        <f t="shared" si="355"/>
        <v>#REF!</v>
      </c>
      <c r="J645" s="7" t="e">
        <f t="shared" si="355"/>
        <v>#REF!</v>
      </c>
      <c r="K645" s="7">
        <f t="shared" si="355"/>
        <v>0</v>
      </c>
      <c r="L645" s="7">
        <f t="shared" si="355"/>
        <v>0</v>
      </c>
      <c r="M645" s="7" t="e">
        <f t="shared" si="333"/>
        <v>#DIV/0!</v>
      </c>
    </row>
    <row r="646" spans="1:13" ht="47.25" hidden="1">
      <c r="A646" s="26" t="s">
        <v>311</v>
      </c>
      <c r="B646" s="42" t="s">
        <v>303</v>
      </c>
      <c r="C646" s="42" t="s">
        <v>254</v>
      </c>
      <c r="D646" s="21" t="s">
        <v>529</v>
      </c>
      <c r="E646" s="42" t="s">
        <v>312</v>
      </c>
      <c r="F646" s="7" t="e">
        <f>F647</f>
        <v>#REF!</v>
      </c>
      <c r="G646" s="7" t="e">
        <f t="shared" si="355"/>
        <v>#REF!</v>
      </c>
      <c r="H646" s="7" t="e">
        <f t="shared" si="355"/>
        <v>#REF!</v>
      </c>
      <c r="I646" s="7" t="e">
        <f t="shared" si="355"/>
        <v>#REF!</v>
      </c>
      <c r="J646" s="7" t="e">
        <f t="shared" si="355"/>
        <v>#REF!</v>
      </c>
      <c r="K646" s="7">
        <f t="shared" si="355"/>
        <v>0</v>
      </c>
      <c r="L646" s="7">
        <f t="shared" si="355"/>
        <v>0</v>
      </c>
      <c r="M646" s="7" t="e">
        <f t="shared" si="333"/>
        <v>#DIV/0!</v>
      </c>
    </row>
    <row r="647" spans="1:13" ht="15.75" hidden="1">
      <c r="A647" s="26" t="s">
        <v>313</v>
      </c>
      <c r="B647" s="42" t="s">
        <v>303</v>
      </c>
      <c r="C647" s="42" t="s">
        <v>254</v>
      </c>
      <c r="D647" s="21" t="s">
        <v>529</v>
      </c>
      <c r="E647" s="42" t="s">
        <v>314</v>
      </c>
      <c r="F647" s="7" t="e">
        <f>#REF!</f>
        <v>#REF!</v>
      </c>
      <c r="G647" s="7" t="e">
        <f>#REF!</f>
        <v>#REF!</v>
      </c>
      <c r="H647" s="7" t="e">
        <f>#REF!</f>
        <v>#REF!</v>
      </c>
      <c r="I647" s="7" t="e">
        <f>#REF!</f>
        <v>#REF!</v>
      </c>
      <c r="J647" s="7" t="e">
        <f>#REF!</f>
        <v>#REF!</v>
      </c>
      <c r="K647" s="7">
        <f>'Прил.№4 ведомств.'!G918</f>
        <v>0</v>
      </c>
      <c r="L647" s="7">
        <f>'Прил.№4 ведомств.'!H918</f>
        <v>0</v>
      </c>
      <c r="M647" s="7" t="e">
        <f t="shared" si="333"/>
        <v>#DIV/0!</v>
      </c>
    </row>
    <row r="648" spans="1:13" ht="31.5" hidden="1">
      <c r="A648" s="47" t="s">
        <v>837</v>
      </c>
      <c r="B648" s="42" t="s">
        <v>303</v>
      </c>
      <c r="C648" s="42" t="s">
        <v>254</v>
      </c>
      <c r="D648" s="21" t="s">
        <v>844</v>
      </c>
      <c r="E648" s="42"/>
      <c r="F648" s="7" t="e">
        <f>F649</f>
        <v>#REF!</v>
      </c>
      <c r="G648" s="7" t="e">
        <f aca="true" t="shared" si="356" ref="G648:L649">G649</f>
        <v>#REF!</v>
      </c>
      <c r="H648" s="7" t="e">
        <f t="shared" si="356"/>
        <v>#REF!</v>
      </c>
      <c r="I648" s="7" t="e">
        <f t="shared" si="356"/>
        <v>#REF!</v>
      </c>
      <c r="J648" s="7" t="e">
        <f t="shared" si="356"/>
        <v>#REF!</v>
      </c>
      <c r="K648" s="7">
        <f t="shared" si="356"/>
        <v>0</v>
      </c>
      <c r="L648" s="7">
        <f t="shared" si="356"/>
        <v>0</v>
      </c>
      <c r="M648" s="7" t="e">
        <f t="shared" si="333"/>
        <v>#DIV/0!</v>
      </c>
    </row>
    <row r="649" spans="1:13" ht="47.25" hidden="1">
      <c r="A649" s="33" t="s">
        <v>311</v>
      </c>
      <c r="B649" s="42" t="s">
        <v>303</v>
      </c>
      <c r="C649" s="42" t="s">
        <v>254</v>
      </c>
      <c r="D649" s="21" t="s">
        <v>844</v>
      </c>
      <c r="E649" s="42" t="s">
        <v>312</v>
      </c>
      <c r="F649" s="7" t="e">
        <f>F650</f>
        <v>#REF!</v>
      </c>
      <c r="G649" s="7" t="e">
        <f t="shared" si="356"/>
        <v>#REF!</v>
      </c>
      <c r="H649" s="7" t="e">
        <f t="shared" si="356"/>
        <v>#REF!</v>
      </c>
      <c r="I649" s="7" t="e">
        <f t="shared" si="356"/>
        <v>#REF!</v>
      </c>
      <c r="J649" s="7" t="e">
        <f t="shared" si="356"/>
        <v>#REF!</v>
      </c>
      <c r="K649" s="7">
        <f t="shared" si="356"/>
        <v>0</v>
      </c>
      <c r="L649" s="7">
        <f t="shared" si="356"/>
        <v>0</v>
      </c>
      <c r="M649" s="7" t="e">
        <f t="shared" si="333"/>
        <v>#DIV/0!</v>
      </c>
    </row>
    <row r="650" spans="1:13" ht="15.75" hidden="1">
      <c r="A650" s="33" t="s">
        <v>313</v>
      </c>
      <c r="B650" s="42" t="s">
        <v>303</v>
      </c>
      <c r="C650" s="42" t="s">
        <v>254</v>
      </c>
      <c r="D650" s="21" t="s">
        <v>844</v>
      </c>
      <c r="E650" s="42" t="s">
        <v>314</v>
      </c>
      <c r="F650" s="7" t="e">
        <f>#REF!</f>
        <v>#REF!</v>
      </c>
      <c r="G650" s="7" t="e">
        <f>#REF!</f>
        <v>#REF!</v>
      </c>
      <c r="H650" s="7" t="e">
        <f>#REF!</f>
        <v>#REF!</v>
      </c>
      <c r="I650" s="7" t="e">
        <f>#REF!</f>
        <v>#REF!</v>
      </c>
      <c r="J650" s="7" t="e">
        <f>#REF!</f>
        <v>#REF!</v>
      </c>
      <c r="K650" s="7">
        <f>'Прил.№4 ведомств.'!G921</f>
        <v>0</v>
      </c>
      <c r="L650" s="7">
        <f>'Прил.№4 ведомств.'!H921</f>
        <v>0</v>
      </c>
      <c r="M650" s="7" t="e">
        <f t="shared" si="333"/>
        <v>#DIV/0!</v>
      </c>
    </row>
    <row r="651" spans="1:13" ht="31.5">
      <c r="A651" s="26" t="s">
        <v>305</v>
      </c>
      <c r="B651" s="42" t="s">
        <v>303</v>
      </c>
      <c r="C651" s="42" t="s">
        <v>254</v>
      </c>
      <c r="D651" s="21" t="s">
        <v>306</v>
      </c>
      <c r="E651" s="42"/>
      <c r="F651" s="7" t="e">
        <f aca="true" t="shared" si="357" ref="F651:L651">F652</f>
        <v>#REF!</v>
      </c>
      <c r="G651" s="7" t="e">
        <f t="shared" si="357"/>
        <v>#REF!</v>
      </c>
      <c r="H651" s="7" t="e">
        <f t="shared" si="357"/>
        <v>#REF!</v>
      </c>
      <c r="I651" s="7" t="e">
        <f t="shared" si="357"/>
        <v>#REF!</v>
      </c>
      <c r="J651" s="7" t="e">
        <f t="shared" si="357"/>
        <v>#REF!</v>
      </c>
      <c r="K651" s="7">
        <f t="shared" si="357"/>
        <v>15654</v>
      </c>
      <c r="L651" s="7">
        <f t="shared" si="357"/>
        <v>10674.900000000001</v>
      </c>
      <c r="M651" s="7">
        <f t="shared" si="333"/>
        <v>68.19279417401304</v>
      </c>
    </row>
    <row r="652" spans="1:13" ht="47.25">
      <c r="A652" s="26" t="s">
        <v>307</v>
      </c>
      <c r="B652" s="42" t="s">
        <v>303</v>
      </c>
      <c r="C652" s="42" t="s">
        <v>254</v>
      </c>
      <c r="D652" s="21" t="s">
        <v>308</v>
      </c>
      <c r="E652" s="42"/>
      <c r="F652" s="7" t="e">
        <f>F653+F665+F668+F671+F674</f>
        <v>#REF!</v>
      </c>
      <c r="G652" s="7" t="e">
        <f>G653+G665+G668+G671+G674</f>
        <v>#REF!</v>
      </c>
      <c r="H652" s="7" t="e">
        <f>H653+H665+H668+H671+H674</f>
        <v>#REF!</v>
      </c>
      <c r="I652" s="7" t="e">
        <f>I653+I665+I668+I671+I674</f>
        <v>#REF!</v>
      </c>
      <c r="J652" s="7" t="e">
        <f>J653+J665+J668+J671+J674</f>
        <v>#REF!</v>
      </c>
      <c r="K652" s="7">
        <f>K653+K665+K668+K671+K674+K659+K677+K685+K680</f>
        <v>15654</v>
      </c>
      <c r="L652" s="7">
        <f aca="true" t="shared" si="358" ref="L652">L653+L665+L668+L671+L674+L659+L677+L685+L680</f>
        <v>10674.900000000001</v>
      </c>
      <c r="M652" s="7">
        <f t="shared" si="333"/>
        <v>68.19279417401304</v>
      </c>
    </row>
    <row r="653" spans="1:13" ht="47.25" hidden="1">
      <c r="A653" s="26" t="s">
        <v>309</v>
      </c>
      <c r="B653" s="42" t="s">
        <v>303</v>
      </c>
      <c r="C653" s="42" t="s">
        <v>254</v>
      </c>
      <c r="D653" s="21" t="s">
        <v>310</v>
      </c>
      <c r="E653" s="42"/>
      <c r="F653" s="7" t="e">
        <f>F654</f>
        <v>#REF!</v>
      </c>
      <c r="G653" s="7" t="e">
        <f aca="true" t="shared" si="359" ref="G653:L654">G654</f>
        <v>#REF!</v>
      </c>
      <c r="H653" s="7" t="e">
        <f t="shared" si="359"/>
        <v>#REF!</v>
      </c>
      <c r="I653" s="7" t="e">
        <f t="shared" si="359"/>
        <v>#REF!</v>
      </c>
      <c r="J653" s="7" t="e">
        <f t="shared" si="359"/>
        <v>#REF!</v>
      </c>
      <c r="K653" s="7">
        <f t="shared" si="359"/>
        <v>0</v>
      </c>
      <c r="L653" s="7">
        <f t="shared" si="359"/>
        <v>0</v>
      </c>
      <c r="M653" s="7" t="e">
        <f t="shared" si="333"/>
        <v>#DIV/0!</v>
      </c>
    </row>
    <row r="654" spans="1:13" ht="47.25" hidden="1">
      <c r="A654" s="26" t="s">
        <v>311</v>
      </c>
      <c r="B654" s="42" t="s">
        <v>303</v>
      </c>
      <c r="C654" s="42" t="s">
        <v>254</v>
      </c>
      <c r="D654" s="21" t="s">
        <v>310</v>
      </c>
      <c r="E654" s="42" t="s">
        <v>312</v>
      </c>
      <c r="F654" s="7" t="e">
        <f>F655</f>
        <v>#REF!</v>
      </c>
      <c r="G654" s="7" t="e">
        <f t="shared" si="359"/>
        <v>#REF!</v>
      </c>
      <c r="H654" s="7" t="e">
        <f t="shared" si="359"/>
        <v>#REF!</v>
      </c>
      <c r="I654" s="7" t="e">
        <f t="shared" si="359"/>
        <v>#REF!</v>
      </c>
      <c r="J654" s="7" t="e">
        <f t="shared" si="359"/>
        <v>#REF!</v>
      </c>
      <c r="K654" s="7">
        <f t="shared" si="359"/>
        <v>0</v>
      </c>
      <c r="L654" s="7">
        <f t="shared" si="359"/>
        <v>0</v>
      </c>
      <c r="M654" s="7" t="e">
        <f t="shared" si="333"/>
        <v>#DIV/0!</v>
      </c>
    </row>
    <row r="655" spans="1:13" ht="15.75" hidden="1">
      <c r="A655" s="26" t="s">
        <v>313</v>
      </c>
      <c r="B655" s="42" t="s">
        <v>303</v>
      </c>
      <c r="C655" s="42" t="s">
        <v>254</v>
      </c>
      <c r="D655" s="21" t="s">
        <v>310</v>
      </c>
      <c r="E655" s="42" t="s">
        <v>314</v>
      </c>
      <c r="F655" s="7" t="e">
        <f>#REF!</f>
        <v>#REF!</v>
      </c>
      <c r="G655" s="7" t="e">
        <f>#REF!</f>
        <v>#REF!</v>
      </c>
      <c r="H655" s="7" t="e">
        <f>#REF!</f>
        <v>#REF!</v>
      </c>
      <c r="I655" s="7" t="e">
        <f>#REF!</f>
        <v>#REF!</v>
      </c>
      <c r="J655" s="7" t="e">
        <f>#REF!</f>
        <v>#REF!</v>
      </c>
      <c r="K655" s="7">
        <f>'Прил.№4 ведомств.'!G304</f>
        <v>0</v>
      </c>
      <c r="L655" s="7">
        <f>'Прил.№4 ведомств.'!H304</f>
        <v>0</v>
      </c>
      <c r="M655" s="7" t="e">
        <f aca="true" t="shared" si="360" ref="M655:M718">L655/K655*100</f>
        <v>#DIV/0!</v>
      </c>
    </row>
    <row r="656" spans="1:13" ht="47.25" customHeight="1" hidden="1">
      <c r="A656" s="26" t="s">
        <v>315</v>
      </c>
      <c r="B656" s="42" t="s">
        <v>303</v>
      </c>
      <c r="C656" s="42" t="s">
        <v>254</v>
      </c>
      <c r="D656" s="21" t="s">
        <v>316</v>
      </c>
      <c r="E656" s="42"/>
      <c r="F656" s="7"/>
      <c r="G656" s="7"/>
      <c r="H656" s="7"/>
      <c r="I656" s="7"/>
      <c r="J656" s="7"/>
      <c r="K656" s="7"/>
      <c r="L656" s="7"/>
      <c r="M656" s="7" t="e">
        <f t="shared" si="360"/>
        <v>#DIV/0!</v>
      </c>
    </row>
    <row r="657" spans="1:13" ht="47.25" customHeight="1" hidden="1">
      <c r="A657" s="26" t="s">
        <v>311</v>
      </c>
      <c r="B657" s="42" t="s">
        <v>303</v>
      </c>
      <c r="C657" s="42" t="s">
        <v>254</v>
      </c>
      <c r="D657" s="21" t="s">
        <v>316</v>
      </c>
      <c r="E657" s="42"/>
      <c r="F657" s="7"/>
      <c r="G657" s="7"/>
      <c r="H657" s="7"/>
      <c r="I657" s="7"/>
      <c r="J657" s="7"/>
      <c r="K657" s="7"/>
      <c r="L657" s="7"/>
      <c r="M657" s="7" t="e">
        <f t="shared" si="360"/>
        <v>#DIV/0!</v>
      </c>
    </row>
    <row r="658" spans="1:13" ht="15.75" customHeight="1" hidden="1">
      <c r="A658" s="26" t="s">
        <v>313</v>
      </c>
      <c r="B658" s="42" t="s">
        <v>303</v>
      </c>
      <c r="C658" s="42" t="s">
        <v>254</v>
      </c>
      <c r="D658" s="21" t="s">
        <v>316</v>
      </c>
      <c r="E658" s="42"/>
      <c r="F658" s="7"/>
      <c r="G658" s="7"/>
      <c r="H658" s="7"/>
      <c r="I658" s="7"/>
      <c r="J658" s="7"/>
      <c r="K658" s="7"/>
      <c r="L658" s="7"/>
      <c r="M658" s="7" t="e">
        <f t="shared" si="360"/>
        <v>#DIV/0!</v>
      </c>
    </row>
    <row r="659" spans="1:13" ht="31.5" customHeight="1" hidden="1">
      <c r="A659" s="26" t="s">
        <v>317</v>
      </c>
      <c r="B659" s="42" t="s">
        <v>303</v>
      </c>
      <c r="C659" s="42" t="s">
        <v>254</v>
      </c>
      <c r="D659" s="21" t="s">
        <v>318</v>
      </c>
      <c r="E659" s="42"/>
      <c r="F659" s="7"/>
      <c r="G659" s="7"/>
      <c r="H659" s="7"/>
      <c r="I659" s="7"/>
      <c r="J659" s="7"/>
      <c r="K659" s="7">
        <f>K660</f>
        <v>0</v>
      </c>
      <c r="L659" s="7">
        <f aca="true" t="shared" si="361" ref="L659:L660">L660</f>
        <v>0</v>
      </c>
      <c r="M659" s="7" t="e">
        <f t="shared" si="360"/>
        <v>#DIV/0!</v>
      </c>
    </row>
    <row r="660" spans="1:13" ht="47.25" customHeight="1" hidden="1">
      <c r="A660" s="26" t="s">
        <v>311</v>
      </c>
      <c r="B660" s="42" t="s">
        <v>303</v>
      </c>
      <c r="C660" s="42" t="s">
        <v>254</v>
      </c>
      <c r="D660" s="21" t="s">
        <v>318</v>
      </c>
      <c r="E660" s="42"/>
      <c r="F660" s="7"/>
      <c r="G660" s="7"/>
      <c r="H660" s="7"/>
      <c r="I660" s="7"/>
      <c r="J660" s="7"/>
      <c r="K660" s="7">
        <f>K661</f>
        <v>0</v>
      </c>
      <c r="L660" s="7">
        <f t="shared" si="361"/>
        <v>0</v>
      </c>
      <c r="M660" s="7" t="e">
        <f t="shared" si="360"/>
        <v>#DIV/0!</v>
      </c>
    </row>
    <row r="661" spans="1:13" ht="15.75" customHeight="1" hidden="1">
      <c r="A661" s="26" t="s">
        <v>313</v>
      </c>
      <c r="B661" s="42" t="s">
        <v>303</v>
      </c>
      <c r="C661" s="42" t="s">
        <v>254</v>
      </c>
      <c r="D661" s="21" t="s">
        <v>318</v>
      </c>
      <c r="E661" s="42" t="s">
        <v>314</v>
      </c>
      <c r="F661" s="7"/>
      <c r="G661" s="7"/>
      <c r="H661" s="7"/>
      <c r="I661" s="7"/>
      <c r="J661" s="7"/>
      <c r="K661" s="7">
        <f>'Прил.№4 ведомств.'!G310</f>
        <v>0</v>
      </c>
      <c r="L661" s="7">
        <f>'Прил.№4 ведомств.'!H310</f>
        <v>0</v>
      </c>
      <c r="M661" s="7" t="e">
        <f t="shared" si="360"/>
        <v>#DIV/0!</v>
      </c>
    </row>
    <row r="662" spans="1:13" ht="31.5" customHeight="1" hidden="1">
      <c r="A662" s="26" t="s">
        <v>319</v>
      </c>
      <c r="B662" s="42" t="s">
        <v>303</v>
      </c>
      <c r="C662" s="42" t="s">
        <v>254</v>
      </c>
      <c r="D662" s="21" t="s">
        <v>320</v>
      </c>
      <c r="E662" s="42"/>
      <c r="F662" s="7"/>
      <c r="G662" s="7"/>
      <c r="H662" s="7"/>
      <c r="I662" s="7"/>
      <c r="J662" s="7"/>
      <c r="K662" s="7"/>
      <c r="L662" s="7"/>
      <c r="M662" s="7" t="e">
        <f t="shared" si="360"/>
        <v>#DIV/0!</v>
      </c>
    </row>
    <row r="663" spans="1:13" ht="47.25" customHeight="1" hidden="1">
      <c r="A663" s="26" t="s">
        <v>311</v>
      </c>
      <c r="B663" s="42" t="s">
        <v>303</v>
      </c>
      <c r="C663" s="42" t="s">
        <v>254</v>
      </c>
      <c r="D663" s="21" t="s">
        <v>320</v>
      </c>
      <c r="E663" s="42"/>
      <c r="F663" s="7"/>
      <c r="G663" s="7"/>
      <c r="H663" s="7"/>
      <c r="I663" s="7"/>
      <c r="J663" s="7"/>
      <c r="K663" s="7"/>
      <c r="L663" s="7"/>
      <c r="M663" s="7" t="e">
        <f t="shared" si="360"/>
        <v>#DIV/0!</v>
      </c>
    </row>
    <row r="664" spans="1:13" ht="15.75" customHeight="1" hidden="1">
      <c r="A664" s="26" t="s">
        <v>313</v>
      </c>
      <c r="B664" s="42" t="s">
        <v>303</v>
      </c>
      <c r="C664" s="42" t="s">
        <v>254</v>
      </c>
      <c r="D664" s="21" t="s">
        <v>320</v>
      </c>
      <c r="E664" s="42"/>
      <c r="F664" s="7"/>
      <c r="G664" s="7"/>
      <c r="H664" s="7"/>
      <c r="I664" s="7"/>
      <c r="J664" s="7"/>
      <c r="K664" s="7"/>
      <c r="L664" s="7"/>
      <c r="M664" s="7" t="e">
        <f t="shared" si="360"/>
        <v>#DIV/0!</v>
      </c>
    </row>
    <row r="665" spans="1:13" ht="31.5" hidden="1">
      <c r="A665" s="26" t="s">
        <v>321</v>
      </c>
      <c r="B665" s="42" t="s">
        <v>303</v>
      </c>
      <c r="C665" s="42" t="s">
        <v>254</v>
      </c>
      <c r="D665" s="21" t="s">
        <v>322</v>
      </c>
      <c r="E665" s="42"/>
      <c r="F665" s="7" t="e">
        <f>F666</f>
        <v>#REF!</v>
      </c>
      <c r="G665" s="7" t="e">
        <f aca="true" t="shared" si="362" ref="G665:L666">G666</f>
        <v>#REF!</v>
      </c>
      <c r="H665" s="7" t="e">
        <f t="shared" si="362"/>
        <v>#REF!</v>
      </c>
      <c r="I665" s="7" t="e">
        <f t="shared" si="362"/>
        <v>#REF!</v>
      </c>
      <c r="J665" s="7" t="e">
        <f t="shared" si="362"/>
        <v>#REF!</v>
      </c>
      <c r="K665" s="7">
        <f t="shared" si="362"/>
        <v>0</v>
      </c>
      <c r="L665" s="7">
        <f t="shared" si="362"/>
        <v>0</v>
      </c>
      <c r="M665" s="7" t="e">
        <f t="shared" si="360"/>
        <v>#DIV/0!</v>
      </c>
    </row>
    <row r="666" spans="1:13" ht="47.25" hidden="1">
      <c r="A666" s="26" t="s">
        <v>311</v>
      </c>
      <c r="B666" s="42" t="s">
        <v>303</v>
      </c>
      <c r="C666" s="42" t="s">
        <v>254</v>
      </c>
      <c r="D666" s="21" t="s">
        <v>322</v>
      </c>
      <c r="E666" s="42" t="s">
        <v>312</v>
      </c>
      <c r="F666" s="7" t="e">
        <f>F667</f>
        <v>#REF!</v>
      </c>
      <c r="G666" s="7" t="e">
        <f t="shared" si="362"/>
        <v>#REF!</v>
      </c>
      <c r="H666" s="7" t="e">
        <f t="shared" si="362"/>
        <v>#REF!</v>
      </c>
      <c r="I666" s="7" t="e">
        <f t="shared" si="362"/>
        <v>#REF!</v>
      </c>
      <c r="J666" s="7" t="e">
        <f t="shared" si="362"/>
        <v>#REF!</v>
      </c>
      <c r="K666" s="7">
        <f t="shared" si="362"/>
        <v>0</v>
      </c>
      <c r="L666" s="7">
        <f t="shared" si="362"/>
        <v>0</v>
      </c>
      <c r="M666" s="7" t="e">
        <f t="shared" si="360"/>
        <v>#DIV/0!</v>
      </c>
    </row>
    <row r="667" spans="1:13" ht="15.75" hidden="1">
      <c r="A667" s="26" t="s">
        <v>313</v>
      </c>
      <c r="B667" s="42" t="s">
        <v>303</v>
      </c>
      <c r="C667" s="42" t="s">
        <v>254</v>
      </c>
      <c r="D667" s="21" t="s">
        <v>322</v>
      </c>
      <c r="E667" s="42" t="s">
        <v>314</v>
      </c>
      <c r="F667" s="7" t="e">
        <f>#REF!</f>
        <v>#REF!</v>
      </c>
      <c r="G667" s="7" t="e">
        <f>#REF!</f>
        <v>#REF!</v>
      </c>
      <c r="H667" s="7" t="e">
        <f>#REF!</f>
        <v>#REF!</v>
      </c>
      <c r="I667" s="7" t="e">
        <f>#REF!</f>
        <v>#REF!</v>
      </c>
      <c r="J667" s="7" t="e">
        <f>#REF!</f>
        <v>#REF!</v>
      </c>
      <c r="K667" s="7">
        <f>'Прил.№4 ведомств.'!G316</f>
        <v>0</v>
      </c>
      <c r="L667" s="7">
        <f>'Прил.№4 ведомств.'!H316</f>
        <v>0</v>
      </c>
      <c r="M667" s="7" t="e">
        <f t="shared" si="360"/>
        <v>#DIV/0!</v>
      </c>
    </row>
    <row r="668" spans="1:13" ht="31.5" customHeight="1" hidden="1">
      <c r="A668" s="26" t="s">
        <v>323</v>
      </c>
      <c r="B668" s="42" t="s">
        <v>303</v>
      </c>
      <c r="C668" s="42" t="s">
        <v>254</v>
      </c>
      <c r="D668" s="21" t="s">
        <v>324</v>
      </c>
      <c r="E668" s="42"/>
      <c r="F668" s="7" t="e">
        <f>F669</f>
        <v>#REF!</v>
      </c>
      <c r="G668" s="7" t="e">
        <f aca="true" t="shared" si="363" ref="G668:L669">G669</f>
        <v>#REF!</v>
      </c>
      <c r="H668" s="7" t="e">
        <f t="shared" si="363"/>
        <v>#REF!</v>
      </c>
      <c r="I668" s="7" t="e">
        <f t="shared" si="363"/>
        <v>#REF!</v>
      </c>
      <c r="J668" s="7" t="e">
        <f t="shared" si="363"/>
        <v>#REF!</v>
      </c>
      <c r="K668" s="7">
        <f t="shared" si="363"/>
        <v>0</v>
      </c>
      <c r="L668" s="7">
        <f t="shared" si="363"/>
        <v>0</v>
      </c>
      <c r="M668" s="7" t="e">
        <f t="shared" si="360"/>
        <v>#DIV/0!</v>
      </c>
    </row>
    <row r="669" spans="1:13" ht="47.25" customHeight="1" hidden="1">
      <c r="A669" s="26" t="s">
        <v>311</v>
      </c>
      <c r="B669" s="42" t="s">
        <v>303</v>
      </c>
      <c r="C669" s="42" t="s">
        <v>254</v>
      </c>
      <c r="D669" s="21" t="s">
        <v>325</v>
      </c>
      <c r="E669" s="42" t="s">
        <v>312</v>
      </c>
      <c r="F669" s="7" t="e">
        <f>F670</f>
        <v>#REF!</v>
      </c>
      <c r="G669" s="7" t="e">
        <f t="shared" si="363"/>
        <v>#REF!</v>
      </c>
      <c r="H669" s="7" t="e">
        <f t="shared" si="363"/>
        <v>#REF!</v>
      </c>
      <c r="I669" s="7" t="e">
        <f t="shared" si="363"/>
        <v>#REF!</v>
      </c>
      <c r="J669" s="7" t="e">
        <f t="shared" si="363"/>
        <v>#REF!</v>
      </c>
      <c r="K669" s="7">
        <f t="shared" si="363"/>
        <v>0</v>
      </c>
      <c r="L669" s="7">
        <f t="shared" si="363"/>
        <v>0</v>
      </c>
      <c r="M669" s="7" t="e">
        <f t="shared" si="360"/>
        <v>#DIV/0!</v>
      </c>
    </row>
    <row r="670" spans="1:13" ht="15.75" customHeight="1" hidden="1">
      <c r="A670" s="26" t="s">
        <v>313</v>
      </c>
      <c r="B670" s="42" t="s">
        <v>303</v>
      </c>
      <c r="C670" s="42" t="s">
        <v>254</v>
      </c>
      <c r="D670" s="21" t="s">
        <v>325</v>
      </c>
      <c r="E670" s="42" t="s">
        <v>314</v>
      </c>
      <c r="F670" s="7" t="e">
        <f>#REF!</f>
        <v>#REF!</v>
      </c>
      <c r="G670" s="7" t="e">
        <f>#REF!</f>
        <v>#REF!</v>
      </c>
      <c r="H670" s="7" t="e">
        <f>#REF!</f>
        <v>#REF!</v>
      </c>
      <c r="I670" s="7" t="e">
        <f>#REF!</f>
        <v>#REF!</v>
      </c>
      <c r="J670" s="7" t="e">
        <f>#REF!</f>
        <v>#REF!</v>
      </c>
      <c r="K670" s="7">
        <f>'Прил.№4 ведомств.'!G319</f>
        <v>0</v>
      </c>
      <c r="L670" s="7">
        <f>'Прил.№4 ведомств.'!H319</f>
        <v>0</v>
      </c>
      <c r="M670" s="7" t="e">
        <f t="shared" si="360"/>
        <v>#DIV/0!</v>
      </c>
    </row>
    <row r="671" spans="1:13" ht="31.5" customHeight="1" hidden="1">
      <c r="A671" s="37" t="s">
        <v>326</v>
      </c>
      <c r="B671" s="42" t="s">
        <v>303</v>
      </c>
      <c r="C671" s="42" t="s">
        <v>254</v>
      </c>
      <c r="D671" s="21" t="s">
        <v>327</v>
      </c>
      <c r="E671" s="42"/>
      <c r="F671" s="7" t="e">
        <f>F672</f>
        <v>#REF!</v>
      </c>
      <c r="G671" s="7" t="e">
        <f aca="true" t="shared" si="364" ref="G671:L672">G672</f>
        <v>#REF!</v>
      </c>
      <c r="H671" s="7" t="e">
        <f t="shared" si="364"/>
        <v>#REF!</v>
      </c>
      <c r="I671" s="7" t="e">
        <f t="shared" si="364"/>
        <v>#REF!</v>
      </c>
      <c r="J671" s="7" t="e">
        <f t="shared" si="364"/>
        <v>#REF!</v>
      </c>
      <c r="K671" s="7">
        <f t="shared" si="364"/>
        <v>0</v>
      </c>
      <c r="L671" s="7">
        <f t="shared" si="364"/>
        <v>0</v>
      </c>
      <c r="M671" s="7" t="e">
        <f t="shared" si="360"/>
        <v>#DIV/0!</v>
      </c>
    </row>
    <row r="672" spans="1:13" ht="47.25" customHeight="1" hidden="1">
      <c r="A672" s="26" t="s">
        <v>311</v>
      </c>
      <c r="B672" s="42" t="s">
        <v>303</v>
      </c>
      <c r="C672" s="42" t="s">
        <v>254</v>
      </c>
      <c r="D672" s="21" t="s">
        <v>327</v>
      </c>
      <c r="E672" s="42" t="s">
        <v>312</v>
      </c>
      <c r="F672" s="7" t="e">
        <f>F673</f>
        <v>#REF!</v>
      </c>
      <c r="G672" s="7" t="e">
        <f t="shared" si="364"/>
        <v>#REF!</v>
      </c>
      <c r="H672" s="7" t="e">
        <f t="shared" si="364"/>
        <v>#REF!</v>
      </c>
      <c r="I672" s="7" t="e">
        <f t="shared" si="364"/>
        <v>#REF!</v>
      </c>
      <c r="J672" s="7" t="e">
        <f t="shared" si="364"/>
        <v>#REF!</v>
      </c>
      <c r="K672" s="7">
        <f t="shared" si="364"/>
        <v>0</v>
      </c>
      <c r="L672" s="7">
        <f t="shared" si="364"/>
        <v>0</v>
      </c>
      <c r="M672" s="7" t="e">
        <f t="shared" si="360"/>
        <v>#DIV/0!</v>
      </c>
    </row>
    <row r="673" spans="1:13" ht="15.75" customHeight="1" hidden="1">
      <c r="A673" s="26" t="s">
        <v>313</v>
      </c>
      <c r="B673" s="42" t="s">
        <v>303</v>
      </c>
      <c r="C673" s="42" t="s">
        <v>254</v>
      </c>
      <c r="D673" s="21" t="s">
        <v>327</v>
      </c>
      <c r="E673" s="42" t="s">
        <v>314</v>
      </c>
      <c r="F673" s="7" t="e">
        <f>#REF!</f>
        <v>#REF!</v>
      </c>
      <c r="G673" s="7" t="e">
        <f>#REF!</f>
        <v>#REF!</v>
      </c>
      <c r="H673" s="7" t="e">
        <f>#REF!</f>
        <v>#REF!</v>
      </c>
      <c r="I673" s="7" t="e">
        <f>#REF!</f>
        <v>#REF!</v>
      </c>
      <c r="J673" s="7" t="e">
        <f>#REF!</f>
        <v>#REF!</v>
      </c>
      <c r="K673" s="7">
        <f>'Прил.№4 ведомств.'!G322</f>
        <v>0</v>
      </c>
      <c r="L673" s="7">
        <f>'Прил.№4 ведомств.'!H322</f>
        <v>0</v>
      </c>
      <c r="M673" s="7" t="e">
        <f t="shared" si="360"/>
        <v>#DIV/0!</v>
      </c>
    </row>
    <row r="674" spans="1:13" ht="15.75" customHeight="1" hidden="1">
      <c r="A674" s="47" t="s">
        <v>837</v>
      </c>
      <c r="B674" s="42" t="s">
        <v>303</v>
      </c>
      <c r="C674" s="42" t="s">
        <v>254</v>
      </c>
      <c r="D674" s="21" t="s">
        <v>843</v>
      </c>
      <c r="E674" s="42"/>
      <c r="F674" s="7" t="e">
        <f>F675</f>
        <v>#REF!</v>
      </c>
      <c r="G674" s="7" t="e">
        <f aca="true" t="shared" si="365" ref="G674:L675">G675</f>
        <v>#REF!</v>
      </c>
      <c r="H674" s="7" t="e">
        <f t="shared" si="365"/>
        <v>#REF!</v>
      </c>
      <c r="I674" s="7" t="e">
        <f t="shared" si="365"/>
        <v>#REF!</v>
      </c>
      <c r="J674" s="7" t="e">
        <f t="shared" si="365"/>
        <v>#REF!</v>
      </c>
      <c r="K674" s="7">
        <f t="shared" si="365"/>
        <v>0</v>
      </c>
      <c r="L674" s="7">
        <f t="shared" si="365"/>
        <v>0</v>
      </c>
      <c r="M674" s="7" t="e">
        <f t="shared" si="360"/>
        <v>#DIV/0!</v>
      </c>
    </row>
    <row r="675" spans="1:13" ht="15.75" customHeight="1" hidden="1">
      <c r="A675" s="33" t="s">
        <v>311</v>
      </c>
      <c r="B675" s="42" t="s">
        <v>303</v>
      </c>
      <c r="C675" s="42" t="s">
        <v>254</v>
      </c>
      <c r="D675" s="21" t="s">
        <v>843</v>
      </c>
      <c r="E675" s="42" t="s">
        <v>312</v>
      </c>
      <c r="F675" s="7" t="e">
        <f>F676</f>
        <v>#REF!</v>
      </c>
      <c r="G675" s="7" t="e">
        <f t="shared" si="365"/>
        <v>#REF!</v>
      </c>
      <c r="H675" s="7" t="e">
        <f t="shared" si="365"/>
        <v>#REF!</v>
      </c>
      <c r="I675" s="7" t="e">
        <f t="shared" si="365"/>
        <v>#REF!</v>
      </c>
      <c r="J675" s="7" t="e">
        <f t="shared" si="365"/>
        <v>#REF!</v>
      </c>
      <c r="K675" s="7">
        <f t="shared" si="365"/>
        <v>0</v>
      </c>
      <c r="L675" s="7">
        <f t="shared" si="365"/>
        <v>0</v>
      </c>
      <c r="M675" s="7" t="e">
        <f t="shared" si="360"/>
        <v>#DIV/0!</v>
      </c>
    </row>
    <row r="676" spans="1:13" ht="15.75" customHeight="1" hidden="1">
      <c r="A676" s="33" t="s">
        <v>313</v>
      </c>
      <c r="B676" s="42" t="s">
        <v>303</v>
      </c>
      <c r="C676" s="42" t="s">
        <v>254</v>
      </c>
      <c r="D676" s="21" t="s">
        <v>843</v>
      </c>
      <c r="E676" s="42" t="s">
        <v>314</v>
      </c>
      <c r="F676" s="7" t="e">
        <f>#REF!</f>
        <v>#REF!</v>
      </c>
      <c r="G676" s="7" t="e">
        <f>#REF!</f>
        <v>#REF!</v>
      </c>
      <c r="H676" s="7" t="e">
        <f>#REF!</f>
        <v>#REF!</v>
      </c>
      <c r="I676" s="7" t="e">
        <f>#REF!</f>
        <v>#REF!</v>
      </c>
      <c r="J676" s="7" t="e">
        <f>#REF!</f>
        <v>#REF!</v>
      </c>
      <c r="K676" s="7">
        <f>'Прил.№4 ведомств.'!G325</f>
        <v>0</v>
      </c>
      <c r="L676" s="7">
        <f>'Прил.№4 ведомств.'!H325</f>
        <v>0</v>
      </c>
      <c r="M676" s="7" t="e">
        <f t="shared" si="360"/>
        <v>#DIV/0!</v>
      </c>
    </row>
    <row r="677" spans="1:13" ht="33" customHeight="1">
      <c r="A677" s="117" t="s">
        <v>983</v>
      </c>
      <c r="B677" s="21" t="s">
        <v>303</v>
      </c>
      <c r="C677" s="21" t="s">
        <v>254</v>
      </c>
      <c r="D677" s="21" t="s">
        <v>984</v>
      </c>
      <c r="E677" s="21"/>
      <c r="F677" s="7"/>
      <c r="G677" s="7"/>
      <c r="H677" s="7"/>
      <c r="I677" s="7"/>
      <c r="J677" s="7"/>
      <c r="K677" s="7">
        <f>K678</f>
        <v>45</v>
      </c>
      <c r="L677" s="7">
        <f aca="true" t="shared" si="366" ref="L677:L678">L678</f>
        <v>27.6</v>
      </c>
      <c r="M677" s="7">
        <f t="shared" si="360"/>
        <v>61.33333333333334</v>
      </c>
    </row>
    <row r="678" spans="1:13" ht="30" customHeight="1">
      <c r="A678" s="26" t="s">
        <v>287</v>
      </c>
      <c r="B678" s="21" t="s">
        <v>303</v>
      </c>
      <c r="C678" s="21" t="s">
        <v>254</v>
      </c>
      <c r="D678" s="21" t="s">
        <v>984</v>
      </c>
      <c r="E678" s="21" t="s">
        <v>288</v>
      </c>
      <c r="F678" s="7"/>
      <c r="G678" s="7"/>
      <c r="H678" s="7"/>
      <c r="I678" s="7"/>
      <c r="J678" s="7"/>
      <c r="K678" s="7">
        <f>K679</f>
        <v>45</v>
      </c>
      <c r="L678" s="7">
        <f t="shared" si="366"/>
        <v>27.6</v>
      </c>
      <c r="M678" s="7">
        <f t="shared" si="360"/>
        <v>61.33333333333334</v>
      </c>
    </row>
    <row r="679" spans="1:13" ht="15.75">
      <c r="A679" s="26" t="s">
        <v>1039</v>
      </c>
      <c r="B679" s="21" t="s">
        <v>303</v>
      </c>
      <c r="C679" s="21" t="s">
        <v>254</v>
      </c>
      <c r="D679" s="21" t="s">
        <v>984</v>
      </c>
      <c r="E679" s="21" t="s">
        <v>1038</v>
      </c>
      <c r="F679" s="7"/>
      <c r="G679" s="7"/>
      <c r="H679" s="7"/>
      <c r="I679" s="7"/>
      <c r="J679" s="7"/>
      <c r="K679" s="7">
        <f>'Прил.№4 ведомств.'!G301</f>
        <v>45</v>
      </c>
      <c r="L679" s="7">
        <f>'Прил.№4 ведомств.'!H301</f>
        <v>27.6</v>
      </c>
      <c r="M679" s="7">
        <f t="shared" si="360"/>
        <v>61.33333333333334</v>
      </c>
    </row>
    <row r="680" spans="1:13" ht="33" customHeight="1">
      <c r="A680" s="33" t="s">
        <v>1025</v>
      </c>
      <c r="B680" s="21" t="s">
        <v>303</v>
      </c>
      <c r="C680" s="21" t="s">
        <v>254</v>
      </c>
      <c r="D680" s="21" t="s">
        <v>1024</v>
      </c>
      <c r="E680" s="21"/>
      <c r="F680" s="7"/>
      <c r="G680" s="7"/>
      <c r="H680" s="7"/>
      <c r="I680" s="7"/>
      <c r="J680" s="7"/>
      <c r="K680" s="7">
        <f>K683+K681</f>
        <v>300</v>
      </c>
      <c r="L680" s="7">
        <f aca="true" t="shared" si="367" ref="L680">L683+L681</f>
        <v>264.6</v>
      </c>
      <c r="M680" s="7">
        <f t="shared" si="360"/>
        <v>88.20000000000002</v>
      </c>
    </row>
    <row r="681" spans="1:13" ht="78.75">
      <c r="A681" s="26" t="s">
        <v>166</v>
      </c>
      <c r="B681" s="21" t="s">
        <v>303</v>
      </c>
      <c r="C681" s="21" t="s">
        <v>254</v>
      </c>
      <c r="D681" s="21" t="s">
        <v>1024</v>
      </c>
      <c r="E681" s="21" t="s">
        <v>167</v>
      </c>
      <c r="F681" s="7"/>
      <c r="G681" s="7"/>
      <c r="H681" s="7"/>
      <c r="I681" s="7"/>
      <c r="J681" s="7"/>
      <c r="K681" s="7">
        <f>K682</f>
        <v>300</v>
      </c>
      <c r="L681" s="7">
        <f aca="true" t="shared" si="368" ref="L681">L682</f>
        <v>264.6</v>
      </c>
      <c r="M681" s="7">
        <f t="shared" si="360"/>
        <v>88.20000000000002</v>
      </c>
    </row>
    <row r="682" spans="1:13" ht="31.5">
      <c r="A682" s="48" t="s">
        <v>381</v>
      </c>
      <c r="B682" s="21" t="s">
        <v>303</v>
      </c>
      <c r="C682" s="21" t="s">
        <v>254</v>
      </c>
      <c r="D682" s="21" t="s">
        <v>1024</v>
      </c>
      <c r="E682" s="21" t="s">
        <v>248</v>
      </c>
      <c r="F682" s="7"/>
      <c r="G682" s="7"/>
      <c r="H682" s="7"/>
      <c r="I682" s="7"/>
      <c r="J682" s="7"/>
      <c r="K682" s="7">
        <f>'Прил.№4 ведомств.'!G328</f>
        <v>300</v>
      </c>
      <c r="L682" s="7">
        <f>'Прил.№4 ведомств.'!H328</f>
        <v>264.6</v>
      </c>
      <c r="M682" s="7">
        <f t="shared" si="360"/>
        <v>88.20000000000002</v>
      </c>
    </row>
    <row r="683" spans="1:13" ht="33" customHeight="1" hidden="1">
      <c r="A683" s="26" t="s">
        <v>170</v>
      </c>
      <c r="B683" s="21" t="s">
        <v>303</v>
      </c>
      <c r="C683" s="21" t="s">
        <v>254</v>
      </c>
      <c r="D683" s="21" t="s">
        <v>1024</v>
      </c>
      <c r="E683" s="21" t="s">
        <v>171</v>
      </c>
      <c r="F683" s="7"/>
      <c r="G683" s="7"/>
      <c r="H683" s="7"/>
      <c r="I683" s="7"/>
      <c r="J683" s="7"/>
      <c r="K683" s="7">
        <f>K684</f>
        <v>0</v>
      </c>
      <c r="L683" s="7">
        <f aca="true" t="shared" si="369" ref="L683">L684</f>
        <v>0</v>
      </c>
      <c r="M683" s="7" t="e">
        <f t="shared" si="360"/>
        <v>#DIV/0!</v>
      </c>
    </row>
    <row r="684" spans="1:13" ht="50.25" customHeight="1" hidden="1">
      <c r="A684" s="26" t="s">
        <v>172</v>
      </c>
      <c r="B684" s="21" t="s">
        <v>303</v>
      </c>
      <c r="C684" s="21" t="s">
        <v>254</v>
      </c>
      <c r="D684" s="21" t="s">
        <v>1024</v>
      </c>
      <c r="E684" s="21" t="s">
        <v>173</v>
      </c>
      <c r="F684" s="7"/>
      <c r="G684" s="7"/>
      <c r="H684" s="7"/>
      <c r="I684" s="7"/>
      <c r="J684" s="7"/>
      <c r="K684" s="7">
        <f>'Прил.№4 ведомств.'!G330</f>
        <v>0</v>
      </c>
      <c r="L684" s="7">
        <f>'Прил.№4 ведомств.'!H330</f>
        <v>0</v>
      </c>
      <c r="M684" s="7" t="e">
        <f t="shared" si="360"/>
        <v>#DIV/0!</v>
      </c>
    </row>
    <row r="685" spans="1:13" ht="18" customHeight="1">
      <c r="A685" s="26" t="s">
        <v>985</v>
      </c>
      <c r="B685" s="21" t="s">
        <v>303</v>
      </c>
      <c r="C685" s="21" t="s">
        <v>254</v>
      </c>
      <c r="D685" s="21" t="s">
        <v>986</v>
      </c>
      <c r="E685" s="42"/>
      <c r="F685" s="7"/>
      <c r="G685" s="7"/>
      <c r="H685" s="7"/>
      <c r="I685" s="7"/>
      <c r="J685" s="7"/>
      <c r="K685" s="7">
        <f>K686+K688+K690</f>
        <v>15309</v>
      </c>
      <c r="L685" s="7">
        <f aca="true" t="shared" si="370" ref="L685">L686+L688+L690</f>
        <v>10382.7</v>
      </c>
      <c r="M685" s="7">
        <f t="shared" si="360"/>
        <v>67.82088967274153</v>
      </c>
    </row>
    <row r="686" spans="1:13" ht="79.5" customHeight="1">
      <c r="A686" s="26" t="s">
        <v>166</v>
      </c>
      <c r="B686" s="21" t="s">
        <v>303</v>
      </c>
      <c r="C686" s="21" t="s">
        <v>254</v>
      </c>
      <c r="D686" s="21" t="s">
        <v>986</v>
      </c>
      <c r="E686" s="21" t="s">
        <v>167</v>
      </c>
      <c r="F686" s="7"/>
      <c r="G686" s="7"/>
      <c r="H686" s="7"/>
      <c r="I686" s="7"/>
      <c r="J686" s="7"/>
      <c r="K686" s="7">
        <f>K687</f>
        <v>13271.6</v>
      </c>
      <c r="L686" s="7">
        <f aca="true" t="shared" si="371" ref="L686">L687</f>
        <v>9212.4</v>
      </c>
      <c r="M686" s="7">
        <f t="shared" si="360"/>
        <v>69.41438861930739</v>
      </c>
    </row>
    <row r="687" spans="1:13" ht="30.75" customHeight="1">
      <c r="A687" s="48" t="s">
        <v>381</v>
      </c>
      <c r="B687" s="21" t="s">
        <v>303</v>
      </c>
      <c r="C687" s="21" t="s">
        <v>254</v>
      </c>
      <c r="D687" s="21" t="s">
        <v>986</v>
      </c>
      <c r="E687" s="21" t="s">
        <v>248</v>
      </c>
      <c r="F687" s="7"/>
      <c r="G687" s="7"/>
      <c r="H687" s="7"/>
      <c r="I687" s="7"/>
      <c r="J687" s="7"/>
      <c r="K687" s="7">
        <f>'Прил.№4 ведомств.'!G333</f>
        <v>13271.6</v>
      </c>
      <c r="L687" s="7">
        <f>'Прил.№4 ведомств.'!H333</f>
        <v>9212.4</v>
      </c>
      <c r="M687" s="7">
        <f t="shared" si="360"/>
        <v>69.41438861930739</v>
      </c>
    </row>
    <row r="688" spans="1:13" ht="33.75" customHeight="1">
      <c r="A688" s="26" t="s">
        <v>170</v>
      </c>
      <c r="B688" s="21" t="s">
        <v>303</v>
      </c>
      <c r="C688" s="21" t="s">
        <v>254</v>
      </c>
      <c r="D688" s="21" t="s">
        <v>986</v>
      </c>
      <c r="E688" s="21" t="s">
        <v>171</v>
      </c>
      <c r="F688" s="7"/>
      <c r="G688" s="7"/>
      <c r="H688" s="7"/>
      <c r="I688" s="7"/>
      <c r="J688" s="7"/>
      <c r="K688" s="7">
        <f>K689</f>
        <v>1965.3</v>
      </c>
      <c r="L688" s="7">
        <f aca="true" t="shared" si="372" ref="L688">L689</f>
        <v>1131.6</v>
      </c>
      <c r="M688" s="7">
        <f t="shared" si="360"/>
        <v>57.57899557319492</v>
      </c>
    </row>
    <row r="689" spans="1:13" ht="46.5" customHeight="1">
      <c r="A689" s="26" t="s">
        <v>172</v>
      </c>
      <c r="B689" s="21" t="s">
        <v>303</v>
      </c>
      <c r="C689" s="21" t="s">
        <v>254</v>
      </c>
      <c r="D689" s="21" t="s">
        <v>986</v>
      </c>
      <c r="E689" s="21" t="s">
        <v>173</v>
      </c>
      <c r="F689" s="7"/>
      <c r="G689" s="7"/>
      <c r="H689" s="7"/>
      <c r="I689" s="7"/>
      <c r="J689" s="7"/>
      <c r="K689" s="7">
        <f>'Прил.№4 ведомств.'!G335</f>
        <v>1965.3</v>
      </c>
      <c r="L689" s="7">
        <f>'Прил.№4 ведомств.'!H335</f>
        <v>1131.6</v>
      </c>
      <c r="M689" s="7">
        <f t="shared" si="360"/>
        <v>57.57899557319492</v>
      </c>
    </row>
    <row r="690" spans="1:13" ht="15.75" customHeight="1" hidden="1">
      <c r="A690" s="26" t="s">
        <v>174</v>
      </c>
      <c r="B690" s="21" t="s">
        <v>303</v>
      </c>
      <c r="C690" s="21" t="s">
        <v>254</v>
      </c>
      <c r="D690" s="21" t="s">
        <v>986</v>
      </c>
      <c r="E690" s="21" t="s">
        <v>184</v>
      </c>
      <c r="F690" s="7"/>
      <c r="G690" s="7"/>
      <c r="H690" s="7"/>
      <c r="I690" s="7"/>
      <c r="J690" s="7"/>
      <c r="K690" s="7">
        <f>K691</f>
        <v>72.1</v>
      </c>
      <c r="L690" s="7">
        <f aca="true" t="shared" si="373" ref="L690">L691</f>
        <v>38.7</v>
      </c>
      <c r="M690" s="7">
        <f t="shared" si="360"/>
        <v>53.67545076282941</v>
      </c>
    </row>
    <row r="691" spans="1:13" ht="15.75" customHeight="1" hidden="1">
      <c r="A691" s="26" t="s">
        <v>774</v>
      </c>
      <c r="B691" s="21" t="s">
        <v>303</v>
      </c>
      <c r="C691" s="21" t="s">
        <v>254</v>
      </c>
      <c r="D691" s="21" t="s">
        <v>986</v>
      </c>
      <c r="E691" s="21" t="s">
        <v>177</v>
      </c>
      <c r="F691" s="7"/>
      <c r="G691" s="7"/>
      <c r="H691" s="7"/>
      <c r="I691" s="7"/>
      <c r="J691" s="7"/>
      <c r="K691" s="7">
        <f>'Прил.№4 ведомств.'!G337</f>
        <v>72.1</v>
      </c>
      <c r="L691" s="7">
        <f>'Прил.№4 ведомств.'!H337</f>
        <v>38.7</v>
      </c>
      <c r="M691" s="7">
        <f t="shared" si="360"/>
        <v>53.67545076282941</v>
      </c>
    </row>
    <row r="692" spans="1:13" ht="60.75" customHeight="1">
      <c r="A692" s="31" t="s">
        <v>777</v>
      </c>
      <c r="B692" s="21" t="s">
        <v>303</v>
      </c>
      <c r="C692" s="21" t="s">
        <v>254</v>
      </c>
      <c r="D692" s="21" t="s">
        <v>775</v>
      </c>
      <c r="E692" s="25"/>
      <c r="F692" s="7"/>
      <c r="G692" s="7"/>
      <c r="H692" s="7"/>
      <c r="I692" s="7"/>
      <c r="J692" s="7"/>
      <c r="K692" s="7">
        <f>K693+K696</f>
        <v>521.7</v>
      </c>
      <c r="L692" s="7">
        <f aca="true" t="shared" si="374" ref="L692">L693+L696</f>
        <v>350.1</v>
      </c>
      <c r="M692" s="7">
        <f t="shared" si="360"/>
        <v>67.10753306497988</v>
      </c>
    </row>
    <row r="693" spans="1:13" ht="36.75" customHeight="1">
      <c r="A693" s="246" t="s">
        <v>909</v>
      </c>
      <c r="B693" s="21" t="s">
        <v>303</v>
      </c>
      <c r="C693" s="21" t="s">
        <v>254</v>
      </c>
      <c r="D693" s="21" t="s">
        <v>910</v>
      </c>
      <c r="E693" s="34"/>
      <c r="F693" s="7"/>
      <c r="G693" s="7"/>
      <c r="H693" s="7"/>
      <c r="I693" s="7"/>
      <c r="J693" s="7"/>
      <c r="K693" s="7">
        <f>K694</f>
        <v>221</v>
      </c>
      <c r="L693" s="7">
        <f aca="true" t="shared" si="375" ref="L693:L694">L694</f>
        <v>136.2</v>
      </c>
      <c r="M693" s="7">
        <f t="shared" si="360"/>
        <v>61.628959276018094</v>
      </c>
    </row>
    <row r="694" spans="1:13" ht="38.25" customHeight="1">
      <c r="A694" s="26" t="s">
        <v>170</v>
      </c>
      <c r="B694" s="21" t="s">
        <v>303</v>
      </c>
      <c r="C694" s="21" t="s">
        <v>254</v>
      </c>
      <c r="D694" s="21" t="s">
        <v>910</v>
      </c>
      <c r="E694" s="34" t="s">
        <v>171</v>
      </c>
      <c r="F694" s="7"/>
      <c r="G694" s="7"/>
      <c r="H694" s="7"/>
      <c r="I694" s="7"/>
      <c r="J694" s="7"/>
      <c r="K694" s="7">
        <f>K695</f>
        <v>221</v>
      </c>
      <c r="L694" s="7">
        <f t="shared" si="375"/>
        <v>136.2</v>
      </c>
      <c r="M694" s="7">
        <f t="shared" si="360"/>
        <v>61.628959276018094</v>
      </c>
    </row>
    <row r="695" spans="1:13" ht="47.25" customHeight="1">
      <c r="A695" s="26" t="s">
        <v>172</v>
      </c>
      <c r="B695" s="21" t="s">
        <v>303</v>
      </c>
      <c r="C695" s="21" t="s">
        <v>254</v>
      </c>
      <c r="D695" s="21" t="s">
        <v>910</v>
      </c>
      <c r="E695" s="34" t="s">
        <v>173</v>
      </c>
      <c r="F695" s="7"/>
      <c r="G695" s="7"/>
      <c r="H695" s="7"/>
      <c r="I695" s="7"/>
      <c r="J695" s="7"/>
      <c r="K695" s="7">
        <f>'Прил.№4 ведомств.'!G341</f>
        <v>221</v>
      </c>
      <c r="L695" s="7">
        <f>'Прил.№4 ведомств.'!H341</f>
        <v>136.2</v>
      </c>
      <c r="M695" s="7">
        <f t="shared" si="360"/>
        <v>61.628959276018094</v>
      </c>
    </row>
    <row r="696" spans="1:13" ht="43.5" customHeight="1">
      <c r="A696" s="26" t="s">
        <v>311</v>
      </c>
      <c r="B696" s="21" t="s">
        <v>303</v>
      </c>
      <c r="C696" s="21" t="s">
        <v>254</v>
      </c>
      <c r="D696" s="21" t="s">
        <v>910</v>
      </c>
      <c r="E696" s="34" t="s">
        <v>312</v>
      </c>
      <c r="F696" s="7"/>
      <c r="G696" s="7"/>
      <c r="H696" s="7"/>
      <c r="I696" s="7"/>
      <c r="J696" s="7"/>
      <c r="K696" s="7">
        <f>K697</f>
        <v>300.7</v>
      </c>
      <c r="L696" s="7">
        <f aca="true" t="shared" si="376" ref="L696">L697</f>
        <v>213.9</v>
      </c>
      <c r="M696" s="7">
        <f t="shared" si="360"/>
        <v>71.1340206185567</v>
      </c>
    </row>
    <row r="697" spans="1:13" ht="15.75" customHeight="1">
      <c r="A697" s="26" t="s">
        <v>313</v>
      </c>
      <c r="B697" s="21" t="s">
        <v>303</v>
      </c>
      <c r="C697" s="21" t="s">
        <v>254</v>
      </c>
      <c r="D697" s="21" t="s">
        <v>910</v>
      </c>
      <c r="E697" s="34" t="s">
        <v>314</v>
      </c>
      <c r="F697" s="7"/>
      <c r="G697" s="7"/>
      <c r="H697" s="7"/>
      <c r="I697" s="7"/>
      <c r="J697" s="7"/>
      <c r="K697" s="7">
        <f>'Прил.№4 ведомств.'!G925+'Прил.№4 ведомств.'!G841</f>
        <v>300.7</v>
      </c>
      <c r="L697" s="7">
        <f>'Прил.№4 ведомств.'!H925+'Прил.№4 ведомств.'!H841</f>
        <v>213.9</v>
      </c>
      <c r="M697" s="7">
        <f t="shared" si="360"/>
        <v>71.1340206185567</v>
      </c>
    </row>
    <row r="698" spans="1:13" ht="15.75">
      <c r="A698" s="26" t="s">
        <v>160</v>
      </c>
      <c r="B698" s="42" t="s">
        <v>303</v>
      </c>
      <c r="C698" s="42" t="s">
        <v>254</v>
      </c>
      <c r="D698" s="21" t="s">
        <v>161</v>
      </c>
      <c r="E698" s="42"/>
      <c r="F698" s="7" t="e">
        <f aca="true" t="shared" si="377" ref="F698:L698">F699</f>
        <v>#REF!</v>
      </c>
      <c r="G698" s="7" t="e">
        <f t="shared" si="377"/>
        <v>#REF!</v>
      </c>
      <c r="H698" s="7" t="e">
        <f t="shared" si="377"/>
        <v>#REF!</v>
      </c>
      <c r="I698" s="7" t="e">
        <f t="shared" si="377"/>
        <v>#REF!</v>
      </c>
      <c r="J698" s="7" t="e">
        <f t="shared" si="377"/>
        <v>#REF!</v>
      </c>
      <c r="K698" s="7">
        <f t="shared" si="377"/>
        <v>2489.8</v>
      </c>
      <c r="L698" s="7">
        <f t="shared" si="377"/>
        <v>1770.8</v>
      </c>
      <c r="M698" s="7">
        <f t="shared" si="360"/>
        <v>71.12217848823198</v>
      </c>
    </row>
    <row r="699" spans="1:13" ht="31.5">
      <c r="A699" s="26" t="s">
        <v>224</v>
      </c>
      <c r="B699" s="42" t="s">
        <v>303</v>
      </c>
      <c r="C699" s="42" t="s">
        <v>254</v>
      </c>
      <c r="D699" s="21" t="s">
        <v>225</v>
      </c>
      <c r="E699" s="42"/>
      <c r="F699" s="7" t="e">
        <f aca="true" t="shared" si="378" ref="F699:K699">F700+F705+F710</f>
        <v>#REF!</v>
      </c>
      <c r="G699" s="7" t="e">
        <f t="shared" si="378"/>
        <v>#REF!</v>
      </c>
      <c r="H699" s="7" t="e">
        <f t="shared" si="378"/>
        <v>#REF!</v>
      </c>
      <c r="I699" s="7" t="e">
        <f t="shared" si="378"/>
        <v>#REF!</v>
      </c>
      <c r="J699" s="7" t="e">
        <f t="shared" si="378"/>
        <v>#REF!</v>
      </c>
      <c r="K699" s="7">
        <f t="shared" si="378"/>
        <v>2489.8</v>
      </c>
      <c r="L699" s="7">
        <f aca="true" t="shared" si="379" ref="L699">L700+L705+L710</f>
        <v>1770.8</v>
      </c>
      <c r="M699" s="7">
        <f t="shared" si="360"/>
        <v>71.12217848823198</v>
      </c>
    </row>
    <row r="700" spans="1:13" ht="63">
      <c r="A700" s="33" t="s">
        <v>328</v>
      </c>
      <c r="B700" s="42" t="s">
        <v>303</v>
      </c>
      <c r="C700" s="42" t="s">
        <v>254</v>
      </c>
      <c r="D700" s="21" t="s">
        <v>329</v>
      </c>
      <c r="E700" s="42"/>
      <c r="F700" s="7" t="e">
        <f>F703</f>
        <v>#REF!</v>
      </c>
      <c r="G700" s="7" t="e">
        <f>G703</f>
        <v>#REF!</v>
      </c>
      <c r="H700" s="7" t="e">
        <f>H703</f>
        <v>#REF!</v>
      </c>
      <c r="I700" s="7" t="e">
        <f>I703</f>
        <v>#REF!</v>
      </c>
      <c r="J700" s="7" t="e">
        <f>J703</f>
        <v>#REF!</v>
      </c>
      <c r="K700" s="7">
        <f>K703+K701</f>
        <v>175.5</v>
      </c>
      <c r="L700" s="7">
        <f aca="true" t="shared" si="380" ref="L700">L703+L701</f>
        <v>114.4</v>
      </c>
      <c r="M700" s="7">
        <f t="shared" si="360"/>
        <v>65.18518518518519</v>
      </c>
    </row>
    <row r="701" spans="1:13" ht="78.75">
      <c r="A701" s="26" t="s">
        <v>166</v>
      </c>
      <c r="B701" s="42" t="s">
        <v>303</v>
      </c>
      <c r="C701" s="42" t="s">
        <v>254</v>
      </c>
      <c r="D701" s="21" t="s">
        <v>329</v>
      </c>
      <c r="E701" s="42" t="s">
        <v>167</v>
      </c>
      <c r="F701" s="7"/>
      <c r="G701" s="7"/>
      <c r="H701" s="7"/>
      <c r="I701" s="7"/>
      <c r="J701" s="7"/>
      <c r="K701" s="7">
        <f>K702</f>
        <v>65.5</v>
      </c>
      <c r="L701" s="7">
        <f aca="true" t="shared" si="381" ref="L701">L702</f>
        <v>39.6</v>
      </c>
      <c r="M701" s="7">
        <f t="shared" si="360"/>
        <v>60.45801526717558</v>
      </c>
    </row>
    <row r="702" spans="1:13" ht="31.5">
      <c r="A702" s="48" t="s">
        <v>381</v>
      </c>
      <c r="B702" s="42" t="s">
        <v>303</v>
      </c>
      <c r="C702" s="42" t="s">
        <v>254</v>
      </c>
      <c r="D702" s="21" t="s">
        <v>329</v>
      </c>
      <c r="E702" s="42" t="s">
        <v>248</v>
      </c>
      <c r="F702" s="7"/>
      <c r="G702" s="7"/>
      <c r="H702" s="7"/>
      <c r="I702" s="7"/>
      <c r="J702" s="7"/>
      <c r="K702" s="7">
        <f>'Прил.№4 ведомств.'!G346</f>
        <v>65.5</v>
      </c>
      <c r="L702" s="7">
        <f>'Прил.№4 ведомств.'!H346</f>
        <v>39.6</v>
      </c>
      <c r="M702" s="7">
        <f t="shared" si="360"/>
        <v>60.45801526717558</v>
      </c>
    </row>
    <row r="703" spans="1:13" ht="47.25">
      <c r="A703" s="26" t="s">
        <v>311</v>
      </c>
      <c r="B703" s="42" t="s">
        <v>303</v>
      </c>
      <c r="C703" s="42" t="s">
        <v>254</v>
      </c>
      <c r="D703" s="21" t="s">
        <v>329</v>
      </c>
      <c r="E703" s="42" t="s">
        <v>312</v>
      </c>
      <c r="F703" s="7" t="e">
        <f aca="true" t="shared" si="382" ref="F703:L703">F704</f>
        <v>#REF!</v>
      </c>
      <c r="G703" s="7" t="e">
        <f t="shared" si="382"/>
        <v>#REF!</v>
      </c>
      <c r="H703" s="7" t="e">
        <f t="shared" si="382"/>
        <v>#REF!</v>
      </c>
      <c r="I703" s="7" t="e">
        <f t="shared" si="382"/>
        <v>#REF!</v>
      </c>
      <c r="J703" s="7" t="e">
        <f t="shared" si="382"/>
        <v>#REF!</v>
      </c>
      <c r="K703" s="7">
        <f t="shared" si="382"/>
        <v>110</v>
      </c>
      <c r="L703" s="7">
        <f t="shared" si="382"/>
        <v>74.8</v>
      </c>
      <c r="M703" s="7">
        <f t="shared" si="360"/>
        <v>68</v>
      </c>
    </row>
    <row r="704" spans="1:13" ht="15.75">
      <c r="A704" s="26" t="s">
        <v>313</v>
      </c>
      <c r="B704" s="42" t="s">
        <v>303</v>
      </c>
      <c r="C704" s="42" t="s">
        <v>254</v>
      </c>
      <c r="D704" s="21" t="s">
        <v>329</v>
      </c>
      <c r="E704" s="42" t="s">
        <v>314</v>
      </c>
      <c r="F704" s="7" t="e">
        <f>#REF!+#REF!+#REF!</f>
        <v>#REF!</v>
      </c>
      <c r="G704" s="7" t="e">
        <f>#REF!+#REF!+#REF!</f>
        <v>#REF!</v>
      </c>
      <c r="H704" s="7" t="e">
        <f>#REF!+#REF!+#REF!</f>
        <v>#REF!</v>
      </c>
      <c r="I704" s="7" t="e">
        <f>#REF!+#REF!+#REF!</f>
        <v>#REF!</v>
      </c>
      <c r="J704" s="7" t="e">
        <f>#REF!+#REF!+#REF!</f>
        <v>#REF!</v>
      </c>
      <c r="K704" s="7">
        <f>'Прил.№4 ведомств.'!G846+'Прил.№4 ведомств.'!G930</f>
        <v>110</v>
      </c>
      <c r="L704" s="7">
        <f>'Прил.№4 ведомств.'!H846+'Прил.№4 ведомств.'!H930</f>
        <v>74.8</v>
      </c>
      <c r="M704" s="7">
        <f t="shared" si="360"/>
        <v>68</v>
      </c>
    </row>
    <row r="705" spans="1:13" ht="63">
      <c r="A705" s="33" t="s">
        <v>330</v>
      </c>
      <c r="B705" s="42" t="s">
        <v>303</v>
      </c>
      <c r="C705" s="42" t="s">
        <v>254</v>
      </c>
      <c r="D705" s="21" t="s">
        <v>331</v>
      </c>
      <c r="E705" s="42"/>
      <c r="F705" s="7" t="e">
        <f>F708</f>
        <v>#REF!</v>
      </c>
      <c r="G705" s="7" t="e">
        <f>G708</f>
        <v>#REF!</v>
      </c>
      <c r="H705" s="7" t="e">
        <f>H708</f>
        <v>#REF!</v>
      </c>
      <c r="I705" s="7" t="e">
        <f>I708</f>
        <v>#REF!</v>
      </c>
      <c r="J705" s="7" t="e">
        <f>J708</f>
        <v>#REF!</v>
      </c>
      <c r="K705" s="7">
        <f>K708+K706</f>
        <v>913.6000000000001</v>
      </c>
      <c r="L705" s="7">
        <f aca="true" t="shared" si="383" ref="L705">L708+L706</f>
        <v>637.5999999999999</v>
      </c>
      <c r="M705" s="7">
        <f t="shared" si="360"/>
        <v>69.78984238178631</v>
      </c>
    </row>
    <row r="706" spans="1:13" ht="78.75">
      <c r="A706" s="26" t="s">
        <v>166</v>
      </c>
      <c r="B706" s="42" t="s">
        <v>303</v>
      </c>
      <c r="C706" s="42" t="s">
        <v>254</v>
      </c>
      <c r="D706" s="21" t="s">
        <v>331</v>
      </c>
      <c r="E706" s="42" t="s">
        <v>167</v>
      </c>
      <c r="F706" s="7"/>
      <c r="G706" s="7"/>
      <c r="H706" s="7"/>
      <c r="I706" s="7"/>
      <c r="J706" s="7"/>
      <c r="K706" s="7">
        <f>K707</f>
        <v>321.50000000000006</v>
      </c>
      <c r="L706" s="7">
        <f aca="true" t="shared" si="384" ref="L706">L707</f>
        <v>191.2</v>
      </c>
      <c r="M706" s="7">
        <f t="shared" si="360"/>
        <v>59.471228615863126</v>
      </c>
    </row>
    <row r="707" spans="1:13" ht="31.5">
      <c r="A707" s="48" t="s">
        <v>381</v>
      </c>
      <c r="B707" s="42" t="s">
        <v>303</v>
      </c>
      <c r="C707" s="42" t="s">
        <v>254</v>
      </c>
      <c r="D707" s="21" t="s">
        <v>331</v>
      </c>
      <c r="E707" s="42" t="s">
        <v>248</v>
      </c>
      <c r="F707" s="7"/>
      <c r="G707" s="7"/>
      <c r="H707" s="7"/>
      <c r="I707" s="7"/>
      <c r="J707" s="7"/>
      <c r="K707" s="7">
        <f>'Прил.№4 ведомств.'!G349</f>
        <v>321.50000000000006</v>
      </c>
      <c r="L707" s="7">
        <f>'Прил.№4 ведомств.'!H349</f>
        <v>191.2</v>
      </c>
      <c r="M707" s="7">
        <f t="shared" si="360"/>
        <v>59.471228615863126</v>
      </c>
    </row>
    <row r="708" spans="1:13" ht="47.25">
      <c r="A708" s="26" t="s">
        <v>311</v>
      </c>
      <c r="B708" s="42" t="s">
        <v>303</v>
      </c>
      <c r="C708" s="42" t="s">
        <v>254</v>
      </c>
      <c r="D708" s="21" t="s">
        <v>331</v>
      </c>
      <c r="E708" s="42" t="s">
        <v>312</v>
      </c>
      <c r="F708" s="7" t="e">
        <f aca="true" t="shared" si="385" ref="F708:L708">F709</f>
        <v>#REF!</v>
      </c>
      <c r="G708" s="7" t="e">
        <f t="shared" si="385"/>
        <v>#REF!</v>
      </c>
      <c r="H708" s="7" t="e">
        <f t="shared" si="385"/>
        <v>#REF!</v>
      </c>
      <c r="I708" s="7" t="e">
        <f t="shared" si="385"/>
        <v>#REF!</v>
      </c>
      <c r="J708" s="7" t="e">
        <f t="shared" si="385"/>
        <v>#REF!</v>
      </c>
      <c r="K708" s="7">
        <f t="shared" si="385"/>
        <v>592.1</v>
      </c>
      <c r="L708" s="7">
        <f t="shared" si="385"/>
        <v>446.4</v>
      </c>
      <c r="M708" s="7">
        <f t="shared" si="360"/>
        <v>75.39267015706805</v>
      </c>
    </row>
    <row r="709" spans="1:13" ht="15.75">
      <c r="A709" s="26" t="s">
        <v>313</v>
      </c>
      <c r="B709" s="42" t="s">
        <v>303</v>
      </c>
      <c r="C709" s="42" t="s">
        <v>254</v>
      </c>
      <c r="D709" s="21" t="s">
        <v>331</v>
      </c>
      <c r="E709" s="42" t="s">
        <v>314</v>
      </c>
      <c r="F709" s="7" t="e">
        <f>#REF!+#REF!+#REF!</f>
        <v>#REF!</v>
      </c>
      <c r="G709" s="7" t="e">
        <f>#REF!+#REF!+#REF!</f>
        <v>#REF!</v>
      </c>
      <c r="H709" s="7" t="e">
        <f>#REF!+#REF!+#REF!</f>
        <v>#REF!</v>
      </c>
      <c r="I709" s="7" t="e">
        <f>#REF!+#REF!+#REF!</f>
        <v>#REF!</v>
      </c>
      <c r="J709" s="7" t="e">
        <f>#REF!+#REF!+#REF!</f>
        <v>#REF!</v>
      </c>
      <c r="K709" s="7">
        <f>'Прил.№4 ведомств.'!G933+'Прил.№4 ведомств.'!G849</f>
        <v>592.1</v>
      </c>
      <c r="L709" s="7">
        <f>'Прил.№4 ведомств.'!H933+'Прил.№4 ведомств.'!H849</f>
        <v>446.4</v>
      </c>
      <c r="M709" s="7">
        <f t="shared" si="360"/>
        <v>75.39267015706805</v>
      </c>
    </row>
    <row r="710" spans="1:13" ht="94.5">
      <c r="A710" s="33" t="s">
        <v>332</v>
      </c>
      <c r="B710" s="42" t="s">
        <v>303</v>
      </c>
      <c r="C710" s="42" t="s">
        <v>254</v>
      </c>
      <c r="D710" s="21" t="s">
        <v>333</v>
      </c>
      <c r="E710" s="42"/>
      <c r="F710" s="7" t="e">
        <f>F713</f>
        <v>#REF!</v>
      </c>
      <c r="G710" s="7" t="e">
        <f>G713</f>
        <v>#REF!</v>
      </c>
      <c r="H710" s="7" t="e">
        <f>H713</f>
        <v>#REF!</v>
      </c>
      <c r="I710" s="7" t="e">
        <f>I713</f>
        <v>#REF!</v>
      </c>
      <c r="J710" s="7" t="e">
        <f>J713</f>
        <v>#REF!</v>
      </c>
      <c r="K710" s="7">
        <f>K713+K711</f>
        <v>1400.6999999999998</v>
      </c>
      <c r="L710" s="7">
        <f aca="true" t="shared" si="386" ref="L710">L713+L711</f>
        <v>1018.8000000000001</v>
      </c>
      <c r="M710" s="7">
        <f t="shared" si="360"/>
        <v>72.73506104090814</v>
      </c>
    </row>
    <row r="711" spans="1:13" ht="78.75">
      <c r="A711" s="26" t="s">
        <v>166</v>
      </c>
      <c r="B711" s="42" t="s">
        <v>303</v>
      </c>
      <c r="C711" s="42" t="s">
        <v>254</v>
      </c>
      <c r="D711" s="21" t="s">
        <v>333</v>
      </c>
      <c r="E711" s="42" t="s">
        <v>167</v>
      </c>
      <c r="F711" s="7"/>
      <c r="G711" s="7"/>
      <c r="H711" s="7"/>
      <c r="I711" s="7"/>
      <c r="J711" s="7"/>
      <c r="K711" s="7">
        <f>K712</f>
        <v>560.4</v>
      </c>
      <c r="L711" s="7">
        <f aca="true" t="shared" si="387" ref="L711">L712</f>
        <v>305.6</v>
      </c>
      <c r="M711" s="7">
        <f t="shared" si="360"/>
        <v>54.532476802284094</v>
      </c>
    </row>
    <row r="712" spans="1:13" ht="31.5">
      <c r="A712" s="48" t="s">
        <v>381</v>
      </c>
      <c r="B712" s="42" t="s">
        <v>303</v>
      </c>
      <c r="C712" s="42" t="s">
        <v>254</v>
      </c>
      <c r="D712" s="21" t="s">
        <v>333</v>
      </c>
      <c r="E712" s="42" t="s">
        <v>248</v>
      </c>
      <c r="F712" s="7"/>
      <c r="G712" s="7"/>
      <c r="H712" s="7"/>
      <c r="I712" s="7"/>
      <c r="J712" s="7"/>
      <c r="K712" s="7">
        <f>'Прил.№4 ведомств.'!G352</f>
        <v>560.4</v>
      </c>
      <c r="L712" s="7">
        <f>'Прил.№4 ведомств.'!H352</f>
        <v>305.6</v>
      </c>
      <c r="M712" s="7">
        <f t="shared" si="360"/>
        <v>54.532476802284094</v>
      </c>
    </row>
    <row r="713" spans="1:13" ht="47.25">
      <c r="A713" s="26" t="s">
        <v>311</v>
      </c>
      <c r="B713" s="42" t="s">
        <v>303</v>
      </c>
      <c r="C713" s="42" t="s">
        <v>254</v>
      </c>
      <c r="D713" s="21" t="s">
        <v>333</v>
      </c>
      <c r="E713" s="42" t="s">
        <v>312</v>
      </c>
      <c r="F713" s="7" t="e">
        <f aca="true" t="shared" si="388" ref="F713:L713">F714</f>
        <v>#REF!</v>
      </c>
      <c r="G713" s="7" t="e">
        <f t="shared" si="388"/>
        <v>#REF!</v>
      </c>
      <c r="H713" s="7" t="e">
        <f t="shared" si="388"/>
        <v>#REF!</v>
      </c>
      <c r="I713" s="7" t="e">
        <f t="shared" si="388"/>
        <v>#REF!</v>
      </c>
      <c r="J713" s="7" t="e">
        <f t="shared" si="388"/>
        <v>#REF!</v>
      </c>
      <c r="K713" s="7">
        <f t="shared" si="388"/>
        <v>840.3</v>
      </c>
      <c r="L713" s="7">
        <f t="shared" si="388"/>
        <v>713.2</v>
      </c>
      <c r="M713" s="7">
        <f t="shared" si="360"/>
        <v>84.87444960133287</v>
      </c>
    </row>
    <row r="714" spans="1:13" ht="15.75">
      <c r="A714" s="26" t="s">
        <v>313</v>
      </c>
      <c r="B714" s="42" t="s">
        <v>303</v>
      </c>
      <c r="C714" s="42" t="s">
        <v>254</v>
      </c>
      <c r="D714" s="21" t="s">
        <v>333</v>
      </c>
      <c r="E714" s="42" t="s">
        <v>314</v>
      </c>
      <c r="F714" s="7" t="e">
        <f>#REF!+#REF!+#REF!</f>
        <v>#REF!</v>
      </c>
      <c r="G714" s="7" t="e">
        <f>#REF!+#REF!+#REF!</f>
        <v>#REF!</v>
      </c>
      <c r="H714" s="7" t="e">
        <f>#REF!+#REF!+#REF!</f>
        <v>#REF!</v>
      </c>
      <c r="I714" s="7" t="e">
        <f>#REF!+#REF!+#REF!</f>
        <v>#REF!</v>
      </c>
      <c r="J714" s="7" t="e">
        <f>#REF!+#REF!+#REF!</f>
        <v>#REF!</v>
      </c>
      <c r="K714" s="7">
        <f>'Прил.№4 ведомств.'!G852+'Прил.№4 ведомств.'!G936</f>
        <v>840.3</v>
      </c>
      <c r="L714" s="7">
        <f>'Прил.№4 ведомств.'!H852+'Прил.№4 ведомств.'!H936</f>
        <v>713.2</v>
      </c>
      <c r="M714" s="7">
        <f t="shared" si="360"/>
        <v>84.87444960133287</v>
      </c>
    </row>
    <row r="715" spans="1:13" ht="15.75">
      <c r="A715" s="43" t="s">
        <v>506</v>
      </c>
      <c r="B715" s="8" t="s">
        <v>303</v>
      </c>
      <c r="C715" s="8" t="s">
        <v>303</v>
      </c>
      <c r="D715" s="8"/>
      <c r="E715" s="8"/>
      <c r="F715" s="4" t="e">
        <f>F728+F733</f>
        <v>#REF!</v>
      </c>
      <c r="G715" s="4" t="e">
        <f>G728+G733</f>
        <v>#REF!</v>
      </c>
      <c r="H715" s="4" t="e">
        <f>H728+H733</f>
        <v>#REF!</v>
      </c>
      <c r="I715" s="4" t="e">
        <f>I728+I733</f>
        <v>#REF!</v>
      </c>
      <c r="J715" s="4" t="e">
        <f>J728+J733</f>
        <v>#REF!</v>
      </c>
      <c r="K715" s="4">
        <f>K728+K733+K716</f>
        <v>7836.3</v>
      </c>
      <c r="L715" s="4">
        <f aca="true" t="shared" si="389" ref="L715">L728+L733+L716</f>
        <v>7457.400000000001</v>
      </c>
      <c r="M715" s="4">
        <f t="shared" si="360"/>
        <v>95.16480992305041</v>
      </c>
    </row>
    <row r="716" spans="1:13" ht="47.25">
      <c r="A716" s="26" t="s">
        <v>382</v>
      </c>
      <c r="B716" s="21" t="s">
        <v>303</v>
      </c>
      <c r="C716" s="21" t="s">
        <v>303</v>
      </c>
      <c r="D716" s="21" t="s">
        <v>383</v>
      </c>
      <c r="E716" s="21"/>
      <c r="F716" s="4"/>
      <c r="G716" s="4"/>
      <c r="H716" s="4"/>
      <c r="I716" s="4"/>
      <c r="J716" s="4"/>
      <c r="K716" s="7">
        <f>K717</f>
        <v>1000</v>
      </c>
      <c r="L716" s="7">
        <f aca="true" t="shared" si="390" ref="L716">L717</f>
        <v>621.1</v>
      </c>
      <c r="M716" s="7">
        <f t="shared" si="360"/>
        <v>62.11</v>
      </c>
    </row>
    <row r="717" spans="1:13" ht="31.5">
      <c r="A717" s="26" t="s">
        <v>384</v>
      </c>
      <c r="B717" s="21" t="s">
        <v>303</v>
      </c>
      <c r="C717" s="21" t="s">
        <v>303</v>
      </c>
      <c r="D717" s="21" t="s">
        <v>385</v>
      </c>
      <c r="E717" s="21"/>
      <c r="F717" s="4"/>
      <c r="G717" s="4"/>
      <c r="H717" s="4"/>
      <c r="I717" s="4"/>
      <c r="J717" s="4"/>
      <c r="K717" s="7">
        <f>K718+K725</f>
        <v>1000</v>
      </c>
      <c r="L717" s="7">
        <f aca="true" t="shared" si="391" ref="L717">L718+L725</f>
        <v>621.1</v>
      </c>
      <c r="M717" s="7">
        <f t="shared" si="360"/>
        <v>62.11</v>
      </c>
    </row>
    <row r="718" spans="1:13" ht="31.5">
      <c r="A718" s="26" t="s">
        <v>196</v>
      </c>
      <c r="B718" s="21" t="s">
        <v>303</v>
      </c>
      <c r="C718" s="21" t="s">
        <v>303</v>
      </c>
      <c r="D718" s="21" t="s">
        <v>386</v>
      </c>
      <c r="E718" s="21"/>
      <c r="F718" s="4"/>
      <c r="G718" s="4"/>
      <c r="H718" s="4"/>
      <c r="I718" s="4"/>
      <c r="J718" s="4"/>
      <c r="K718" s="7">
        <f>K719+K721+K723</f>
        <v>723.1999999999999</v>
      </c>
      <c r="L718" s="7">
        <f aca="true" t="shared" si="392" ref="L718">L719+L721+L723</f>
        <v>344.3</v>
      </c>
      <c r="M718" s="7">
        <f t="shared" si="360"/>
        <v>47.60785398230089</v>
      </c>
    </row>
    <row r="719" spans="1:13" ht="78.75">
      <c r="A719" s="26" t="s">
        <v>166</v>
      </c>
      <c r="B719" s="21" t="s">
        <v>303</v>
      </c>
      <c r="C719" s="21" t="s">
        <v>303</v>
      </c>
      <c r="D719" s="21" t="s">
        <v>386</v>
      </c>
      <c r="E719" s="21" t="s">
        <v>167</v>
      </c>
      <c r="F719" s="4"/>
      <c r="G719" s="4"/>
      <c r="H719" s="4"/>
      <c r="I719" s="4"/>
      <c r="J719" s="4"/>
      <c r="K719" s="7">
        <f>K720</f>
        <v>40</v>
      </c>
      <c r="L719" s="7">
        <f aca="true" t="shared" si="393" ref="L719">L720</f>
        <v>24</v>
      </c>
      <c r="M719" s="7">
        <f aca="true" t="shared" si="394" ref="M719:M782">L719/K719*100</f>
        <v>60</v>
      </c>
    </row>
    <row r="720" spans="1:13" ht="31.5">
      <c r="A720" s="26" t="s">
        <v>381</v>
      </c>
      <c r="B720" s="21" t="s">
        <v>303</v>
      </c>
      <c r="C720" s="21" t="s">
        <v>303</v>
      </c>
      <c r="D720" s="21" t="s">
        <v>386</v>
      </c>
      <c r="E720" s="21" t="s">
        <v>248</v>
      </c>
      <c r="F720" s="4"/>
      <c r="G720" s="4"/>
      <c r="H720" s="4"/>
      <c r="I720" s="4"/>
      <c r="J720" s="4"/>
      <c r="K720" s="7">
        <f>'Прил.№4 ведомств.'!G364</f>
        <v>40</v>
      </c>
      <c r="L720" s="7">
        <f>'Прил.№4 ведомств.'!H364</f>
        <v>24</v>
      </c>
      <c r="M720" s="7">
        <f t="shared" si="394"/>
        <v>60</v>
      </c>
    </row>
    <row r="721" spans="1:13" ht="31.5">
      <c r="A721" s="26" t="s">
        <v>170</v>
      </c>
      <c r="B721" s="21" t="s">
        <v>303</v>
      </c>
      <c r="C721" s="21" t="s">
        <v>303</v>
      </c>
      <c r="D721" s="21" t="s">
        <v>386</v>
      </c>
      <c r="E721" s="21" t="s">
        <v>171</v>
      </c>
      <c r="F721" s="4"/>
      <c r="G721" s="4"/>
      <c r="H721" s="4"/>
      <c r="I721" s="4"/>
      <c r="J721" s="4"/>
      <c r="K721" s="7">
        <f>K722</f>
        <v>658.1999999999999</v>
      </c>
      <c r="L721" s="7">
        <f aca="true" t="shared" si="395" ref="L721">L722</f>
        <v>295.3</v>
      </c>
      <c r="M721" s="7">
        <f t="shared" si="394"/>
        <v>44.86478274080827</v>
      </c>
    </row>
    <row r="722" spans="1:13" ht="47.25">
      <c r="A722" s="26" t="s">
        <v>172</v>
      </c>
      <c r="B722" s="21" t="s">
        <v>303</v>
      </c>
      <c r="C722" s="21" t="s">
        <v>303</v>
      </c>
      <c r="D722" s="21" t="s">
        <v>386</v>
      </c>
      <c r="E722" s="21" t="s">
        <v>173</v>
      </c>
      <c r="F722" s="4"/>
      <c r="G722" s="4"/>
      <c r="H722" s="4"/>
      <c r="I722" s="4"/>
      <c r="J722" s="4"/>
      <c r="K722" s="7">
        <f>'Прил.№4 ведомств.'!G366</f>
        <v>658.1999999999999</v>
      </c>
      <c r="L722" s="7">
        <f>'Прил.№4 ведомств.'!H366</f>
        <v>295.3</v>
      </c>
      <c r="M722" s="7">
        <f t="shared" si="394"/>
        <v>44.86478274080827</v>
      </c>
    </row>
    <row r="723" spans="1:13" ht="31.5">
      <c r="A723" s="26" t="s">
        <v>287</v>
      </c>
      <c r="B723" s="21" t="s">
        <v>303</v>
      </c>
      <c r="C723" s="21" t="s">
        <v>303</v>
      </c>
      <c r="D723" s="21" t="s">
        <v>386</v>
      </c>
      <c r="E723" s="21" t="s">
        <v>288</v>
      </c>
      <c r="F723" s="4"/>
      <c r="G723" s="4"/>
      <c r="H723" s="4"/>
      <c r="I723" s="4"/>
      <c r="J723" s="4"/>
      <c r="K723" s="7">
        <f>K724</f>
        <v>25</v>
      </c>
      <c r="L723" s="7">
        <f aca="true" t="shared" si="396" ref="L723">L724</f>
        <v>25</v>
      </c>
      <c r="M723" s="7">
        <f t="shared" si="394"/>
        <v>100</v>
      </c>
    </row>
    <row r="724" spans="1:13" ht="31.5">
      <c r="A724" s="26" t="s">
        <v>387</v>
      </c>
      <c r="B724" s="21" t="s">
        <v>303</v>
      </c>
      <c r="C724" s="21" t="s">
        <v>303</v>
      </c>
      <c r="D724" s="21" t="s">
        <v>386</v>
      </c>
      <c r="E724" s="21" t="s">
        <v>388</v>
      </c>
      <c r="F724" s="4"/>
      <c r="G724" s="4"/>
      <c r="H724" s="4"/>
      <c r="I724" s="4"/>
      <c r="J724" s="4"/>
      <c r="K724" s="7">
        <f>'Прил.№4 ведомств.'!G368</f>
        <v>25</v>
      </c>
      <c r="L724" s="7">
        <f>'Прил.№4 ведомств.'!H368</f>
        <v>25</v>
      </c>
      <c r="M724" s="7">
        <f t="shared" si="394"/>
        <v>100</v>
      </c>
    </row>
    <row r="725" spans="1:13" ht="39" customHeight="1">
      <c r="A725" s="119" t="s">
        <v>1035</v>
      </c>
      <c r="B725" s="21" t="s">
        <v>303</v>
      </c>
      <c r="C725" s="21" t="s">
        <v>303</v>
      </c>
      <c r="D725" s="21" t="s">
        <v>1034</v>
      </c>
      <c r="E725" s="21"/>
      <c r="F725" s="4"/>
      <c r="G725" s="4"/>
      <c r="H725" s="4"/>
      <c r="I725" s="4"/>
      <c r="J725" s="4"/>
      <c r="K725" s="7">
        <f>K726</f>
        <v>276.8</v>
      </c>
      <c r="L725" s="7">
        <f aca="true" t="shared" si="397" ref="L725:L726">L726</f>
        <v>276.8</v>
      </c>
      <c r="M725" s="7">
        <f t="shared" si="394"/>
        <v>100</v>
      </c>
    </row>
    <row r="726" spans="1:13" ht="78.75">
      <c r="A726" s="26" t="s">
        <v>166</v>
      </c>
      <c r="B726" s="21" t="s">
        <v>303</v>
      </c>
      <c r="C726" s="21" t="s">
        <v>303</v>
      </c>
      <c r="D726" s="21" t="s">
        <v>1034</v>
      </c>
      <c r="E726" s="21" t="s">
        <v>167</v>
      </c>
      <c r="F726" s="4"/>
      <c r="G726" s="4"/>
      <c r="H726" s="4"/>
      <c r="I726" s="4"/>
      <c r="J726" s="4"/>
      <c r="K726" s="7">
        <f>K727</f>
        <v>276.8</v>
      </c>
      <c r="L726" s="7">
        <f t="shared" si="397"/>
        <v>276.8</v>
      </c>
      <c r="M726" s="7">
        <f t="shared" si="394"/>
        <v>100</v>
      </c>
    </row>
    <row r="727" spans="1:13" ht="31.5">
      <c r="A727" s="26" t="s">
        <v>381</v>
      </c>
      <c r="B727" s="21" t="s">
        <v>303</v>
      </c>
      <c r="C727" s="21" t="s">
        <v>303</v>
      </c>
      <c r="D727" s="21" t="s">
        <v>1034</v>
      </c>
      <c r="E727" s="21" t="s">
        <v>248</v>
      </c>
      <c r="F727" s="4"/>
      <c r="G727" s="4"/>
      <c r="H727" s="4"/>
      <c r="I727" s="4"/>
      <c r="J727" s="4"/>
      <c r="K727" s="7">
        <f>'Прил.№4 ведомств.'!G371</f>
        <v>276.8</v>
      </c>
      <c r="L727" s="7">
        <f>'Прил.№4 ведомств.'!H371</f>
        <v>276.8</v>
      </c>
      <c r="M727" s="7">
        <f t="shared" si="394"/>
        <v>100</v>
      </c>
    </row>
    <row r="728" spans="1:13" ht="47.25">
      <c r="A728" s="31" t="s">
        <v>466</v>
      </c>
      <c r="B728" s="42" t="s">
        <v>303</v>
      </c>
      <c r="C728" s="42" t="s">
        <v>303</v>
      </c>
      <c r="D728" s="42" t="s">
        <v>446</v>
      </c>
      <c r="E728" s="42"/>
      <c r="F728" s="7" t="e">
        <f aca="true" t="shared" si="398" ref="F728:L728">F729</f>
        <v>#REF!</v>
      </c>
      <c r="G728" s="7" t="e">
        <f t="shared" si="398"/>
        <v>#REF!</v>
      </c>
      <c r="H728" s="7" t="e">
        <f t="shared" si="398"/>
        <v>#REF!</v>
      </c>
      <c r="I728" s="7" t="e">
        <f t="shared" si="398"/>
        <v>#REF!</v>
      </c>
      <c r="J728" s="7" t="e">
        <f t="shared" si="398"/>
        <v>#REF!</v>
      </c>
      <c r="K728" s="7">
        <f t="shared" si="398"/>
        <v>3584</v>
      </c>
      <c r="L728" s="7">
        <f t="shared" si="398"/>
        <v>3584</v>
      </c>
      <c r="M728" s="7">
        <f t="shared" si="394"/>
        <v>100</v>
      </c>
    </row>
    <row r="729" spans="1:13" ht="31.5">
      <c r="A729" s="31" t="s">
        <v>507</v>
      </c>
      <c r="B729" s="42" t="s">
        <v>303</v>
      </c>
      <c r="C729" s="42" t="s">
        <v>508</v>
      </c>
      <c r="D729" s="42" t="s">
        <v>509</v>
      </c>
      <c r="E729" s="42"/>
      <c r="F729" s="7" t="e">
        <f aca="true" t="shared" si="399" ref="F729:K729">F731</f>
        <v>#REF!</v>
      </c>
      <c r="G729" s="7" t="e">
        <f t="shared" si="399"/>
        <v>#REF!</v>
      </c>
      <c r="H729" s="7" t="e">
        <f t="shared" si="399"/>
        <v>#REF!</v>
      </c>
      <c r="I729" s="7" t="e">
        <f t="shared" si="399"/>
        <v>#REF!</v>
      </c>
      <c r="J729" s="7" t="e">
        <f t="shared" si="399"/>
        <v>#REF!</v>
      </c>
      <c r="K729" s="7">
        <f t="shared" si="399"/>
        <v>3584</v>
      </c>
      <c r="L729" s="7">
        <f aca="true" t="shared" si="400" ref="L729">L731</f>
        <v>3584</v>
      </c>
      <c r="M729" s="7">
        <f t="shared" si="394"/>
        <v>100</v>
      </c>
    </row>
    <row r="730" spans="1:13" ht="31.5">
      <c r="A730" s="26" t="s">
        <v>660</v>
      </c>
      <c r="B730" s="42" t="s">
        <v>303</v>
      </c>
      <c r="C730" s="42" t="s">
        <v>303</v>
      </c>
      <c r="D730" s="42" t="s">
        <v>511</v>
      </c>
      <c r="E730" s="42"/>
      <c r="F730" s="7" t="e">
        <f>F731</f>
        <v>#REF!</v>
      </c>
      <c r="G730" s="7" t="e">
        <f aca="true" t="shared" si="401" ref="G730:L731">G731</f>
        <v>#REF!</v>
      </c>
      <c r="H730" s="7" t="e">
        <f t="shared" si="401"/>
        <v>#REF!</v>
      </c>
      <c r="I730" s="7" t="e">
        <f t="shared" si="401"/>
        <v>#REF!</v>
      </c>
      <c r="J730" s="7" t="e">
        <f t="shared" si="401"/>
        <v>#REF!</v>
      </c>
      <c r="K730" s="7">
        <f t="shared" si="401"/>
        <v>3584</v>
      </c>
      <c r="L730" s="7">
        <f t="shared" si="401"/>
        <v>3584</v>
      </c>
      <c r="M730" s="7">
        <f t="shared" si="394"/>
        <v>100</v>
      </c>
    </row>
    <row r="731" spans="1:13" ht="47.25">
      <c r="A731" s="31" t="s">
        <v>311</v>
      </c>
      <c r="B731" s="42" t="s">
        <v>303</v>
      </c>
      <c r="C731" s="42" t="s">
        <v>303</v>
      </c>
      <c r="D731" s="42" t="s">
        <v>511</v>
      </c>
      <c r="E731" s="42" t="s">
        <v>312</v>
      </c>
      <c r="F731" s="63" t="e">
        <f>F732</f>
        <v>#REF!</v>
      </c>
      <c r="G731" s="63" t="e">
        <f t="shared" si="401"/>
        <v>#REF!</v>
      </c>
      <c r="H731" s="63" t="e">
        <f t="shared" si="401"/>
        <v>#REF!</v>
      </c>
      <c r="I731" s="63" t="e">
        <f t="shared" si="401"/>
        <v>#REF!</v>
      </c>
      <c r="J731" s="63" t="e">
        <f t="shared" si="401"/>
        <v>#REF!</v>
      </c>
      <c r="K731" s="63">
        <f t="shared" si="401"/>
        <v>3584</v>
      </c>
      <c r="L731" s="63">
        <f t="shared" si="401"/>
        <v>3584</v>
      </c>
      <c r="M731" s="7">
        <f t="shared" si="394"/>
        <v>100</v>
      </c>
    </row>
    <row r="732" spans="1:13" ht="15.75">
      <c r="A732" s="31" t="s">
        <v>313</v>
      </c>
      <c r="B732" s="42" t="s">
        <v>303</v>
      </c>
      <c r="C732" s="42" t="s">
        <v>303</v>
      </c>
      <c r="D732" s="42" t="s">
        <v>511</v>
      </c>
      <c r="E732" s="42" t="s">
        <v>314</v>
      </c>
      <c r="F732" s="63" t="e">
        <f>#REF!</f>
        <v>#REF!</v>
      </c>
      <c r="G732" s="63" t="e">
        <f>#REF!</f>
        <v>#REF!</v>
      </c>
      <c r="H732" s="63" t="e">
        <f>#REF!</f>
        <v>#REF!</v>
      </c>
      <c r="I732" s="63" t="e">
        <f>#REF!</f>
        <v>#REF!</v>
      </c>
      <c r="J732" s="63" t="e">
        <f>#REF!</f>
        <v>#REF!</v>
      </c>
      <c r="K732" s="63">
        <f>'Прил.№4 ведомств.'!G858</f>
        <v>3584</v>
      </c>
      <c r="L732" s="63">
        <f>'Прил.№4 ведомств.'!H858</f>
        <v>3584</v>
      </c>
      <c r="M732" s="7">
        <f t="shared" si="394"/>
        <v>100</v>
      </c>
    </row>
    <row r="733" spans="1:13" ht="15.75">
      <c r="A733" s="31" t="s">
        <v>160</v>
      </c>
      <c r="B733" s="42" t="s">
        <v>303</v>
      </c>
      <c r="C733" s="42" t="s">
        <v>303</v>
      </c>
      <c r="D733" s="42" t="s">
        <v>161</v>
      </c>
      <c r="E733" s="42"/>
      <c r="F733" s="7" t="e">
        <f>F734</f>
        <v>#REF!</v>
      </c>
      <c r="G733" s="7" t="e">
        <f aca="true" t="shared" si="402" ref="G733:L736">G734</f>
        <v>#REF!</v>
      </c>
      <c r="H733" s="7" t="e">
        <f t="shared" si="402"/>
        <v>#REF!</v>
      </c>
      <c r="I733" s="7" t="e">
        <f t="shared" si="402"/>
        <v>#REF!</v>
      </c>
      <c r="J733" s="7" t="e">
        <f t="shared" si="402"/>
        <v>#REF!</v>
      </c>
      <c r="K733" s="7">
        <f t="shared" si="402"/>
        <v>3252.3</v>
      </c>
      <c r="L733" s="7">
        <f t="shared" si="402"/>
        <v>3252.3</v>
      </c>
      <c r="M733" s="7">
        <f t="shared" si="394"/>
        <v>100</v>
      </c>
    </row>
    <row r="734" spans="1:13" ht="31.5">
      <c r="A734" s="31" t="s">
        <v>224</v>
      </c>
      <c r="B734" s="42" t="s">
        <v>303</v>
      </c>
      <c r="C734" s="42" t="s">
        <v>303</v>
      </c>
      <c r="D734" s="42" t="s">
        <v>225</v>
      </c>
      <c r="E734" s="42"/>
      <c r="F734" s="7" t="e">
        <f>F735</f>
        <v>#REF!</v>
      </c>
      <c r="G734" s="7" t="e">
        <f t="shared" si="402"/>
        <v>#REF!</v>
      </c>
      <c r="H734" s="7" t="e">
        <f t="shared" si="402"/>
        <v>#REF!</v>
      </c>
      <c r="I734" s="7" t="e">
        <f t="shared" si="402"/>
        <v>#REF!</v>
      </c>
      <c r="J734" s="7" t="e">
        <f t="shared" si="402"/>
        <v>#REF!</v>
      </c>
      <c r="K734" s="7">
        <f t="shared" si="402"/>
        <v>3252.3</v>
      </c>
      <c r="L734" s="7">
        <f t="shared" si="402"/>
        <v>3252.3</v>
      </c>
      <c r="M734" s="7">
        <f t="shared" si="394"/>
        <v>100</v>
      </c>
    </row>
    <row r="735" spans="1:13" ht="31.5">
      <c r="A735" s="47" t="s">
        <v>514</v>
      </c>
      <c r="B735" s="42" t="s">
        <v>303</v>
      </c>
      <c r="C735" s="42" t="s">
        <v>303</v>
      </c>
      <c r="D735" s="42" t="s">
        <v>515</v>
      </c>
      <c r="E735" s="42"/>
      <c r="F735" s="7" t="e">
        <f>F736</f>
        <v>#REF!</v>
      </c>
      <c r="G735" s="7" t="e">
        <f t="shared" si="402"/>
        <v>#REF!</v>
      </c>
      <c r="H735" s="7" t="e">
        <f t="shared" si="402"/>
        <v>#REF!</v>
      </c>
      <c r="I735" s="7" t="e">
        <f t="shared" si="402"/>
        <v>#REF!</v>
      </c>
      <c r="J735" s="7" t="e">
        <f t="shared" si="402"/>
        <v>#REF!</v>
      </c>
      <c r="K735" s="7">
        <f t="shared" si="402"/>
        <v>3252.3</v>
      </c>
      <c r="L735" s="7">
        <f t="shared" si="402"/>
        <v>3252.3</v>
      </c>
      <c r="M735" s="7">
        <f t="shared" si="394"/>
        <v>100</v>
      </c>
    </row>
    <row r="736" spans="1:13" ht="47.25">
      <c r="A736" s="31" t="s">
        <v>311</v>
      </c>
      <c r="B736" s="42" t="s">
        <v>303</v>
      </c>
      <c r="C736" s="42" t="s">
        <v>303</v>
      </c>
      <c r="D736" s="42" t="s">
        <v>515</v>
      </c>
      <c r="E736" s="42" t="s">
        <v>312</v>
      </c>
      <c r="F736" s="7" t="e">
        <f>F737</f>
        <v>#REF!</v>
      </c>
      <c r="G736" s="7" t="e">
        <f t="shared" si="402"/>
        <v>#REF!</v>
      </c>
      <c r="H736" s="7" t="e">
        <f t="shared" si="402"/>
        <v>#REF!</v>
      </c>
      <c r="I736" s="7" t="e">
        <f t="shared" si="402"/>
        <v>#REF!</v>
      </c>
      <c r="J736" s="7" t="e">
        <f t="shared" si="402"/>
        <v>#REF!</v>
      </c>
      <c r="K736" s="7">
        <f t="shared" si="402"/>
        <v>3252.3</v>
      </c>
      <c r="L736" s="7">
        <f t="shared" si="402"/>
        <v>3252.3</v>
      </c>
      <c r="M736" s="7">
        <f t="shared" si="394"/>
        <v>100</v>
      </c>
    </row>
    <row r="737" spans="1:13" ht="15.75">
      <c r="A737" s="31" t="s">
        <v>313</v>
      </c>
      <c r="B737" s="42" t="s">
        <v>303</v>
      </c>
      <c r="C737" s="42" t="s">
        <v>303</v>
      </c>
      <c r="D737" s="42" t="s">
        <v>515</v>
      </c>
      <c r="E737" s="42" t="s">
        <v>314</v>
      </c>
      <c r="F737" s="7" t="e">
        <f>#REF!</f>
        <v>#REF!</v>
      </c>
      <c r="G737" s="7" t="e">
        <f>#REF!</f>
        <v>#REF!</v>
      </c>
      <c r="H737" s="7" t="e">
        <f>#REF!</f>
        <v>#REF!</v>
      </c>
      <c r="I737" s="7" t="e">
        <f>#REF!</f>
        <v>#REF!</v>
      </c>
      <c r="J737" s="7" t="e">
        <f>#REF!</f>
        <v>#REF!</v>
      </c>
      <c r="K737" s="7">
        <f>'Прил.№4 ведомств.'!G864</f>
        <v>3252.3</v>
      </c>
      <c r="L737" s="7">
        <f>'Прил.№4 ведомств.'!H864</f>
        <v>3252.3</v>
      </c>
      <c r="M737" s="7">
        <f t="shared" si="394"/>
        <v>100</v>
      </c>
    </row>
    <row r="738" spans="1:13" ht="15.75">
      <c r="A738" s="43" t="s">
        <v>334</v>
      </c>
      <c r="B738" s="8" t="s">
        <v>303</v>
      </c>
      <c r="C738" s="8" t="s">
        <v>258</v>
      </c>
      <c r="D738" s="8"/>
      <c r="E738" s="8"/>
      <c r="F738" s="4" t="e">
        <f aca="true" t="shared" si="403" ref="F738:K738">F748+F739</f>
        <v>#REF!</v>
      </c>
      <c r="G738" s="4" t="e">
        <f t="shared" si="403"/>
        <v>#REF!</v>
      </c>
      <c r="H738" s="4" t="e">
        <f t="shared" si="403"/>
        <v>#REF!</v>
      </c>
      <c r="I738" s="4" t="e">
        <f t="shared" si="403"/>
        <v>#REF!</v>
      </c>
      <c r="J738" s="4" t="e">
        <f t="shared" si="403"/>
        <v>#REF!</v>
      </c>
      <c r="K738" s="4">
        <f t="shared" si="403"/>
        <v>20019.8</v>
      </c>
      <c r="L738" s="4">
        <f aca="true" t="shared" si="404" ref="L738">L748+L739</f>
        <v>13664.3</v>
      </c>
      <c r="M738" s="4">
        <f t="shared" si="394"/>
        <v>68.25392861067543</v>
      </c>
    </row>
    <row r="739" spans="1:13" ht="47.25" hidden="1">
      <c r="A739" s="26" t="s">
        <v>373</v>
      </c>
      <c r="B739" s="42" t="s">
        <v>303</v>
      </c>
      <c r="C739" s="42" t="s">
        <v>258</v>
      </c>
      <c r="D739" s="21" t="s">
        <v>374</v>
      </c>
      <c r="E739" s="8"/>
      <c r="F739" s="7" t="e">
        <f aca="true" t="shared" si="405" ref="F739:K739">F740+F743</f>
        <v>#REF!</v>
      </c>
      <c r="G739" s="7" t="e">
        <f t="shared" si="405"/>
        <v>#REF!</v>
      </c>
      <c r="H739" s="7" t="e">
        <f t="shared" si="405"/>
        <v>#REF!</v>
      </c>
      <c r="I739" s="7" t="e">
        <f t="shared" si="405"/>
        <v>#REF!</v>
      </c>
      <c r="J739" s="7" t="e">
        <f t="shared" si="405"/>
        <v>#REF!</v>
      </c>
      <c r="K739" s="7">
        <f t="shared" si="405"/>
        <v>0</v>
      </c>
      <c r="L739" s="7">
        <f aca="true" t="shared" si="406" ref="L739">L740+L743</f>
        <v>0</v>
      </c>
      <c r="M739" s="4" t="e">
        <f t="shared" si="394"/>
        <v>#DIV/0!</v>
      </c>
    </row>
    <row r="740" spans="1:13" ht="31.5" hidden="1">
      <c r="A740" s="26" t="s">
        <v>375</v>
      </c>
      <c r="B740" s="42" t="s">
        <v>303</v>
      </c>
      <c r="C740" s="42" t="s">
        <v>258</v>
      </c>
      <c r="D740" s="21" t="s">
        <v>376</v>
      </c>
      <c r="E740" s="8"/>
      <c r="F740" s="7" t="e">
        <f>F741</f>
        <v>#REF!</v>
      </c>
      <c r="G740" s="7" t="e">
        <f aca="true" t="shared" si="407" ref="G740:L741">G741</f>
        <v>#REF!</v>
      </c>
      <c r="H740" s="7" t="e">
        <f t="shared" si="407"/>
        <v>#REF!</v>
      </c>
      <c r="I740" s="7" t="e">
        <f t="shared" si="407"/>
        <v>#REF!</v>
      </c>
      <c r="J740" s="7" t="e">
        <f t="shared" si="407"/>
        <v>#REF!</v>
      </c>
      <c r="K740" s="7">
        <f t="shared" si="407"/>
        <v>0</v>
      </c>
      <c r="L740" s="7">
        <f t="shared" si="407"/>
        <v>0</v>
      </c>
      <c r="M740" s="4" t="e">
        <f t="shared" si="394"/>
        <v>#DIV/0!</v>
      </c>
    </row>
    <row r="741" spans="1:13" ht="31.5" hidden="1">
      <c r="A741" s="26" t="s">
        <v>170</v>
      </c>
      <c r="B741" s="42" t="s">
        <v>303</v>
      </c>
      <c r="C741" s="42" t="s">
        <v>258</v>
      </c>
      <c r="D741" s="21" t="s">
        <v>376</v>
      </c>
      <c r="E741" s="42" t="s">
        <v>171</v>
      </c>
      <c r="F741" s="7" t="e">
        <f>F742</f>
        <v>#REF!</v>
      </c>
      <c r="G741" s="7" t="e">
        <f t="shared" si="407"/>
        <v>#REF!</v>
      </c>
      <c r="H741" s="7" t="e">
        <f t="shared" si="407"/>
        <v>#REF!</v>
      </c>
      <c r="I741" s="7" t="e">
        <f t="shared" si="407"/>
        <v>#REF!</v>
      </c>
      <c r="J741" s="7" t="e">
        <f t="shared" si="407"/>
        <v>#REF!</v>
      </c>
      <c r="K741" s="7">
        <f t="shared" si="407"/>
        <v>0</v>
      </c>
      <c r="L741" s="7">
        <f t="shared" si="407"/>
        <v>0</v>
      </c>
      <c r="M741" s="4" t="e">
        <f t="shared" si="394"/>
        <v>#DIV/0!</v>
      </c>
    </row>
    <row r="742" spans="1:13" ht="47.25" hidden="1">
      <c r="A742" s="26" t="s">
        <v>172</v>
      </c>
      <c r="B742" s="42" t="s">
        <v>303</v>
      </c>
      <c r="C742" s="42" t="s">
        <v>258</v>
      </c>
      <c r="D742" s="21" t="s">
        <v>376</v>
      </c>
      <c r="E742" s="42" t="s">
        <v>173</v>
      </c>
      <c r="F742" s="7" t="e">
        <f>#REF!</f>
        <v>#REF!</v>
      </c>
      <c r="G742" s="7" t="e">
        <f>#REF!</f>
        <v>#REF!</v>
      </c>
      <c r="H742" s="7" t="e">
        <f>#REF!</f>
        <v>#REF!</v>
      </c>
      <c r="I742" s="7" t="e">
        <f>#REF!</f>
        <v>#REF!</v>
      </c>
      <c r="J742" s="7" t="e">
        <f>#REF!</f>
        <v>#REF!</v>
      </c>
      <c r="K742" s="7">
        <f>'Прил.№4 ведомств.'!G869</f>
        <v>0</v>
      </c>
      <c r="L742" s="7">
        <f>'Прил.№4 ведомств.'!H869</f>
        <v>0</v>
      </c>
      <c r="M742" s="4" t="e">
        <f t="shared" si="394"/>
        <v>#DIV/0!</v>
      </c>
    </row>
    <row r="743" spans="1:13" ht="47.25" hidden="1">
      <c r="A743" s="26" t="s">
        <v>661</v>
      </c>
      <c r="B743" s="42" t="s">
        <v>303</v>
      </c>
      <c r="C743" s="42" t="s">
        <v>258</v>
      </c>
      <c r="D743" s="21" t="s">
        <v>517</v>
      </c>
      <c r="E743" s="42"/>
      <c r="F743" s="7" t="e">
        <f aca="true" t="shared" si="408" ref="F743:K743">F744+F746</f>
        <v>#REF!</v>
      </c>
      <c r="G743" s="7" t="e">
        <f t="shared" si="408"/>
        <v>#REF!</v>
      </c>
      <c r="H743" s="7" t="e">
        <f t="shared" si="408"/>
        <v>#REF!</v>
      </c>
      <c r="I743" s="7" t="e">
        <f t="shared" si="408"/>
        <v>#REF!</v>
      </c>
      <c r="J743" s="7" t="e">
        <f t="shared" si="408"/>
        <v>#REF!</v>
      </c>
      <c r="K743" s="7">
        <f t="shared" si="408"/>
        <v>0</v>
      </c>
      <c r="L743" s="7">
        <f aca="true" t="shared" si="409" ref="L743">L744+L746</f>
        <v>0</v>
      </c>
      <c r="M743" s="4" t="e">
        <f t="shared" si="394"/>
        <v>#DIV/0!</v>
      </c>
    </row>
    <row r="744" spans="1:13" ht="78.75" hidden="1">
      <c r="A744" s="26" t="s">
        <v>166</v>
      </c>
      <c r="B744" s="42" t="s">
        <v>303</v>
      </c>
      <c r="C744" s="42" t="s">
        <v>258</v>
      </c>
      <c r="D744" s="21" t="s">
        <v>517</v>
      </c>
      <c r="E744" s="42" t="s">
        <v>167</v>
      </c>
      <c r="F744" s="7" t="e">
        <f aca="true" t="shared" si="410" ref="F744:L744">F745</f>
        <v>#REF!</v>
      </c>
      <c r="G744" s="7" t="e">
        <f t="shared" si="410"/>
        <v>#REF!</v>
      </c>
      <c r="H744" s="7" t="e">
        <f t="shared" si="410"/>
        <v>#REF!</v>
      </c>
      <c r="I744" s="7" t="e">
        <f t="shared" si="410"/>
        <v>#REF!</v>
      </c>
      <c r="J744" s="7" t="e">
        <f t="shared" si="410"/>
        <v>#REF!</v>
      </c>
      <c r="K744" s="7">
        <f t="shared" si="410"/>
        <v>0</v>
      </c>
      <c r="L744" s="7">
        <f t="shared" si="410"/>
        <v>0</v>
      </c>
      <c r="M744" s="4" t="e">
        <f t="shared" si="394"/>
        <v>#DIV/0!</v>
      </c>
    </row>
    <row r="745" spans="1:13" ht="31.5" hidden="1">
      <c r="A745" s="26" t="s">
        <v>381</v>
      </c>
      <c r="B745" s="42" t="s">
        <v>303</v>
      </c>
      <c r="C745" s="42" t="s">
        <v>258</v>
      </c>
      <c r="D745" s="21" t="s">
        <v>517</v>
      </c>
      <c r="E745" s="42" t="s">
        <v>248</v>
      </c>
      <c r="F745" s="7" t="e">
        <f>#REF!</f>
        <v>#REF!</v>
      </c>
      <c r="G745" s="7" t="e">
        <f>#REF!</f>
        <v>#REF!</v>
      </c>
      <c r="H745" s="7" t="e">
        <f>#REF!</f>
        <v>#REF!</v>
      </c>
      <c r="I745" s="7" t="e">
        <f>#REF!</f>
        <v>#REF!</v>
      </c>
      <c r="J745" s="7" t="e">
        <f>#REF!</f>
        <v>#REF!</v>
      </c>
      <c r="K745" s="7">
        <f>'Прил.№4 ведомств.'!G872</f>
        <v>0</v>
      </c>
      <c r="L745" s="7">
        <f>'Прил.№4 ведомств.'!H872</f>
        <v>0</v>
      </c>
      <c r="M745" s="4" t="e">
        <f t="shared" si="394"/>
        <v>#DIV/0!</v>
      </c>
    </row>
    <row r="746" spans="1:13" ht="31.5" hidden="1">
      <c r="A746" s="26" t="s">
        <v>170</v>
      </c>
      <c r="B746" s="42" t="s">
        <v>303</v>
      </c>
      <c r="C746" s="42" t="s">
        <v>258</v>
      </c>
      <c r="D746" s="21" t="s">
        <v>517</v>
      </c>
      <c r="E746" s="42" t="s">
        <v>171</v>
      </c>
      <c r="F746" s="7" t="e">
        <f aca="true" t="shared" si="411" ref="F746:L746">F747</f>
        <v>#REF!</v>
      </c>
      <c r="G746" s="7" t="e">
        <f t="shared" si="411"/>
        <v>#REF!</v>
      </c>
      <c r="H746" s="7" t="e">
        <f t="shared" si="411"/>
        <v>#REF!</v>
      </c>
      <c r="I746" s="7" t="e">
        <f t="shared" si="411"/>
        <v>#REF!</v>
      </c>
      <c r="J746" s="7" t="e">
        <f t="shared" si="411"/>
        <v>#REF!</v>
      </c>
      <c r="K746" s="7">
        <f t="shared" si="411"/>
        <v>0</v>
      </c>
      <c r="L746" s="7">
        <f t="shared" si="411"/>
        <v>0</v>
      </c>
      <c r="M746" s="4" t="e">
        <f t="shared" si="394"/>
        <v>#DIV/0!</v>
      </c>
    </row>
    <row r="747" spans="1:13" ht="47.25" hidden="1">
      <c r="A747" s="26" t="s">
        <v>172</v>
      </c>
      <c r="B747" s="42" t="s">
        <v>303</v>
      </c>
      <c r="C747" s="42" t="s">
        <v>258</v>
      </c>
      <c r="D747" s="21" t="s">
        <v>517</v>
      </c>
      <c r="E747" s="42" t="s">
        <v>173</v>
      </c>
      <c r="F747" s="7" t="e">
        <f>#REF!</f>
        <v>#REF!</v>
      </c>
      <c r="G747" s="7" t="e">
        <f>#REF!</f>
        <v>#REF!</v>
      </c>
      <c r="H747" s="7" t="e">
        <f>#REF!</f>
        <v>#REF!</v>
      </c>
      <c r="I747" s="7" t="e">
        <f>#REF!</f>
        <v>#REF!</v>
      </c>
      <c r="J747" s="7" t="e">
        <f>#REF!</f>
        <v>#REF!</v>
      </c>
      <c r="K747" s="7">
        <f>'Прил.№4 ведомств.'!G874</f>
        <v>0</v>
      </c>
      <c r="L747" s="7">
        <f>'Прил.№4 ведомств.'!H874</f>
        <v>0</v>
      </c>
      <c r="M747" s="4" t="e">
        <f t="shared" si="394"/>
        <v>#DIV/0!</v>
      </c>
    </row>
    <row r="748" spans="1:13" ht="15.75">
      <c r="A748" s="31" t="s">
        <v>160</v>
      </c>
      <c r="B748" s="42" t="s">
        <v>303</v>
      </c>
      <c r="C748" s="42" t="s">
        <v>258</v>
      </c>
      <c r="D748" s="42" t="s">
        <v>161</v>
      </c>
      <c r="E748" s="42"/>
      <c r="F748" s="7" t="e">
        <f aca="true" t="shared" si="412" ref="F748:K748">F749+F759+F755</f>
        <v>#REF!</v>
      </c>
      <c r="G748" s="7" t="e">
        <f t="shared" si="412"/>
        <v>#REF!</v>
      </c>
      <c r="H748" s="7" t="e">
        <f t="shared" si="412"/>
        <v>#REF!</v>
      </c>
      <c r="I748" s="7" t="e">
        <f t="shared" si="412"/>
        <v>#REF!</v>
      </c>
      <c r="J748" s="7" t="e">
        <f t="shared" si="412"/>
        <v>#REF!</v>
      </c>
      <c r="K748" s="7">
        <f t="shared" si="412"/>
        <v>20019.8</v>
      </c>
      <c r="L748" s="7">
        <f aca="true" t="shared" si="413" ref="L748">L749+L759+L755</f>
        <v>13664.3</v>
      </c>
      <c r="M748" s="7">
        <f t="shared" si="394"/>
        <v>68.25392861067543</v>
      </c>
    </row>
    <row r="749" spans="1:13" ht="31.5">
      <c r="A749" s="31" t="s">
        <v>162</v>
      </c>
      <c r="B749" s="42" t="s">
        <v>303</v>
      </c>
      <c r="C749" s="42" t="s">
        <v>258</v>
      </c>
      <c r="D749" s="42" t="s">
        <v>163</v>
      </c>
      <c r="E749" s="42"/>
      <c r="F749" s="7" t="e">
        <f aca="true" t="shared" si="414" ref="F749:L749">F750</f>
        <v>#REF!</v>
      </c>
      <c r="G749" s="7" t="e">
        <f t="shared" si="414"/>
        <v>#REF!</v>
      </c>
      <c r="H749" s="7" t="e">
        <f t="shared" si="414"/>
        <v>#REF!</v>
      </c>
      <c r="I749" s="7" t="e">
        <f t="shared" si="414"/>
        <v>#REF!</v>
      </c>
      <c r="J749" s="7" t="e">
        <f t="shared" si="414"/>
        <v>#REF!</v>
      </c>
      <c r="K749" s="7">
        <f t="shared" si="414"/>
        <v>5581.400000000001</v>
      </c>
      <c r="L749" s="7">
        <f t="shared" si="414"/>
        <v>4209.2</v>
      </c>
      <c r="M749" s="7">
        <f t="shared" si="394"/>
        <v>75.41477048769126</v>
      </c>
    </row>
    <row r="750" spans="1:13" ht="36.75" customHeight="1">
      <c r="A750" s="31" t="s">
        <v>164</v>
      </c>
      <c r="B750" s="42" t="s">
        <v>303</v>
      </c>
      <c r="C750" s="42" t="s">
        <v>258</v>
      </c>
      <c r="D750" s="42" t="s">
        <v>165</v>
      </c>
      <c r="E750" s="42"/>
      <c r="F750" s="7" t="e">
        <f aca="true" t="shared" si="415" ref="F750:K750">F751+F753</f>
        <v>#REF!</v>
      </c>
      <c r="G750" s="7" t="e">
        <f t="shared" si="415"/>
        <v>#REF!</v>
      </c>
      <c r="H750" s="7" t="e">
        <f t="shared" si="415"/>
        <v>#REF!</v>
      </c>
      <c r="I750" s="7" t="e">
        <f t="shared" si="415"/>
        <v>#REF!</v>
      </c>
      <c r="J750" s="7" t="e">
        <f t="shared" si="415"/>
        <v>#REF!</v>
      </c>
      <c r="K750" s="7">
        <f t="shared" si="415"/>
        <v>5581.400000000001</v>
      </c>
      <c r="L750" s="7">
        <f aca="true" t="shared" si="416" ref="L750">L751+L753</f>
        <v>4209.2</v>
      </c>
      <c r="M750" s="7">
        <f t="shared" si="394"/>
        <v>75.41477048769126</v>
      </c>
    </row>
    <row r="751" spans="1:13" ht="78.75">
      <c r="A751" s="31" t="s">
        <v>166</v>
      </c>
      <c r="B751" s="42" t="s">
        <v>303</v>
      </c>
      <c r="C751" s="42" t="s">
        <v>258</v>
      </c>
      <c r="D751" s="42" t="s">
        <v>165</v>
      </c>
      <c r="E751" s="42" t="s">
        <v>167</v>
      </c>
      <c r="F751" s="63" t="e">
        <f aca="true" t="shared" si="417" ref="F751:L751">F752</f>
        <v>#REF!</v>
      </c>
      <c r="G751" s="63" t="e">
        <f t="shared" si="417"/>
        <v>#REF!</v>
      </c>
      <c r="H751" s="63" t="e">
        <f t="shared" si="417"/>
        <v>#REF!</v>
      </c>
      <c r="I751" s="63" t="e">
        <f t="shared" si="417"/>
        <v>#REF!</v>
      </c>
      <c r="J751" s="63" t="e">
        <f t="shared" si="417"/>
        <v>#REF!</v>
      </c>
      <c r="K751" s="63">
        <f t="shared" si="417"/>
        <v>5325.8</v>
      </c>
      <c r="L751" s="63">
        <f t="shared" si="417"/>
        <v>4056.4</v>
      </c>
      <c r="M751" s="7">
        <f t="shared" si="394"/>
        <v>76.16508317999174</v>
      </c>
    </row>
    <row r="752" spans="1:13" ht="31.5">
      <c r="A752" s="31" t="s">
        <v>168</v>
      </c>
      <c r="B752" s="42" t="s">
        <v>303</v>
      </c>
      <c r="C752" s="42" t="s">
        <v>258</v>
      </c>
      <c r="D752" s="42" t="s">
        <v>165</v>
      </c>
      <c r="E752" s="42" t="s">
        <v>169</v>
      </c>
      <c r="F752" s="63" t="e">
        <f>#REF!</f>
        <v>#REF!</v>
      </c>
      <c r="G752" s="63" t="e">
        <f>#REF!</f>
        <v>#REF!</v>
      </c>
      <c r="H752" s="63" t="e">
        <f>#REF!</f>
        <v>#REF!</v>
      </c>
      <c r="I752" s="63" t="e">
        <f>#REF!</f>
        <v>#REF!</v>
      </c>
      <c r="J752" s="63" t="e">
        <f>#REF!</f>
        <v>#REF!</v>
      </c>
      <c r="K752" s="63">
        <f>'Прил.№4 ведомств.'!G879</f>
        <v>5325.8</v>
      </c>
      <c r="L752" s="63">
        <f>'Прил.№4 ведомств.'!H879</f>
        <v>4056.4</v>
      </c>
      <c r="M752" s="7">
        <f t="shared" si="394"/>
        <v>76.16508317999174</v>
      </c>
    </row>
    <row r="753" spans="1:13" ht="31.5">
      <c r="A753" s="31" t="s">
        <v>170</v>
      </c>
      <c r="B753" s="42" t="s">
        <v>303</v>
      </c>
      <c r="C753" s="42" t="s">
        <v>258</v>
      </c>
      <c r="D753" s="42" t="s">
        <v>165</v>
      </c>
      <c r="E753" s="42" t="s">
        <v>171</v>
      </c>
      <c r="F753" s="7" t="e">
        <f aca="true" t="shared" si="418" ref="F753:L753">F754</f>
        <v>#REF!</v>
      </c>
      <c r="G753" s="7" t="e">
        <f t="shared" si="418"/>
        <v>#REF!</v>
      </c>
      <c r="H753" s="7" t="e">
        <f t="shared" si="418"/>
        <v>#REF!</v>
      </c>
      <c r="I753" s="7" t="e">
        <f t="shared" si="418"/>
        <v>#REF!</v>
      </c>
      <c r="J753" s="7" t="e">
        <f t="shared" si="418"/>
        <v>#REF!</v>
      </c>
      <c r="K753" s="7">
        <f t="shared" si="418"/>
        <v>255.6</v>
      </c>
      <c r="L753" s="7">
        <f t="shared" si="418"/>
        <v>152.8</v>
      </c>
      <c r="M753" s="7">
        <f t="shared" si="394"/>
        <v>59.78090766823162</v>
      </c>
    </row>
    <row r="754" spans="1:13" ht="47.25">
      <c r="A754" s="31" t="s">
        <v>172</v>
      </c>
      <c r="B754" s="42" t="s">
        <v>303</v>
      </c>
      <c r="C754" s="42" t="s">
        <v>258</v>
      </c>
      <c r="D754" s="42" t="s">
        <v>165</v>
      </c>
      <c r="E754" s="42" t="s">
        <v>173</v>
      </c>
      <c r="F754" s="7" t="e">
        <f>#REF!</f>
        <v>#REF!</v>
      </c>
      <c r="G754" s="7" t="e">
        <f>#REF!</f>
        <v>#REF!</v>
      </c>
      <c r="H754" s="7" t="e">
        <f>#REF!</f>
        <v>#REF!</v>
      </c>
      <c r="I754" s="7" t="e">
        <f>#REF!</f>
        <v>#REF!</v>
      </c>
      <c r="J754" s="7" t="e">
        <f>#REF!</f>
        <v>#REF!</v>
      </c>
      <c r="K754" s="7">
        <f>'Прил.№4 ведомств.'!G881</f>
        <v>255.6</v>
      </c>
      <c r="L754" s="7">
        <f>'Прил.№4 ведомств.'!H881</f>
        <v>152.8</v>
      </c>
      <c r="M754" s="7">
        <f t="shared" si="394"/>
        <v>59.78090766823162</v>
      </c>
    </row>
    <row r="755" spans="1:13" ht="31.5" customHeight="1" hidden="1">
      <c r="A755" s="31" t="s">
        <v>224</v>
      </c>
      <c r="B755" s="42" t="s">
        <v>303</v>
      </c>
      <c r="C755" s="42" t="s">
        <v>258</v>
      </c>
      <c r="D755" s="42" t="s">
        <v>225</v>
      </c>
      <c r="E755" s="42"/>
      <c r="F755" s="7">
        <f>F756</f>
        <v>0</v>
      </c>
      <c r="G755" s="7">
        <f aca="true" t="shared" si="419" ref="G755:L757">G756</f>
        <v>0</v>
      </c>
      <c r="H755" s="7">
        <f t="shared" si="419"/>
        <v>0</v>
      </c>
      <c r="I755" s="7">
        <f t="shared" si="419"/>
        <v>0</v>
      </c>
      <c r="J755" s="7">
        <f t="shared" si="419"/>
        <v>0</v>
      </c>
      <c r="K755" s="7">
        <f t="shared" si="419"/>
        <v>0</v>
      </c>
      <c r="L755" s="7">
        <f t="shared" si="419"/>
        <v>0</v>
      </c>
      <c r="M755" s="7" t="e">
        <f t="shared" si="394"/>
        <v>#DIV/0!</v>
      </c>
    </row>
    <row r="756" spans="1:13" ht="31.5" customHeight="1" hidden="1">
      <c r="A756" s="69" t="s">
        <v>335</v>
      </c>
      <c r="B756" s="42" t="s">
        <v>303</v>
      </c>
      <c r="C756" s="42" t="s">
        <v>258</v>
      </c>
      <c r="D756" s="21" t="s">
        <v>336</v>
      </c>
      <c r="E756" s="42"/>
      <c r="F756" s="7">
        <f>F757</f>
        <v>0</v>
      </c>
      <c r="G756" s="7">
        <f t="shared" si="419"/>
        <v>0</v>
      </c>
      <c r="H756" s="7">
        <f t="shared" si="419"/>
        <v>0</v>
      </c>
      <c r="I756" s="7">
        <f t="shared" si="419"/>
        <v>0</v>
      </c>
      <c r="J756" s="7">
        <f t="shared" si="419"/>
        <v>0</v>
      </c>
      <c r="K756" s="7">
        <f t="shared" si="419"/>
        <v>0</v>
      </c>
      <c r="L756" s="7">
        <f t="shared" si="419"/>
        <v>0</v>
      </c>
      <c r="M756" s="7" t="e">
        <f t="shared" si="394"/>
        <v>#DIV/0!</v>
      </c>
    </row>
    <row r="757" spans="1:13" ht="15.75" customHeight="1" hidden="1">
      <c r="A757" s="31" t="s">
        <v>174</v>
      </c>
      <c r="B757" s="42" t="s">
        <v>303</v>
      </c>
      <c r="C757" s="42" t="s">
        <v>258</v>
      </c>
      <c r="D757" s="21" t="s">
        <v>336</v>
      </c>
      <c r="E757" s="42" t="s">
        <v>184</v>
      </c>
      <c r="F757" s="7">
        <f>F758</f>
        <v>0</v>
      </c>
      <c r="G757" s="7">
        <f t="shared" si="419"/>
        <v>0</v>
      </c>
      <c r="H757" s="7">
        <f t="shared" si="419"/>
        <v>0</v>
      </c>
      <c r="I757" s="7">
        <f t="shared" si="419"/>
        <v>0</v>
      </c>
      <c r="J757" s="7">
        <f t="shared" si="419"/>
        <v>0</v>
      </c>
      <c r="K757" s="7">
        <f t="shared" si="419"/>
        <v>0</v>
      </c>
      <c r="L757" s="7">
        <f t="shared" si="419"/>
        <v>0</v>
      </c>
      <c r="M757" s="7" t="e">
        <f t="shared" si="394"/>
        <v>#DIV/0!</v>
      </c>
    </row>
    <row r="758" spans="1:13" ht="47.25" customHeight="1" hidden="1">
      <c r="A758" s="31" t="s">
        <v>223</v>
      </c>
      <c r="B758" s="42" t="s">
        <v>303</v>
      </c>
      <c r="C758" s="42" t="s">
        <v>258</v>
      </c>
      <c r="D758" s="21" t="s">
        <v>336</v>
      </c>
      <c r="E758" s="42" t="s">
        <v>199</v>
      </c>
      <c r="F758" s="7">
        <f aca="true" t="shared" si="420" ref="F758:L758">90-90</f>
        <v>0</v>
      </c>
      <c r="G758" s="7">
        <f t="shared" si="420"/>
        <v>0</v>
      </c>
      <c r="H758" s="7">
        <f t="shared" si="420"/>
        <v>0</v>
      </c>
      <c r="I758" s="7">
        <f t="shared" si="420"/>
        <v>0</v>
      </c>
      <c r="J758" s="7">
        <f t="shared" si="420"/>
        <v>0</v>
      </c>
      <c r="K758" s="7">
        <f t="shared" si="420"/>
        <v>0</v>
      </c>
      <c r="L758" s="7">
        <f t="shared" si="420"/>
        <v>0</v>
      </c>
      <c r="M758" s="7" t="e">
        <f t="shared" si="394"/>
        <v>#DIV/0!</v>
      </c>
    </row>
    <row r="759" spans="1:13" ht="15.75">
      <c r="A759" s="31" t="s">
        <v>180</v>
      </c>
      <c r="B759" s="42" t="s">
        <v>303</v>
      </c>
      <c r="C759" s="42" t="s">
        <v>258</v>
      </c>
      <c r="D759" s="42" t="s">
        <v>181</v>
      </c>
      <c r="E759" s="42"/>
      <c r="F759" s="7" t="e">
        <f aca="true" t="shared" si="421" ref="F759:K759">F760+F763</f>
        <v>#REF!</v>
      </c>
      <c r="G759" s="7" t="e">
        <f t="shared" si="421"/>
        <v>#REF!</v>
      </c>
      <c r="H759" s="7" t="e">
        <f t="shared" si="421"/>
        <v>#REF!</v>
      </c>
      <c r="I759" s="7" t="e">
        <f t="shared" si="421"/>
        <v>#REF!</v>
      </c>
      <c r="J759" s="7" t="e">
        <f t="shared" si="421"/>
        <v>#REF!</v>
      </c>
      <c r="K759" s="7">
        <f t="shared" si="421"/>
        <v>14438.4</v>
      </c>
      <c r="L759" s="7">
        <f aca="true" t="shared" si="422" ref="L759">L760+L763</f>
        <v>9455.1</v>
      </c>
      <c r="M759" s="7">
        <f t="shared" si="394"/>
        <v>65.48578789893618</v>
      </c>
    </row>
    <row r="760" spans="1:13" ht="15.75">
      <c r="A760" s="31" t="s">
        <v>518</v>
      </c>
      <c r="B760" s="42" t="s">
        <v>303</v>
      </c>
      <c r="C760" s="42" t="s">
        <v>258</v>
      </c>
      <c r="D760" s="42" t="s">
        <v>519</v>
      </c>
      <c r="E760" s="42"/>
      <c r="F760" s="7" t="e">
        <f>F761</f>
        <v>#REF!</v>
      </c>
      <c r="G760" s="7" t="e">
        <f aca="true" t="shared" si="423" ref="G760:L761">G761</f>
        <v>#REF!</v>
      </c>
      <c r="H760" s="7" t="e">
        <f t="shared" si="423"/>
        <v>#REF!</v>
      </c>
      <c r="I760" s="7" t="e">
        <f t="shared" si="423"/>
        <v>#REF!</v>
      </c>
      <c r="J760" s="7" t="e">
        <f t="shared" si="423"/>
        <v>#REF!</v>
      </c>
      <c r="K760" s="7">
        <f t="shared" si="423"/>
        <v>600</v>
      </c>
      <c r="L760" s="7">
        <f t="shared" si="423"/>
        <v>325.2</v>
      </c>
      <c r="M760" s="7">
        <f t="shared" si="394"/>
        <v>54.199999999999996</v>
      </c>
    </row>
    <row r="761" spans="1:13" ht="31.5">
      <c r="A761" s="31" t="s">
        <v>170</v>
      </c>
      <c r="B761" s="42" t="s">
        <v>303</v>
      </c>
      <c r="C761" s="42" t="s">
        <v>258</v>
      </c>
      <c r="D761" s="42" t="s">
        <v>519</v>
      </c>
      <c r="E761" s="42" t="s">
        <v>171</v>
      </c>
      <c r="F761" s="7" t="e">
        <f>F762</f>
        <v>#REF!</v>
      </c>
      <c r="G761" s="7" t="e">
        <f t="shared" si="423"/>
        <v>#REF!</v>
      </c>
      <c r="H761" s="7" t="e">
        <f t="shared" si="423"/>
        <v>#REF!</v>
      </c>
      <c r="I761" s="7" t="e">
        <f t="shared" si="423"/>
        <v>#REF!</v>
      </c>
      <c r="J761" s="7" t="e">
        <f t="shared" si="423"/>
        <v>#REF!</v>
      </c>
      <c r="K761" s="7">
        <f t="shared" si="423"/>
        <v>600</v>
      </c>
      <c r="L761" s="7">
        <f t="shared" si="423"/>
        <v>325.2</v>
      </c>
      <c r="M761" s="7">
        <f t="shared" si="394"/>
        <v>54.199999999999996</v>
      </c>
    </row>
    <row r="762" spans="1:13" ht="47.25">
      <c r="A762" s="31" t="s">
        <v>172</v>
      </c>
      <c r="B762" s="42" t="s">
        <v>303</v>
      </c>
      <c r="C762" s="42" t="s">
        <v>258</v>
      </c>
      <c r="D762" s="42" t="s">
        <v>519</v>
      </c>
      <c r="E762" s="42" t="s">
        <v>173</v>
      </c>
      <c r="F762" s="7" t="e">
        <f>#REF!</f>
        <v>#REF!</v>
      </c>
      <c r="G762" s="7" t="e">
        <f>#REF!</f>
        <v>#REF!</v>
      </c>
      <c r="H762" s="7" t="e">
        <f>#REF!</f>
        <v>#REF!</v>
      </c>
      <c r="I762" s="7" t="e">
        <f>#REF!</f>
        <v>#REF!</v>
      </c>
      <c r="J762" s="7" t="e">
        <f>#REF!</f>
        <v>#REF!</v>
      </c>
      <c r="K762" s="7">
        <f>'Прил.№4 ведомств.'!G885</f>
        <v>600</v>
      </c>
      <c r="L762" s="7">
        <f>'Прил.№4 ведомств.'!H885</f>
        <v>325.2</v>
      </c>
      <c r="M762" s="7">
        <f t="shared" si="394"/>
        <v>54.199999999999996</v>
      </c>
    </row>
    <row r="763" spans="1:13" ht="31.5">
      <c r="A763" s="26" t="s">
        <v>379</v>
      </c>
      <c r="B763" s="42" t="s">
        <v>303</v>
      </c>
      <c r="C763" s="42" t="s">
        <v>258</v>
      </c>
      <c r="D763" s="42" t="s">
        <v>380</v>
      </c>
      <c r="E763" s="42"/>
      <c r="F763" s="7" t="e">
        <f aca="true" t="shared" si="424" ref="F763:K763">F764+F766+F768</f>
        <v>#REF!</v>
      </c>
      <c r="G763" s="7" t="e">
        <f t="shared" si="424"/>
        <v>#REF!</v>
      </c>
      <c r="H763" s="7" t="e">
        <f t="shared" si="424"/>
        <v>#REF!</v>
      </c>
      <c r="I763" s="7" t="e">
        <f t="shared" si="424"/>
        <v>#REF!</v>
      </c>
      <c r="J763" s="7" t="e">
        <f t="shared" si="424"/>
        <v>#REF!</v>
      </c>
      <c r="K763" s="7">
        <f t="shared" si="424"/>
        <v>13838.4</v>
      </c>
      <c r="L763" s="7">
        <f aca="true" t="shared" si="425" ref="L763">L764+L766+L768</f>
        <v>9129.9</v>
      </c>
      <c r="M763" s="7">
        <f t="shared" si="394"/>
        <v>65.97511272979534</v>
      </c>
    </row>
    <row r="764" spans="1:13" ht="78.75">
      <c r="A764" s="31" t="s">
        <v>166</v>
      </c>
      <c r="B764" s="42" t="s">
        <v>303</v>
      </c>
      <c r="C764" s="42" t="s">
        <v>258</v>
      </c>
      <c r="D764" s="42" t="s">
        <v>380</v>
      </c>
      <c r="E764" s="42" t="s">
        <v>167</v>
      </c>
      <c r="F764" s="7" t="e">
        <f aca="true" t="shared" si="426" ref="F764:L764">F765</f>
        <v>#REF!</v>
      </c>
      <c r="G764" s="7" t="e">
        <f t="shared" si="426"/>
        <v>#REF!</v>
      </c>
      <c r="H764" s="7" t="e">
        <f t="shared" si="426"/>
        <v>#REF!</v>
      </c>
      <c r="I764" s="7" t="e">
        <f t="shared" si="426"/>
        <v>#REF!</v>
      </c>
      <c r="J764" s="7" t="e">
        <f t="shared" si="426"/>
        <v>#REF!</v>
      </c>
      <c r="K764" s="7">
        <f t="shared" si="426"/>
        <v>12520.9</v>
      </c>
      <c r="L764" s="7">
        <f t="shared" si="426"/>
        <v>8263.1</v>
      </c>
      <c r="M764" s="7">
        <f t="shared" si="394"/>
        <v>65.99445726744882</v>
      </c>
    </row>
    <row r="765" spans="1:13" ht="31.5">
      <c r="A765" s="48" t="s">
        <v>381</v>
      </c>
      <c r="B765" s="42" t="s">
        <v>303</v>
      </c>
      <c r="C765" s="42" t="s">
        <v>258</v>
      </c>
      <c r="D765" s="42" t="s">
        <v>380</v>
      </c>
      <c r="E765" s="42" t="s">
        <v>248</v>
      </c>
      <c r="F765" s="63" t="e">
        <f>#REF!</f>
        <v>#REF!</v>
      </c>
      <c r="G765" s="63" t="e">
        <f>#REF!</f>
        <v>#REF!</v>
      </c>
      <c r="H765" s="63" t="e">
        <f>#REF!</f>
        <v>#REF!</v>
      </c>
      <c r="I765" s="63" t="e">
        <f>#REF!</f>
        <v>#REF!</v>
      </c>
      <c r="J765" s="63" t="e">
        <f>#REF!</f>
        <v>#REF!</v>
      </c>
      <c r="K765" s="63">
        <f>'Прил.№4 ведомств.'!G888</f>
        <v>12520.9</v>
      </c>
      <c r="L765" s="63">
        <f>'Прил.№4 ведомств.'!H888</f>
        <v>8263.1</v>
      </c>
      <c r="M765" s="7">
        <f t="shared" si="394"/>
        <v>65.99445726744882</v>
      </c>
    </row>
    <row r="766" spans="1:13" ht="31.5">
      <c r="A766" s="31" t="s">
        <v>170</v>
      </c>
      <c r="B766" s="42" t="s">
        <v>303</v>
      </c>
      <c r="C766" s="42" t="s">
        <v>258</v>
      </c>
      <c r="D766" s="42" t="s">
        <v>380</v>
      </c>
      <c r="E766" s="42" t="s">
        <v>171</v>
      </c>
      <c r="F766" s="7" t="e">
        <f aca="true" t="shared" si="427" ref="F766:L766">F767</f>
        <v>#REF!</v>
      </c>
      <c r="G766" s="7" t="e">
        <f t="shared" si="427"/>
        <v>#REF!</v>
      </c>
      <c r="H766" s="7" t="e">
        <f t="shared" si="427"/>
        <v>#REF!</v>
      </c>
      <c r="I766" s="7" t="e">
        <f t="shared" si="427"/>
        <v>#REF!</v>
      </c>
      <c r="J766" s="7" t="e">
        <f t="shared" si="427"/>
        <v>#REF!</v>
      </c>
      <c r="K766" s="7">
        <f t="shared" si="427"/>
        <v>1302.1</v>
      </c>
      <c r="L766" s="7">
        <f t="shared" si="427"/>
        <v>859.3</v>
      </c>
      <c r="M766" s="7">
        <f t="shared" si="394"/>
        <v>65.99339528454036</v>
      </c>
    </row>
    <row r="767" spans="1:13" ht="47.25">
      <c r="A767" s="31" t="s">
        <v>172</v>
      </c>
      <c r="B767" s="42" t="s">
        <v>303</v>
      </c>
      <c r="C767" s="42" t="s">
        <v>258</v>
      </c>
      <c r="D767" s="42" t="s">
        <v>380</v>
      </c>
      <c r="E767" s="42" t="s">
        <v>173</v>
      </c>
      <c r="F767" s="7" t="e">
        <f>#REF!</f>
        <v>#REF!</v>
      </c>
      <c r="G767" s="7" t="e">
        <f>#REF!</f>
        <v>#REF!</v>
      </c>
      <c r="H767" s="7" t="e">
        <f>#REF!</f>
        <v>#REF!</v>
      </c>
      <c r="I767" s="7" t="e">
        <f>#REF!</f>
        <v>#REF!</v>
      </c>
      <c r="J767" s="7" t="e">
        <f>#REF!</f>
        <v>#REF!</v>
      </c>
      <c r="K767" s="7">
        <f>'Прил.№4 ведомств.'!G890</f>
        <v>1302.1</v>
      </c>
      <c r="L767" s="7">
        <f>'Прил.№4 ведомств.'!H890</f>
        <v>859.3</v>
      </c>
      <c r="M767" s="7">
        <f t="shared" si="394"/>
        <v>65.99339528454036</v>
      </c>
    </row>
    <row r="768" spans="1:13" ht="15.75">
      <c r="A768" s="31" t="s">
        <v>174</v>
      </c>
      <c r="B768" s="42" t="s">
        <v>303</v>
      </c>
      <c r="C768" s="42" t="s">
        <v>258</v>
      </c>
      <c r="D768" s="42" t="s">
        <v>380</v>
      </c>
      <c r="E768" s="42" t="s">
        <v>184</v>
      </c>
      <c r="F768" s="7" t="e">
        <f aca="true" t="shared" si="428" ref="F768:L768">F769</f>
        <v>#REF!</v>
      </c>
      <c r="G768" s="7" t="e">
        <f t="shared" si="428"/>
        <v>#REF!</v>
      </c>
      <c r="H768" s="7" t="e">
        <f t="shared" si="428"/>
        <v>#REF!</v>
      </c>
      <c r="I768" s="7" t="e">
        <f t="shared" si="428"/>
        <v>#REF!</v>
      </c>
      <c r="J768" s="7" t="e">
        <f t="shared" si="428"/>
        <v>#REF!</v>
      </c>
      <c r="K768" s="7">
        <f t="shared" si="428"/>
        <v>15.4</v>
      </c>
      <c r="L768" s="7">
        <f t="shared" si="428"/>
        <v>7.5</v>
      </c>
      <c r="M768" s="7">
        <f t="shared" si="394"/>
        <v>48.701298701298704</v>
      </c>
    </row>
    <row r="769" spans="1:13" ht="15.75">
      <c r="A769" s="31" t="s">
        <v>608</v>
      </c>
      <c r="B769" s="42" t="s">
        <v>303</v>
      </c>
      <c r="C769" s="42" t="s">
        <v>258</v>
      </c>
      <c r="D769" s="42" t="s">
        <v>380</v>
      </c>
      <c r="E769" s="42" t="s">
        <v>177</v>
      </c>
      <c r="F769" s="7" t="e">
        <f>#REF!</f>
        <v>#REF!</v>
      </c>
      <c r="G769" s="7" t="e">
        <f>#REF!</f>
        <v>#REF!</v>
      </c>
      <c r="H769" s="7" t="e">
        <f>#REF!</f>
        <v>#REF!</v>
      </c>
      <c r="I769" s="7" t="e">
        <f>#REF!</f>
        <v>#REF!</v>
      </c>
      <c r="J769" s="7" t="e">
        <f>#REF!</f>
        <v>#REF!</v>
      </c>
      <c r="K769" s="7">
        <f>'Прил.№4 ведомств.'!G892</f>
        <v>15.4</v>
      </c>
      <c r="L769" s="7">
        <f>'Прил.№4 ведомств.'!H892</f>
        <v>7.5</v>
      </c>
      <c r="M769" s="7">
        <f t="shared" si="394"/>
        <v>48.701298701298704</v>
      </c>
    </row>
    <row r="770" spans="1:13" ht="15.75">
      <c r="A770" s="43" t="s">
        <v>337</v>
      </c>
      <c r="B770" s="8" t="s">
        <v>338</v>
      </c>
      <c r="C770" s="8"/>
      <c r="D770" s="8"/>
      <c r="E770" s="8"/>
      <c r="F770" s="4" t="e">
        <f aca="true" t="shared" si="429" ref="F770:K770">F771+F829</f>
        <v>#REF!</v>
      </c>
      <c r="G770" s="4" t="e">
        <f t="shared" si="429"/>
        <v>#REF!</v>
      </c>
      <c r="H770" s="4" t="e">
        <f t="shared" si="429"/>
        <v>#REF!</v>
      </c>
      <c r="I770" s="4" t="e">
        <f t="shared" si="429"/>
        <v>#REF!</v>
      </c>
      <c r="J770" s="4" t="e">
        <f t="shared" si="429"/>
        <v>#REF!</v>
      </c>
      <c r="K770" s="4">
        <f t="shared" si="429"/>
        <v>66866.1</v>
      </c>
      <c r="L770" s="4">
        <f aca="true" t="shared" si="430" ref="L770">L771+L829</f>
        <v>47125.7</v>
      </c>
      <c r="M770" s="4">
        <f t="shared" si="394"/>
        <v>70.4777159128467</v>
      </c>
    </row>
    <row r="771" spans="1:15" ht="15.75">
      <c r="A771" s="43" t="s">
        <v>339</v>
      </c>
      <c r="B771" s="8" t="s">
        <v>338</v>
      </c>
      <c r="C771" s="8" t="s">
        <v>157</v>
      </c>
      <c r="D771" s="8"/>
      <c r="E771" s="8"/>
      <c r="F771" s="4" t="e">
        <f>F772+F808+F779</f>
        <v>#REF!</v>
      </c>
      <c r="G771" s="4" t="e">
        <f>G772+G808+G779</f>
        <v>#REF!</v>
      </c>
      <c r="H771" s="4" t="e">
        <f>H772+H808+H779</f>
        <v>#REF!</v>
      </c>
      <c r="I771" s="4" t="e">
        <f>I772+I808+I779</f>
        <v>#REF!</v>
      </c>
      <c r="J771" s="4" t="e">
        <f>J772+J808+J779</f>
        <v>#REF!</v>
      </c>
      <c r="K771" s="4">
        <f>K772+K808+K779+K804</f>
        <v>48003</v>
      </c>
      <c r="L771" s="4">
        <f aca="true" t="shared" si="431" ref="L771">L772+L808+L779+L804</f>
        <v>34334.6</v>
      </c>
      <c r="M771" s="4">
        <f t="shared" si="394"/>
        <v>71.52594629502322</v>
      </c>
      <c r="N771" s="23"/>
      <c r="O771" s="23"/>
    </row>
    <row r="772" spans="1:13" ht="31.5">
      <c r="A772" s="31" t="s">
        <v>305</v>
      </c>
      <c r="B772" s="42" t="s">
        <v>338</v>
      </c>
      <c r="C772" s="42" t="s">
        <v>157</v>
      </c>
      <c r="D772" s="42" t="s">
        <v>306</v>
      </c>
      <c r="E772" s="42"/>
      <c r="F772" s="7" t="e">
        <f>F773+#REF!</f>
        <v>#REF!</v>
      </c>
      <c r="G772" s="7" t="e">
        <f>G773+#REF!</f>
        <v>#REF!</v>
      </c>
      <c r="H772" s="7" t="e">
        <f>H773+#REF!</f>
        <v>#REF!</v>
      </c>
      <c r="I772" s="7" t="e">
        <f>I773+#REF!</f>
        <v>#REF!</v>
      </c>
      <c r="J772" s="7" t="e">
        <f>J773+#REF!</f>
        <v>#REF!</v>
      </c>
      <c r="K772" s="7">
        <f>K773+K790</f>
        <v>45193.3</v>
      </c>
      <c r="L772" s="7">
        <f aca="true" t="shared" si="432" ref="L772">L773+L790</f>
        <v>32435.6</v>
      </c>
      <c r="M772" s="7">
        <f t="shared" si="394"/>
        <v>71.77081558549607</v>
      </c>
    </row>
    <row r="773" spans="1:13" ht="47.25">
      <c r="A773" s="31" t="s">
        <v>340</v>
      </c>
      <c r="B773" s="42" t="s">
        <v>338</v>
      </c>
      <c r="C773" s="42" t="s">
        <v>157</v>
      </c>
      <c r="D773" s="42" t="s">
        <v>341</v>
      </c>
      <c r="E773" s="42"/>
      <c r="F773" s="7" t="e">
        <f>F774+#REF!+#REF!+#REF!+#REF!+#REF!+#REF!+#REF!+#REF!+#REF!</f>
        <v>#REF!</v>
      </c>
      <c r="G773" s="7" t="e">
        <f>G774+#REF!+#REF!+#REF!+#REF!+#REF!+#REF!+#REF!+#REF!+#REF!</f>
        <v>#REF!</v>
      </c>
      <c r="H773" s="7" t="e">
        <f>H774+#REF!+#REF!+#REF!+#REF!+#REF!+#REF!+#REF!+#REF!+#REF!</f>
        <v>#REF!</v>
      </c>
      <c r="I773" s="7" t="e">
        <f>I774+#REF!+#REF!+#REF!+#REF!+#REF!+#REF!+#REF!+#REF!+#REF!</f>
        <v>#REF!</v>
      </c>
      <c r="J773" s="7" t="e">
        <f>J774+#REF!+#REF!+#REF!+#REF!+#REF!+#REF!+#REF!+#REF!+#REF!</f>
        <v>#REF!</v>
      </c>
      <c r="K773" s="7">
        <f>K774+K783</f>
        <v>25674.600000000002</v>
      </c>
      <c r="L773" s="7">
        <f aca="true" t="shared" si="433" ref="L773">L774+L783</f>
        <v>18037</v>
      </c>
      <c r="M773" s="7">
        <f t="shared" si="394"/>
        <v>70.25231162316062</v>
      </c>
    </row>
    <row r="774" spans="1:13" ht="31.5">
      <c r="A774" s="33" t="s">
        <v>1025</v>
      </c>
      <c r="B774" s="42" t="s">
        <v>338</v>
      </c>
      <c r="C774" s="42" t="s">
        <v>157</v>
      </c>
      <c r="D774" s="42" t="s">
        <v>1026</v>
      </c>
      <c r="E774" s="42"/>
      <c r="F774" s="7" t="e">
        <f>F777</f>
        <v>#REF!</v>
      </c>
      <c r="G774" s="7" t="e">
        <f>G777</f>
        <v>#REF!</v>
      </c>
      <c r="H774" s="7" t="e">
        <f>H777</f>
        <v>#REF!</v>
      </c>
      <c r="I774" s="7" t="e">
        <f>I777</f>
        <v>#REF!</v>
      </c>
      <c r="J774" s="7" t="e">
        <f>J777</f>
        <v>#REF!</v>
      </c>
      <c r="K774" s="7">
        <f>K775+K777</f>
        <v>2000</v>
      </c>
      <c r="L774" s="7">
        <f aca="true" t="shared" si="434" ref="L774">L775+L777</f>
        <v>1597.7</v>
      </c>
      <c r="M774" s="7">
        <f t="shared" si="394"/>
        <v>79.885</v>
      </c>
    </row>
    <row r="775" spans="1:13" ht="78.75">
      <c r="A775" s="288" t="s">
        <v>166</v>
      </c>
      <c r="B775" s="42" t="s">
        <v>338</v>
      </c>
      <c r="C775" s="42" t="s">
        <v>157</v>
      </c>
      <c r="D775" s="42" t="s">
        <v>1026</v>
      </c>
      <c r="E775" s="42" t="s">
        <v>167</v>
      </c>
      <c r="F775" s="7"/>
      <c r="G775" s="7"/>
      <c r="H775" s="7"/>
      <c r="I775" s="7"/>
      <c r="J775" s="7"/>
      <c r="K775" s="7">
        <f>K776</f>
        <v>1125</v>
      </c>
      <c r="L775" s="7">
        <f aca="true" t="shared" si="435" ref="L775">L776</f>
        <v>730.1</v>
      </c>
      <c r="M775" s="7">
        <f t="shared" si="394"/>
        <v>64.89777777777778</v>
      </c>
    </row>
    <row r="776" spans="1:13" ht="31.5">
      <c r="A776" s="26" t="s">
        <v>247</v>
      </c>
      <c r="B776" s="42" t="s">
        <v>338</v>
      </c>
      <c r="C776" s="42" t="s">
        <v>157</v>
      </c>
      <c r="D776" s="42" t="s">
        <v>1026</v>
      </c>
      <c r="E776" s="42" t="s">
        <v>248</v>
      </c>
      <c r="F776" s="7"/>
      <c r="G776" s="7"/>
      <c r="H776" s="7"/>
      <c r="I776" s="7"/>
      <c r="J776" s="7"/>
      <c r="K776" s="7">
        <f>'Прил.№4 ведомств.'!G378</f>
        <v>1125</v>
      </c>
      <c r="L776" s="7">
        <f>'Прил.№4 ведомств.'!H378</f>
        <v>730.1</v>
      </c>
      <c r="M776" s="7">
        <f t="shared" si="394"/>
        <v>64.89777777777778</v>
      </c>
    </row>
    <row r="777" spans="1:13" ht="31.5">
      <c r="A777" s="26" t="s">
        <v>170</v>
      </c>
      <c r="B777" s="42" t="s">
        <v>338</v>
      </c>
      <c r="C777" s="42" t="s">
        <v>157</v>
      </c>
      <c r="D777" s="42" t="s">
        <v>1026</v>
      </c>
      <c r="E777" s="42" t="s">
        <v>171</v>
      </c>
      <c r="F777" s="7" t="e">
        <f aca="true" t="shared" si="436" ref="F777:L777">F778</f>
        <v>#REF!</v>
      </c>
      <c r="G777" s="7" t="e">
        <f t="shared" si="436"/>
        <v>#REF!</v>
      </c>
      <c r="H777" s="7" t="e">
        <f t="shared" si="436"/>
        <v>#REF!</v>
      </c>
      <c r="I777" s="7" t="e">
        <f t="shared" si="436"/>
        <v>#REF!</v>
      </c>
      <c r="J777" s="7" t="e">
        <f t="shared" si="436"/>
        <v>#REF!</v>
      </c>
      <c r="K777" s="7">
        <f t="shared" si="436"/>
        <v>874.9999999999999</v>
      </c>
      <c r="L777" s="7">
        <f t="shared" si="436"/>
        <v>867.6</v>
      </c>
      <c r="M777" s="7">
        <f t="shared" si="394"/>
        <v>99.15428571428573</v>
      </c>
    </row>
    <row r="778" spans="1:17" ht="47.25">
      <c r="A778" s="26" t="s">
        <v>172</v>
      </c>
      <c r="B778" s="42" t="s">
        <v>338</v>
      </c>
      <c r="C778" s="42" t="s">
        <v>157</v>
      </c>
      <c r="D778" s="42" t="s">
        <v>1026</v>
      </c>
      <c r="E778" s="42" t="s">
        <v>173</v>
      </c>
      <c r="F778" s="7" t="e">
        <f>#REF!</f>
        <v>#REF!</v>
      </c>
      <c r="G778" s="7" t="e">
        <f>#REF!</f>
        <v>#REF!</v>
      </c>
      <c r="H778" s="7" t="e">
        <f>#REF!</f>
        <v>#REF!</v>
      </c>
      <c r="I778" s="7" t="e">
        <f>#REF!</f>
        <v>#REF!</v>
      </c>
      <c r="J778" s="7" t="e">
        <f>#REF!</f>
        <v>#REF!</v>
      </c>
      <c r="K778" s="7">
        <f>'Прил.№4 ведомств.'!G380</f>
        <v>874.9999999999999</v>
      </c>
      <c r="L778" s="7">
        <f>'Прил.№4 ведомств.'!H380</f>
        <v>867.6</v>
      </c>
      <c r="M778" s="7">
        <f t="shared" si="394"/>
        <v>99.15428571428573</v>
      </c>
      <c r="Q778" s="23"/>
    </row>
    <row r="779" spans="1:13" ht="63" hidden="1">
      <c r="A779" s="31" t="s">
        <v>362</v>
      </c>
      <c r="B779" s="42" t="s">
        <v>338</v>
      </c>
      <c r="C779" s="42" t="s">
        <v>157</v>
      </c>
      <c r="D779" s="42" t="s">
        <v>363</v>
      </c>
      <c r="E779" s="21"/>
      <c r="F779" s="7" t="e">
        <f>F780</f>
        <v>#REF!</v>
      </c>
      <c r="G779" s="7" t="e">
        <f aca="true" t="shared" si="437" ref="G779:L781">G780</f>
        <v>#REF!</v>
      </c>
      <c r="H779" s="7" t="e">
        <f t="shared" si="437"/>
        <v>#REF!</v>
      </c>
      <c r="I779" s="7" t="e">
        <f t="shared" si="437"/>
        <v>#REF!</v>
      </c>
      <c r="J779" s="7" t="e">
        <f t="shared" si="437"/>
        <v>#REF!</v>
      </c>
      <c r="K779" s="7">
        <f t="shared" si="437"/>
        <v>0</v>
      </c>
      <c r="L779" s="7">
        <f t="shared" si="437"/>
        <v>0</v>
      </c>
      <c r="M779" s="7" t="e">
        <f t="shared" si="394"/>
        <v>#DIV/0!</v>
      </c>
    </row>
    <row r="780" spans="1:13" ht="47.25" hidden="1">
      <c r="A780" s="26" t="s">
        <v>666</v>
      </c>
      <c r="B780" s="42" t="s">
        <v>338</v>
      </c>
      <c r="C780" s="42" t="s">
        <v>157</v>
      </c>
      <c r="D780" s="42" t="s">
        <v>365</v>
      </c>
      <c r="E780" s="21"/>
      <c r="F780" s="7" t="e">
        <f>F781</f>
        <v>#REF!</v>
      </c>
      <c r="G780" s="7" t="e">
        <f t="shared" si="437"/>
        <v>#REF!</v>
      </c>
      <c r="H780" s="7" t="e">
        <f t="shared" si="437"/>
        <v>#REF!</v>
      </c>
      <c r="I780" s="7" t="e">
        <f t="shared" si="437"/>
        <v>#REF!</v>
      </c>
      <c r="J780" s="7" t="e">
        <f t="shared" si="437"/>
        <v>#REF!</v>
      </c>
      <c r="K780" s="7">
        <f t="shared" si="437"/>
        <v>0</v>
      </c>
      <c r="L780" s="7">
        <f t="shared" si="437"/>
        <v>0</v>
      </c>
      <c r="M780" s="7" t="e">
        <f t="shared" si="394"/>
        <v>#DIV/0!</v>
      </c>
    </row>
    <row r="781" spans="1:13" ht="47.25" hidden="1">
      <c r="A781" s="31" t="s">
        <v>311</v>
      </c>
      <c r="B781" s="42" t="s">
        <v>338</v>
      </c>
      <c r="C781" s="42" t="s">
        <v>157</v>
      </c>
      <c r="D781" s="42" t="s">
        <v>365</v>
      </c>
      <c r="E781" s="21" t="s">
        <v>312</v>
      </c>
      <c r="F781" s="7" t="e">
        <f>F782</f>
        <v>#REF!</v>
      </c>
      <c r="G781" s="7" t="e">
        <f t="shared" si="437"/>
        <v>#REF!</v>
      </c>
      <c r="H781" s="7" t="e">
        <f t="shared" si="437"/>
        <v>#REF!</v>
      </c>
      <c r="I781" s="7" t="e">
        <f t="shared" si="437"/>
        <v>#REF!</v>
      </c>
      <c r="J781" s="7" t="e">
        <f t="shared" si="437"/>
        <v>#REF!</v>
      </c>
      <c r="K781" s="7">
        <f t="shared" si="437"/>
        <v>0</v>
      </c>
      <c r="L781" s="7">
        <f t="shared" si="437"/>
        <v>0</v>
      </c>
      <c r="M781" s="7" t="e">
        <f t="shared" si="394"/>
        <v>#DIV/0!</v>
      </c>
    </row>
    <row r="782" spans="1:13" ht="15.75" hidden="1">
      <c r="A782" s="31" t="s">
        <v>313</v>
      </c>
      <c r="B782" s="42" t="s">
        <v>338</v>
      </c>
      <c r="C782" s="42" t="s">
        <v>157</v>
      </c>
      <c r="D782" s="42" t="s">
        <v>365</v>
      </c>
      <c r="E782" s="21" t="s">
        <v>314</v>
      </c>
      <c r="F782" s="7" t="e">
        <f>#REF!</f>
        <v>#REF!</v>
      </c>
      <c r="G782" s="7" t="e">
        <f>#REF!</f>
        <v>#REF!</v>
      </c>
      <c r="H782" s="7" t="e">
        <f>#REF!</f>
        <v>#REF!</v>
      </c>
      <c r="I782" s="7" t="e">
        <f>#REF!</f>
        <v>#REF!</v>
      </c>
      <c r="J782" s="7" t="e">
        <f>#REF!</f>
        <v>#REF!</v>
      </c>
      <c r="K782" s="7">
        <f>'Прил.№4 ведомств.'!G455</f>
        <v>0</v>
      </c>
      <c r="L782" s="7">
        <f>'Прил.№4 ведомств.'!H455</f>
        <v>0</v>
      </c>
      <c r="M782" s="7" t="e">
        <f t="shared" si="394"/>
        <v>#DIV/0!</v>
      </c>
    </row>
    <row r="783" spans="1:13" ht="15.75">
      <c r="A783" s="26" t="s">
        <v>985</v>
      </c>
      <c r="B783" s="21" t="s">
        <v>338</v>
      </c>
      <c r="C783" s="21" t="s">
        <v>157</v>
      </c>
      <c r="D783" s="21" t="s">
        <v>350</v>
      </c>
      <c r="E783" s="21"/>
      <c r="F783" s="7"/>
      <c r="G783" s="7"/>
      <c r="H783" s="7"/>
      <c r="I783" s="7"/>
      <c r="J783" s="7"/>
      <c r="K783" s="7">
        <f>K784+K786+K788</f>
        <v>23674.600000000002</v>
      </c>
      <c r="L783" s="7">
        <f aca="true" t="shared" si="438" ref="L783">L784+L786+L788</f>
        <v>16439.3</v>
      </c>
      <c r="M783" s="7">
        <f aca="true" t="shared" si="439" ref="M783:M846">L783/K783*100</f>
        <v>69.43855440007434</v>
      </c>
    </row>
    <row r="784" spans="1:13" ht="78.75">
      <c r="A784" s="26" t="s">
        <v>166</v>
      </c>
      <c r="B784" s="21" t="s">
        <v>338</v>
      </c>
      <c r="C784" s="21" t="s">
        <v>157</v>
      </c>
      <c r="D784" s="21" t="s">
        <v>350</v>
      </c>
      <c r="E784" s="21" t="s">
        <v>167</v>
      </c>
      <c r="F784" s="7"/>
      <c r="G784" s="7"/>
      <c r="H784" s="7"/>
      <c r="I784" s="7"/>
      <c r="J784" s="7"/>
      <c r="K784" s="7">
        <f>K785</f>
        <v>18095.4</v>
      </c>
      <c r="L784" s="7">
        <f aca="true" t="shared" si="440" ref="L784">L785</f>
        <v>12752.8</v>
      </c>
      <c r="M784" s="7">
        <f t="shared" si="439"/>
        <v>70.47536943090508</v>
      </c>
    </row>
    <row r="785" spans="1:13" ht="31.5">
      <c r="A785" s="26" t="s">
        <v>247</v>
      </c>
      <c r="B785" s="21" t="s">
        <v>338</v>
      </c>
      <c r="C785" s="21" t="s">
        <v>157</v>
      </c>
      <c r="D785" s="21" t="s">
        <v>350</v>
      </c>
      <c r="E785" s="21" t="s">
        <v>248</v>
      </c>
      <c r="F785" s="7"/>
      <c r="G785" s="7"/>
      <c r="H785" s="7"/>
      <c r="I785" s="7"/>
      <c r="J785" s="7"/>
      <c r="K785" s="7">
        <f>'Прил.№4 ведомств.'!G411</f>
        <v>18095.4</v>
      </c>
      <c r="L785" s="7">
        <f>'Прил.№4 ведомств.'!H411</f>
        <v>12752.8</v>
      </c>
      <c r="M785" s="7">
        <f t="shared" si="439"/>
        <v>70.47536943090508</v>
      </c>
    </row>
    <row r="786" spans="1:13" ht="31.5">
      <c r="A786" s="26" t="s">
        <v>170</v>
      </c>
      <c r="B786" s="21" t="s">
        <v>338</v>
      </c>
      <c r="C786" s="21" t="s">
        <v>157</v>
      </c>
      <c r="D786" s="21" t="s">
        <v>350</v>
      </c>
      <c r="E786" s="21" t="s">
        <v>171</v>
      </c>
      <c r="F786" s="7"/>
      <c r="G786" s="7"/>
      <c r="H786" s="7"/>
      <c r="I786" s="7"/>
      <c r="J786" s="7"/>
      <c r="K786" s="7">
        <f>K787</f>
        <v>5481.2</v>
      </c>
      <c r="L786" s="7">
        <f aca="true" t="shared" si="441" ref="L786">L787</f>
        <v>3655.7</v>
      </c>
      <c r="M786" s="7">
        <f t="shared" si="439"/>
        <v>66.69524921550025</v>
      </c>
    </row>
    <row r="787" spans="1:13" ht="47.25">
      <c r="A787" s="26" t="s">
        <v>172</v>
      </c>
      <c r="B787" s="21" t="s">
        <v>338</v>
      </c>
      <c r="C787" s="21" t="s">
        <v>157</v>
      </c>
      <c r="D787" s="21" t="s">
        <v>350</v>
      </c>
      <c r="E787" s="21" t="s">
        <v>173</v>
      </c>
      <c r="F787" s="7"/>
      <c r="G787" s="7"/>
      <c r="H787" s="7"/>
      <c r="I787" s="7"/>
      <c r="J787" s="7"/>
      <c r="K787" s="7">
        <f>'Прил.№4 ведомств.'!G413</f>
        <v>5481.2</v>
      </c>
      <c r="L787" s="7">
        <f>'Прил.№4 ведомств.'!H413</f>
        <v>3655.7</v>
      </c>
      <c r="M787" s="7">
        <f t="shared" si="439"/>
        <v>66.69524921550025</v>
      </c>
    </row>
    <row r="788" spans="1:13" ht="15.75" hidden="1">
      <c r="A788" s="26" t="s">
        <v>174</v>
      </c>
      <c r="B788" s="21" t="s">
        <v>338</v>
      </c>
      <c r="C788" s="21" t="s">
        <v>157</v>
      </c>
      <c r="D788" s="21" t="s">
        <v>350</v>
      </c>
      <c r="E788" s="21" t="s">
        <v>184</v>
      </c>
      <c r="F788" s="7"/>
      <c r="G788" s="7"/>
      <c r="H788" s="7"/>
      <c r="I788" s="7"/>
      <c r="J788" s="7"/>
      <c r="K788" s="7">
        <f>K789</f>
        <v>98</v>
      </c>
      <c r="L788" s="7">
        <f aca="true" t="shared" si="442" ref="L788">L789</f>
        <v>30.8</v>
      </c>
      <c r="M788" s="7">
        <f t="shared" si="439"/>
        <v>31.428571428571427</v>
      </c>
    </row>
    <row r="789" spans="1:13" ht="15.75" hidden="1">
      <c r="A789" s="26" t="s">
        <v>176</v>
      </c>
      <c r="B789" s="21" t="s">
        <v>338</v>
      </c>
      <c r="C789" s="21" t="s">
        <v>157</v>
      </c>
      <c r="D789" s="21" t="s">
        <v>350</v>
      </c>
      <c r="E789" s="21" t="s">
        <v>177</v>
      </c>
      <c r="F789" s="7"/>
      <c r="G789" s="7"/>
      <c r="H789" s="7"/>
      <c r="I789" s="7"/>
      <c r="J789" s="7"/>
      <c r="K789" s="7">
        <f>'Прил.№4 ведомств.'!G415</f>
        <v>98</v>
      </c>
      <c r="L789" s="7">
        <f>'Прил.№4 ведомств.'!H415</f>
        <v>30.8</v>
      </c>
      <c r="M789" s="7">
        <f t="shared" si="439"/>
        <v>31.428571428571427</v>
      </c>
    </row>
    <row r="790" spans="1:13" ht="31.5">
      <c r="A790" s="26" t="s">
        <v>351</v>
      </c>
      <c r="B790" s="21" t="s">
        <v>338</v>
      </c>
      <c r="C790" s="21" t="s">
        <v>157</v>
      </c>
      <c r="D790" s="21" t="s">
        <v>352</v>
      </c>
      <c r="E790" s="21"/>
      <c r="F790" s="7"/>
      <c r="G790" s="7"/>
      <c r="H790" s="7"/>
      <c r="I790" s="7"/>
      <c r="J790" s="7"/>
      <c r="K790" s="7">
        <f>K797+K791+K794</f>
        <v>19518.699999999997</v>
      </c>
      <c r="L790" s="7">
        <f aca="true" t="shared" si="443" ref="L790">L797+L791+L794</f>
        <v>14398.6</v>
      </c>
      <c r="M790" s="7">
        <f t="shared" si="439"/>
        <v>73.76823251548517</v>
      </c>
    </row>
    <row r="791" spans="1:13" ht="31.5">
      <c r="A791" s="26" t="s">
        <v>368</v>
      </c>
      <c r="B791" s="21" t="s">
        <v>338</v>
      </c>
      <c r="C791" s="21" t="s">
        <v>157</v>
      </c>
      <c r="D791" s="21" t="s">
        <v>355</v>
      </c>
      <c r="E791" s="21"/>
      <c r="F791" s="7"/>
      <c r="G791" s="7"/>
      <c r="H791" s="7"/>
      <c r="I791" s="7"/>
      <c r="J791" s="7"/>
      <c r="K791" s="7">
        <f>K792</f>
        <v>3.5</v>
      </c>
      <c r="L791" s="7">
        <f aca="true" t="shared" si="444" ref="L791:L792">L792</f>
        <v>0</v>
      </c>
      <c r="M791" s="7">
        <f t="shared" si="439"/>
        <v>0</v>
      </c>
    </row>
    <row r="792" spans="1:13" ht="31.5">
      <c r="A792" s="26" t="s">
        <v>170</v>
      </c>
      <c r="B792" s="21" t="s">
        <v>338</v>
      </c>
      <c r="C792" s="21" t="s">
        <v>157</v>
      </c>
      <c r="D792" s="21" t="s">
        <v>355</v>
      </c>
      <c r="E792" s="21" t="s">
        <v>171</v>
      </c>
      <c r="F792" s="7"/>
      <c r="G792" s="7"/>
      <c r="H792" s="7"/>
      <c r="I792" s="7"/>
      <c r="J792" s="7"/>
      <c r="K792" s="7">
        <f>K793</f>
        <v>3.5</v>
      </c>
      <c r="L792" s="7">
        <f t="shared" si="444"/>
        <v>0</v>
      </c>
      <c r="M792" s="7">
        <f t="shared" si="439"/>
        <v>0</v>
      </c>
    </row>
    <row r="793" spans="1:13" s="1" customFormat="1" ht="47.25">
      <c r="A793" s="26" t="s">
        <v>172</v>
      </c>
      <c r="B793" s="21" t="s">
        <v>338</v>
      </c>
      <c r="C793" s="21" t="s">
        <v>157</v>
      </c>
      <c r="D793" s="21" t="s">
        <v>355</v>
      </c>
      <c r="E793" s="21" t="s">
        <v>173</v>
      </c>
      <c r="F793" s="7"/>
      <c r="G793" s="7"/>
      <c r="H793" s="7"/>
      <c r="I793" s="7"/>
      <c r="J793" s="7"/>
      <c r="K793" s="7">
        <f>'Прил.№4 ведомств.'!G419</f>
        <v>3.5</v>
      </c>
      <c r="L793" s="7">
        <f>'Прил.№4 ведомств.'!H419</f>
        <v>0</v>
      </c>
      <c r="M793" s="7">
        <f t="shared" si="439"/>
        <v>0</v>
      </c>
    </row>
    <row r="794" spans="1:13" ht="31.5">
      <c r="A794" s="26" t="s">
        <v>1040</v>
      </c>
      <c r="B794" s="21" t="s">
        <v>338</v>
      </c>
      <c r="C794" s="21" t="s">
        <v>157</v>
      </c>
      <c r="D794" s="21" t="s">
        <v>1041</v>
      </c>
      <c r="E794" s="21"/>
      <c r="F794" s="7"/>
      <c r="G794" s="7"/>
      <c r="H794" s="7"/>
      <c r="I794" s="7"/>
      <c r="J794" s="7"/>
      <c r="K794" s="7">
        <f>K795</f>
        <v>227.5</v>
      </c>
      <c r="L794" s="7">
        <f aca="true" t="shared" si="445" ref="L794:L795">L795</f>
        <v>103.6</v>
      </c>
      <c r="M794" s="7">
        <f t="shared" si="439"/>
        <v>45.53846153846153</v>
      </c>
    </row>
    <row r="795" spans="1:13" ht="31.5">
      <c r="A795" s="26" t="s">
        <v>170</v>
      </c>
      <c r="B795" s="21" t="s">
        <v>338</v>
      </c>
      <c r="C795" s="21" t="s">
        <v>157</v>
      </c>
      <c r="D795" s="21" t="s">
        <v>1041</v>
      </c>
      <c r="E795" s="21" t="s">
        <v>171</v>
      </c>
      <c r="F795" s="7"/>
      <c r="G795" s="7"/>
      <c r="H795" s="7"/>
      <c r="I795" s="7"/>
      <c r="J795" s="7"/>
      <c r="K795" s="7">
        <f>K796</f>
        <v>227.5</v>
      </c>
      <c r="L795" s="7">
        <f t="shared" si="445"/>
        <v>103.6</v>
      </c>
      <c r="M795" s="7">
        <f t="shared" si="439"/>
        <v>45.53846153846153</v>
      </c>
    </row>
    <row r="796" spans="1:13" ht="47.25">
      <c r="A796" s="26" t="s">
        <v>172</v>
      </c>
      <c r="B796" s="21" t="s">
        <v>338</v>
      </c>
      <c r="C796" s="21" t="s">
        <v>157</v>
      </c>
      <c r="D796" s="21" t="s">
        <v>1041</v>
      </c>
      <c r="E796" s="21" t="s">
        <v>173</v>
      </c>
      <c r="F796" s="7"/>
      <c r="G796" s="7"/>
      <c r="H796" s="7"/>
      <c r="I796" s="7"/>
      <c r="J796" s="7"/>
      <c r="K796" s="7">
        <f>'Прил.№4 ведомств.'!G422</f>
        <v>227.5</v>
      </c>
      <c r="L796" s="7">
        <f>'Прил.№4 ведомств.'!H422</f>
        <v>103.6</v>
      </c>
      <c r="M796" s="7">
        <f t="shared" si="439"/>
        <v>45.53846153846153</v>
      </c>
    </row>
    <row r="797" spans="1:13" ht="15.75">
      <c r="A797" s="26" t="s">
        <v>985</v>
      </c>
      <c r="B797" s="21" t="s">
        <v>338</v>
      </c>
      <c r="C797" s="21" t="s">
        <v>157</v>
      </c>
      <c r="D797" s="21" t="s">
        <v>987</v>
      </c>
      <c r="E797" s="21"/>
      <c r="F797" s="7"/>
      <c r="G797" s="7"/>
      <c r="H797" s="7"/>
      <c r="I797" s="7"/>
      <c r="J797" s="7"/>
      <c r="K797" s="7">
        <f>K798+K800+K802</f>
        <v>19287.699999999997</v>
      </c>
      <c r="L797" s="7">
        <f aca="true" t="shared" si="446" ref="L797">L798+L800+L802</f>
        <v>14295</v>
      </c>
      <c r="M797" s="7">
        <f t="shared" si="439"/>
        <v>74.11459116431716</v>
      </c>
    </row>
    <row r="798" spans="1:13" ht="78.75">
      <c r="A798" s="26" t="s">
        <v>166</v>
      </c>
      <c r="B798" s="21" t="s">
        <v>338</v>
      </c>
      <c r="C798" s="21" t="s">
        <v>157</v>
      </c>
      <c r="D798" s="21" t="s">
        <v>987</v>
      </c>
      <c r="E798" s="21" t="s">
        <v>167</v>
      </c>
      <c r="F798" s="7"/>
      <c r="G798" s="7"/>
      <c r="H798" s="7"/>
      <c r="I798" s="7"/>
      <c r="J798" s="7"/>
      <c r="K798" s="7">
        <f>K799</f>
        <v>15494.199999999999</v>
      </c>
      <c r="L798" s="7">
        <f aca="true" t="shared" si="447" ref="L798">L799</f>
        <v>11752.2</v>
      </c>
      <c r="M798" s="7">
        <f t="shared" si="439"/>
        <v>75.84902737798662</v>
      </c>
    </row>
    <row r="799" spans="1:13" ht="31.5">
      <c r="A799" s="26" t="s">
        <v>247</v>
      </c>
      <c r="B799" s="21" t="s">
        <v>338</v>
      </c>
      <c r="C799" s="21" t="s">
        <v>157</v>
      </c>
      <c r="D799" s="21" t="s">
        <v>987</v>
      </c>
      <c r="E799" s="21" t="s">
        <v>248</v>
      </c>
      <c r="F799" s="7"/>
      <c r="G799" s="7"/>
      <c r="H799" s="7"/>
      <c r="I799" s="7"/>
      <c r="J799" s="7"/>
      <c r="K799" s="7">
        <f>'Прил.№4 ведомств.'!G458</f>
        <v>15494.199999999999</v>
      </c>
      <c r="L799" s="7">
        <f>'Прил.№4 ведомств.'!H458</f>
        <v>11752.2</v>
      </c>
      <c r="M799" s="7">
        <f t="shared" si="439"/>
        <v>75.84902737798662</v>
      </c>
    </row>
    <row r="800" spans="1:13" ht="31.5">
      <c r="A800" s="26" t="s">
        <v>170</v>
      </c>
      <c r="B800" s="21" t="s">
        <v>338</v>
      </c>
      <c r="C800" s="21" t="s">
        <v>157</v>
      </c>
      <c r="D800" s="21" t="s">
        <v>987</v>
      </c>
      <c r="E800" s="21" t="s">
        <v>171</v>
      </c>
      <c r="F800" s="7"/>
      <c r="G800" s="7"/>
      <c r="H800" s="7"/>
      <c r="I800" s="7"/>
      <c r="J800" s="7"/>
      <c r="K800" s="7">
        <f>K801</f>
        <v>3763.5</v>
      </c>
      <c r="L800" s="7">
        <f aca="true" t="shared" si="448" ref="L800">L801</f>
        <v>2522.3</v>
      </c>
      <c r="M800" s="7">
        <f t="shared" si="439"/>
        <v>67.02006111332537</v>
      </c>
    </row>
    <row r="801" spans="1:13" ht="47.25">
      <c r="A801" s="26" t="s">
        <v>172</v>
      </c>
      <c r="B801" s="21" t="s">
        <v>338</v>
      </c>
      <c r="C801" s="21" t="s">
        <v>157</v>
      </c>
      <c r="D801" s="21" t="s">
        <v>987</v>
      </c>
      <c r="E801" s="21" t="s">
        <v>173</v>
      </c>
      <c r="F801" s="7"/>
      <c r="G801" s="7"/>
      <c r="H801" s="7"/>
      <c r="I801" s="7"/>
      <c r="J801" s="7"/>
      <c r="K801" s="7">
        <f>'Прил.№4 ведомств.'!G460</f>
        <v>3763.5</v>
      </c>
      <c r="L801" s="7">
        <f>'Прил.№4 ведомств.'!H460</f>
        <v>2522.3</v>
      </c>
      <c r="M801" s="7">
        <f t="shared" si="439"/>
        <v>67.02006111332537</v>
      </c>
    </row>
    <row r="802" spans="1:13" ht="15.75" hidden="1">
      <c r="A802" s="26" t="s">
        <v>174</v>
      </c>
      <c r="B802" s="21" t="s">
        <v>338</v>
      </c>
      <c r="C802" s="21" t="s">
        <v>157</v>
      </c>
      <c r="D802" s="21" t="s">
        <v>987</v>
      </c>
      <c r="E802" s="21" t="s">
        <v>184</v>
      </c>
      <c r="F802" s="7"/>
      <c r="G802" s="7"/>
      <c r="H802" s="7"/>
      <c r="I802" s="7"/>
      <c r="J802" s="7"/>
      <c r="K802" s="7">
        <f>K803</f>
        <v>30</v>
      </c>
      <c r="L802" s="7">
        <f aca="true" t="shared" si="449" ref="L802">L803</f>
        <v>20.5</v>
      </c>
      <c r="M802" s="7">
        <f t="shared" si="439"/>
        <v>68.33333333333333</v>
      </c>
    </row>
    <row r="803" spans="1:13" ht="15.75" hidden="1">
      <c r="A803" s="26" t="s">
        <v>176</v>
      </c>
      <c r="B803" s="21" t="s">
        <v>338</v>
      </c>
      <c r="C803" s="21" t="s">
        <v>157</v>
      </c>
      <c r="D803" s="21" t="s">
        <v>987</v>
      </c>
      <c r="E803" s="21" t="s">
        <v>177</v>
      </c>
      <c r="F803" s="7"/>
      <c r="G803" s="7"/>
      <c r="H803" s="7"/>
      <c r="I803" s="7"/>
      <c r="J803" s="7"/>
      <c r="K803" s="7">
        <f>'Прил.№4 ведомств.'!G462</f>
        <v>30</v>
      </c>
      <c r="L803" s="7">
        <f>'Прил.№4 ведомств.'!H462</f>
        <v>20.5</v>
      </c>
      <c r="M803" s="7">
        <f t="shared" si="439"/>
        <v>68.33333333333333</v>
      </c>
    </row>
    <row r="804" spans="1:13" ht="63">
      <c r="A804" s="31" t="s">
        <v>777</v>
      </c>
      <c r="B804" s="21" t="s">
        <v>338</v>
      </c>
      <c r="C804" s="21" t="s">
        <v>157</v>
      </c>
      <c r="D804" s="21" t="s">
        <v>775</v>
      </c>
      <c r="E804" s="34"/>
      <c r="F804" s="7"/>
      <c r="G804" s="7"/>
      <c r="H804" s="7"/>
      <c r="I804" s="7"/>
      <c r="J804" s="7"/>
      <c r="K804" s="7">
        <f>K805</f>
        <v>793.2</v>
      </c>
      <c r="L804" s="7">
        <f aca="true" t="shared" si="450" ref="L804:L806">L805</f>
        <v>534.5</v>
      </c>
      <c r="M804" s="7">
        <f t="shared" si="439"/>
        <v>67.3852748361069</v>
      </c>
    </row>
    <row r="805" spans="1:13" ht="47.25">
      <c r="A805" s="119" t="s">
        <v>906</v>
      </c>
      <c r="B805" s="21" t="s">
        <v>338</v>
      </c>
      <c r="C805" s="21" t="s">
        <v>157</v>
      </c>
      <c r="D805" s="21" t="s">
        <v>910</v>
      </c>
      <c r="E805" s="34"/>
      <c r="F805" s="7"/>
      <c r="G805" s="7"/>
      <c r="H805" s="7"/>
      <c r="I805" s="7"/>
      <c r="J805" s="7"/>
      <c r="K805" s="7">
        <f>K806</f>
        <v>793.2</v>
      </c>
      <c r="L805" s="7">
        <f t="shared" si="450"/>
        <v>534.5</v>
      </c>
      <c r="M805" s="7">
        <f t="shared" si="439"/>
        <v>67.3852748361069</v>
      </c>
    </row>
    <row r="806" spans="1:13" ht="31.5">
      <c r="A806" s="26" t="s">
        <v>170</v>
      </c>
      <c r="B806" s="21" t="s">
        <v>338</v>
      </c>
      <c r="C806" s="21" t="s">
        <v>157</v>
      </c>
      <c r="D806" s="21" t="s">
        <v>910</v>
      </c>
      <c r="E806" s="34" t="s">
        <v>171</v>
      </c>
      <c r="F806" s="7"/>
      <c r="G806" s="7"/>
      <c r="H806" s="7"/>
      <c r="I806" s="7"/>
      <c r="J806" s="7"/>
      <c r="K806" s="7">
        <f>K807</f>
        <v>793.2</v>
      </c>
      <c r="L806" s="7">
        <f t="shared" si="450"/>
        <v>534.5</v>
      </c>
      <c r="M806" s="7">
        <f t="shared" si="439"/>
        <v>67.3852748361069</v>
      </c>
    </row>
    <row r="807" spans="1:13" ht="47.25">
      <c r="A807" s="26" t="s">
        <v>172</v>
      </c>
      <c r="B807" s="21" t="s">
        <v>338</v>
      </c>
      <c r="C807" s="21" t="s">
        <v>157</v>
      </c>
      <c r="D807" s="21" t="s">
        <v>910</v>
      </c>
      <c r="E807" s="34" t="s">
        <v>173</v>
      </c>
      <c r="F807" s="7"/>
      <c r="G807" s="7"/>
      <c r="H807" s="7"/>
      <c r="I807" s="7"/>
      <c r="J807" s="7"/>
      <c r="K807" s="7">
        <f>'Прил.№4 ведомств.'!G470</f>
        <v>793.2</v>
      </c>
      <c r="L807" s="7">
        <f>'Прил.№4 ведомств.'!H470</f>
        <v>534.5</v>
      </c>
      <c r="M807" s="7">
        <f t="shared" si="439"/>
        <v>67.3852748361069</v>
      </c>
    </row>
    <row r="808" spans="1:13" ht="15.75">
      <c r="A808" s="31" t="s">
        <v>160</v>
      </c>
      <c r="B808" s="42" t="s">
        <v>338</v>
      </c>
      <c r="C808" s="42" t="s">
        <v>157</v>
      </c>
      <c r="D808" s="42" t="s">
        <v>161</v>
      </c>
      <c r="E808" s="42"/>
      <c r="F808" s="7" t="e">
        <f aca="true" t="shared" si="451" ref="F808:L808">F809</f>
        <v>#REF!</v>
      </c>
      <c r="G808" s="7" t="e">
        <f t="shared" si="451"/>
        <v>#REF!</v>
      </c>
      <c r="H808" s="7" t="e">
        <f t="shared" si="451"/>
        <v>#REF!</v>
      </c>
      <c r="I808" s="7" t="e">
        <f t="shared" si="451"/>
        <v>#REF!</v>
      </c>
      <c r="J808" s="7" t="e">
        <f t="shared" si="451"/>
        <v>#REF!</v>
      </c>
      <c r="K808" s="7">
        <f t="shared" si="451"/>
        <v>2016.5</v>
      </c>
      <c r="L808" s="7">
        <f t="shared" si="451"/>
        <v>1364.5</v>
      </c>
      <c r="M808" s="7">
        <f t="shared" si="439"/>
        <v>67.66674931812547</v>
      </c>
    </row>
    <row r="809" spans="1:13" ht="31.5">
      <c r="A809" s="31" t="s">
        <v>224</v>
      </c>
      <c r="B809" s="42" t="s">
        <v>338</v>
      </c>
      <c r="C809" s="42" t="s">
        <v>157</v>
      </c>
      <c r="D809" s="42" t="s">
        <v>225</v>
      </c>
      <c r="E809" s="42"/>
      <c r="F809" s="7" t="e">
        <f aca="true" t="shared" si="452" ref="F809:K809">F812+F814+F817+F819+F822+F823+F826</f>
        <v>#REF!</v>
      </c>
      <c r="G809" s="7" t="e">
        <f t="shared" si="452"/>
        <v>#REF!</v>
      </c>
      <c r="H809" s="7" t="e">
        <f t="shared" si="452"/>
        <v>#REF!</v>
      </c>
      <c r="I809" s="7" t="e">
        <f t="shared" si="452"/>
        <v>#REF!</v>
      </c>
      <c r="J809" s="7" t="e">
        <f t="shared" si="452"/>
        <v>#REF!</v>
      </c>
      <c r="K809" s="7">
        <f t="shared" si="452"/>
        <v>2016.5</v>
      </c>
      <c r="L809" s="7">
        <f aca="true" t="shared" si="453" ref="L809">L812+L814+L817+L819+L822+L823+L826</f>
        <v>1364.5</v>
      </c>
      <c r="M809" s="7">
        <f t="shared" si="439"/>
        <v>67.66674931812547</v>
      </c>
    </row>
    <row r="810" spans="1:13" ht="31.5" customHeight="1" hidden="1">
      <c r="A810" s="69" t="s">
        <v>366</v>
      </c>
      <c r="B810" s="42" t="s">
        <v>338</v>
      </c>
      <c r="C810" s="42" t="s">
        <v>157</v>
      </c>
      <c r="D810" s="42" t="s">
        <v>367</v>
      </c>
      <c r="E810" s="42"/>
      <c r="F810" s="7">
        <f aca="true" t="shared" si="454" ref="F810:K810">F811+F813</f>
        <v>0</v>
      </c>
      <c r="G810" s="7">
        <f t="shared" si="454"/>
        <v>0</v>
      </c>
      <c r="H810" s="7">
        <f t="shared" si="454"/>
        <v>0</v>
      </c>
      <c r="I810" s="7">
        <f t="shared" si="454"/>
        <v>0</v>
      </c>
      <c r="J810" s="7">
        <f t="shared" si="454"/>
        <v>0</v>
      </c>
      <c r="K810" s="7">
        <f t="shared" si="454"/>
        <v>0</v>
      </c>
      <c r="L810" s="7">
        <f aca="true" t="shared" si="455" ref="L810">L811+L813</f>
        <v>0</v>
      </c>
      <c r="M810" s="7" t="e">
        <f t="shared" si="439"/>
        <v>#DIV/0!</v>
      </c>
    </row>
    <row r="811" spans="1:13" ht="31.5" customHeight="1" hidden="1">
      <c r="A811" s="31" t="s">
        <v>170</v>
      </c>
      <c r="B811" s="42" t="s">
        <v>338</v>
      </c>
      <c r="C811" s="42" t="s">
        <v>157</v>
      </c>
      <c r="D811" s="42" t="s">
        <v>367</v>
      </c>
      <c r="E811" s="42" t="s">
        <v>171</v>
      </c>
      <c r="F811" s="7">
        <f aca="true" t="shared" si="456" ref="F811:L811">F812</f>
        <v>0</v>
      </c>
      <c r="G811" s="7">
        <f t="shared" si="456"/>
        <v>0</v>
      </c>
      <c r="H811" s="7">
        <f t="shared" si="456"/>
        <v>0</v>
      </c>
      <c r="I811" s="7">
        <f t="shared" si="456"/>
        <v>0</v>
      </c>
      <c r="J811" s="7">
        <f t="shared" si="456"/>
        <v>0</v>
      </c>
      <c r="K811" s="7">
        <f t="shared" si="456"/>
        <v>0</v>
      </c>
      <c r="L811" s="7">
        <f t="shared" si="456"/>
        <v>0</v>
      </c>
      <c r="M811" s="7" t="e">
        <f t="shared" si="439"/>
        <v>#DIV/0!</v>
      </c>
    </row>
    <row r="812" spans="1:13" ht="47.25" customHeight="1" hidden="1">
      <c r="A812" s="31" t="s">
        <v>172</v>
      </c>
      <c r="B812" s="42" t="s">
        <v>338</v>
      </c>
      <c r="C812" s="42" t="s">
        <v>157</v>
      </c>
      <c r="D812" s="42" t="s">
        <v>367</v>
      </c>
      <c r="E812" s="42" t="s">
        <v>173</v>
      </c>
      <c r="F812" s="7">
        <v>0</v>
      </c>
      <c r="G812" s="7">
        <v>0</v>
      </c>
      <c r="H812" s="7">
        <v>0</v>
      </c>
      <c r="I812" s="7">
        <v>0</v>
      </c>
      <c r="J812" s="7">
        <v>0</v>
      </c>
      <c r="K812" s="7">
        <v>0</v>
      </c>
      <c r="L812" s="7">
        <v>0</v>
      </c>
      <c r="M812" s="7" t="e">
        <f t="shared" si="439"/>
        <v>#DIV/0!</v>
      </c>
    </row>
    <row r="813" spans="1:13" ht="47.25" customHeight="1" hidden="1">
      <c r="A813" s="31" t="s">
        <v>311</v>
      </c>
      <c r="B813" s="42" t="s">
        <v>338</v>
      </c>
      <c r="C813" s="42" t="s">
        <v>157</v>
      </c>
      <c r="D813" s="42" t="s">
        <v>367</v>
      </c>
      <c r="E813" s="42" t="s">
        <v>312</v>
      </c>
      <c r="F813" s="7">
        <f aca="true" t="shared" si="457" ref="F813:L813">F814</f>
        <v>0</v>
      </c>
      <c r="G813" s="7">
        <f t="shared" si="457"/>
        <v>0</v>
      </c>
      <c r="H813" s="7">
        <f t="shared" si="457"/>
        <v>0</v>
      </c>
      <c r="I813" s="7">
        <f t="shared" si="457"/>
        <v>0</v>
      </c>
      <c r="J813" s="7">
        <f t="shared" si="457"/>
        <v>0</v>
      </c>
      <c r="K813" s="7">
        <f t="shared" si="457"/>
        <v>0</v>
      </c>
      <c r="L813" s="7">
        <f t="shared" si="457"/>
        <v>0</v>
      </c>
      <c r="M813" s="7" t="e">
        <f t="shared" si="439"/>
        <v>#DIV/0!</v>
      </c>
    </row>
    <row r="814" spans="1:13" ht="15.75" customHeight="1" hidden="1">
      <c r="A814" s="31" t="s">
        <v>313</v>
      </c>
      <c r="B814" s="42" t="s">
        <v>338</v>
      </c>
      <c r="C814" s="42" t="s">
        <v>157</v>
      </c>
      <c r="D814" s="42" t="s">
        <v>367</v>
      </c>
      <c r="E814" s="42" t="s">
        <v>314</v>
      </c>
      <c r="F814" s="7">
        <v>0</v>
      </c>
      <c r="G814" s="7">
        <v>0</v>
      </c>
      <c r="H814" s="7">
        <v>0</v>
      </c>
      <c r="I814" s="7">
        <v>0</v>
      </c>
      <c r="J814" s="7">
        <v>0</v>
      </c>
      <c r="K814" s="7">
        <v>0</v>
      </c>
      <c r="L814" s="7">
        <v>0</v>
      </c>
      <c r="M814" s="7" t="e">
        <f t="shared" si="439"/>
        <v>#DIV/0!</v>
      </c>
    </row>
    <row r="815" spans="1:13" ht="31.5">
      <c r="A815" s="31" t="s">
        <v>354</v>
      </c>
      <c r="B815" s="42" t="s">
        <v>338</v>
      </c>
      <c r="C815" s="42" t="s">
        <v>157</v>
      </c>
      <c r="D815" s="42" t="s">
        <v>369</v>
      </c>
      <c r="E815" s="42"/>
      <c r="F815" s="7" t="e">
        <f aca="true" t="shared" si="458" ref="F815:K815">F818+F816</f>
        <v>#REF!</v>
      </c>
      <c r="G815" s="7" t="e">
        <f t="shared" si="458"/>
        <v>#REF!</v>
      </c>
      <c r="H815" s="7" t="e">
        <f t="shared" si="458"/>
        <v>#REF!</v>
      </c>
      <c r="I815" s="7" t="e">
        <f t="shared" si="458"/>
        <v>#REF!</v>
      </c>
      <c r="J815" s="7" t="e">
        <f t="shared" si="458"/>
        <v>#REF!</v>
      </c>
      <c r="K815" s="7">
        <f t="shared" si="458"/>
        <v>69.1</v>
      </c>
      <c r="L815" s="7">
        <f aca="true" t="shared" si="459" ref="L815">L818+L816</f>
        <v>69.1</v>
      </c>
      <c r="M815" s="7">
        <f t="shared" si="439"/>
        <v>100</v>
      </c>
    </row>
    <row r="816" spans="1:13" ht="31.5" customHeight="1" hidden="1">
      <c r="A816" s="31" t="s">
        <v>170</v>
      </c>
      <c r="B816" s="42" t="s">
        <v>338</v>
      </c>
      <c r="C816" s="42" t="s">
        <v>157</v>
      </c>
      <c r="D816" s="42" t="s">
        <v>369</v>
      </c>
      <c r="E816" s="42" t="s">
        <v>171</v>
      </c>
      <c r="F816" s="7">
        <f aca="true" t="shared" si="460" ref="F816:L816">F817</f>
        <v>0</v>
      </c>
      <c r="G816" s="7">
        <f t="shared" si="460"/>
        <v>0</v>
      </c>
      <c r="H816" s="7">
        <f t="shared" si="460"/>
        <v>0</v>
      </c>
      <c r="I816" s="7">
        <f t="shared" si="460"/>
        <v>0</v>
      </c>
      <c r="J816" s="7">
        <f t="shared" si="460"/>
        <v>0</v>
      </c>
      <c r="K816" s="7">
        <f t="shared" si="460"/>
        <v>0</v>
      </c>
      <c r="L816" s="7">
        <f t="shared" si="460"/>
        <v>0</v>
      </c>
      <c r="M816" s="7" t="e">
        <f t="shared" si="439"/>
        <v>#DIV/0!</v>
      </c>
    </row>
    <row r="817" spans="1:13" ht="47.25" customHeight="1" hidden="1">
      <c r="A817" s="31" t="s">
        <v>172</v>
      </c>
      <c r="B817" s="42" t="s">
        <v>338</v>
      </c>
      <c r="C817" s="42" t="s">
        <v>157</v>
      </c>
      <c r="D817" s="42" t="s">
        <v>369</v>
      </c>
      <c r="E817" s="42" t="s">
        <v>173</v>
      </c>
      <c r="F817" s="7"/>
      <c r="G817" s="7"/>
      <c r="H817" s="7"/>
      <c r="I817" s="7"/>
      <c r="J817" s="7"/>
      <c r="K817" s="7"/>
      <c r="L817" s="7"/>
      <c r="M817" s="7" t="e">
        <f t="shared" si="439"/>
        <v>#DIV/0!</v>
      </c>
    </row>
    <row r="818" spans="1:13" ht="31.5">
      <c r="A818" s="26" t="s">
        <v>170</v>
      </c>
      <c r="B818" s="42" t="s">
        <v>338</v>
      </c>
      <c r="C818" s="42" t="s">
        <v>157</v>
      </c>
      <c r="D818" s="42" t="s">
        <v>369</v>
      </c>
      <c r="E818" s="42" t="s">
        <v>171</v>
      </c>
      <c r="F818" s="7" t="e">
        <f aca="true" t="shared" si="461" ref="F818:L818">F819</f>
        <v>#REF!</v>
      </c>
      <c r="G818" s="7" t="e">
        <f t="shared" si="461"/>
        <v>#REF!</v>
      </c>
      <c r="H818" s="7" t="e">
        <f t="shared" si="461"/>
        <v>#REF!</v>
      </c>
      <c r="I818" s="7" t="e">
        <f t="shared" si="461"/>
        <v>#REF!</v>
      </c>
      <c r="J818" s="7" t="e">
        <f t="shared" si="461"/>
        <v>#REF!</v>
      </c>
      <c r="K818" s="7">
        <f t="shared" si="461"/>
        <v>69.1</v>
      </c>
      <c r="L818" s="7">
        <f t="shared" si="461"/>
        <v>69.1</v>
      </c>
      <c r="M818" s="7">
        <f t="shared" si="439"/>
        <v>100</v>
      </c>
    </row>
    <row r="819" spans="1:13" ht="47.25">
      <c r="A819" s="26" t="s">
        <v>172</v>
      </c>
      <c r="B819" s="42" t="s">
        <v>338</v>
      </c>
      <c r="C819" s="42" t="s">
        <v>157</v>
      </c>
      <c r="D819" s="42" t="s">
        <v>369</v>
      </c>
      <c r="E819" s="42" t="s">
        <v>173</v>
      </c>
      <c r="F819" s="7" t="e">
        <f>#REF!</f>
        <v>#REF!</v>
      </c>
      <c r="G819" s="7" t="e">
        <f>#REF!</f>
        <v>#REF!</v>
      </c>
      <c r="H819" s="7" t="e">
        <f>#REF!</f>
        <v>#REF!</v>
      </c>
      <c r="I819" s="7" t="e">
        <f>#REF!</f>
        <v>#REF!</v>
      </c>
      <c r="J819" s="7" t="e">
        <f>#REF!</f>
        <v>#REF!</v>
      </c>
      <c r="K819" s="7">
        <f>'Прил.№4 ведомств.'!G482</f>
        <v>69.1</v>
      </c>
      <c r="L819" s="7">
        <f>'Прил.№4 ведомств.'!H482</f>
        <v>69.1</v>
      </c>
      <c r="M819" s="7">
        <f t="shared" si="439"/>
        <v>100</v>
      </c>
    </row>
    <row r="820" spans="1:13" ht="79.5" customHeight="1">
      <c r="A820" s="31" t="s">
        <v>667</v>
      </c>
      <c r="B820" s="42" t="s">
        <v>338</v>
      </c>
      <c r="C820" s="42" t="s">
        <v>157</v>
      </c>
      <c r="D820" s="42" t="s">
        <v>371</v>
      </c>
      <c r="E820" s="42"/>
      <c r="F820" s="7" t="e">
        <f>F821</f>
        <v>#REF!</v>
      </c>
      <c r="G820" s="7" t="e">
        <f aca="true" t="shared" si="462" ref="G820:L821">G821</f>
        <v>#REF!</v>
      </c>
      <c r="H820" s="7" t="e">
        <f t="shared" si="462"/>
        <v>#REF!</v>
      </c>
      <c r="I820" s="7" t="e">
        <f t="shared" si="462"/>
        <v>#REF!</v>
      </c>
      <c r="J820" s="7" t="e">
        <f t="shared" si="462"/>
        <v>#REF!</v>
      </c>
      <c r="K820" s="7">
        <f t="shared" si="462"/>
        <v>273.7</v>
      </c>
      <c r="L820" s="7">
        <f t="shared" si="462"/>
        <v>161.7</v>
      </c>
      <c r="M820" s="7">
        <f t="shared" si="439"/>
        <v>59.07928388746802</v>
      </c>
    </row>
    <row r="821" spans="1:13" ht="78.75">
      <c r="A821" s="26" t="s">
        <v>166</v>
      </c>
      <c r="B821" s="42" t="s">
        <v>338</v>
      </c>
      <c r="C821" s="42" t="s">
        <v>157</v>
      </c>
      <c r="D821" s="42" t="s">
        <v>371</v>
      </c>
      <c r="E821" s="42" t="s">
        <v>167</v>
      </c>
      <c r="F821" s="7" t="e">
        <f>F822</f>
        <v>#REF!</v>
      </c>
      <c r="G821" s="7" t="e">
        <f t="shared" si="462"/>
        <v>#REF!</v>
      </c>
      <c r="H821" s="7" t="e">
        <f t="shared" si="462"/>
        <v>#REF!</v>
      </c>
      <c r="I821" s="7" t="e">
        <f t="shared" si="462"/>
        <v>#REF!</v>
      </c>
      <c r="J821" s="7" t="e">
        <f t="shared" si="462"/>
        <v>#REF!</v>
      </c>
      <c r="K821" s="7">
        <f t="shared" si="462"/>
        <v>273.7</v>
      </c>
      <c r="L821" s="7">
        <f t="shared" si="462"/>
        <v>161.7</v>
      </c>
      <c r="M821" s="7">
        <f t="shared" si="439"/>
        <v>59.07928388746802</v>
      </c>
    </row>
    <row r="822" spans="1:13" ht="31.5">
      <c r="A822" s="26" t="s">
        <v>247</v>
      </c>
      <c r="B822" s="42" t="s">
        <v>338</v>
      </c>
      <c r="C822" s="42" t="s">
        <v>157</v>
      </c>
      <c r="D822" s="42" t="s">
        <v>371</v>
      </c>
      <c r="E822" s="42" t="s">
        <v>248</v>
      </c>
      <c r="F822" s="7" t="e">
        <f>#REF!</f>
        <v>#REF!</v>
      </c>
      <c r="G822" s="7" t="e">
        <f>#REF!</f>
        <v>#REF!</v>
      </c>
      <c r="H822" s="7" t="e">
        <f>#REF!</f>
        <v>#REF!</v>
      </c>
      <c r="I822" s="7" t="e">
        <f>#REF!</f>
        <v>#REF!</v>
      </c>
      <c r="J822" s="7" t="e">
        <f>#REF!</f>
        <v>#REF!</v>
      </c>
      <c r="K822" s="7">
        <f>'Прил.№4 ведомств.'!G485</f>
        <v>273.7</v>
      </c>
      <c r="L822" s="7">
        <f>'Прил.№4 ведомств.'!H485</f>
        <v>161.7</v>
      </c>
      <c r="M822" s="7">
        <f t="shared" si="439"/>
        <v>59.07928388746802</v>
      </c>
    </row>
    <row r="823" spans="1:13" ht="94.5">
      <c r="A823" s="33" t="s">
        <v>332</v>
      </c>
      <c r="B823" s="42" t="s">
        <v>338</v>
      </c>
      <c r="C823" s="42" t="s">
        <v>157</v>
      </c>
      <c r="D823" s="21" t="s">
        <v>333</v>
      </c>
      <c r="E823" s="42"/>
      <c r="F823" s="7" t="e">
        <f>F824</f>
        <v>#REF!</v>
      </c>
      <c r="G823" s="7" t="e">
        <f aca="true" t="shared" si="463" ref="G823:L824">G824</f>
        <v>#REF!</v>
      </c>
      <c r="H823" s="7" t="e">
        <f t="shared" si="463"/>
        <v>#REF!</v>
      </c>
      <c r="I823" s="7" t="e">
        <f t="shared" si="463"/>
        <v>#REF!</v>
      </c>
      <c r="J823" s="7" t="e">
        <f t="shared" si="463"/>
        <v>#REF!</v>
      </c>
      <c r="K823" s="7">
        <f t="shared" si="463"/>
        <v>1673.7</v>
      </c>
      <c r="L823" s="7">
        <f t="shared" si="463"/>
        <v>1133.7</v>
      </c>
      <c r="M823" s="7">
        <f t="shared" si="439"/>
        <v>67.73615343251478</v>
      </c>
    </row>
    <row r="824" spans="1:13" ht="78.75">
      <c r="A824" s="26" t="s">
        <v>166</v>
      </c>
      <c r="B824" s="42" t="s">
        <v>338</v>
      </c>
      <c r="C824" s="42" t="s">
        <v>157</v>
      </c>
      <c r="D824" s="21" t="s">
        <v>333</v>
      </c>
      <c r="E824" s="42" t="s">
        <v>167</v>
      </c>
      <c r="F824" s="7" t="e">
        <f>F825</f>
        <v>#REF!</v>
      </c>
      <c r="G824" s="7" t="e">
        <f t="shared" si="463"/>
        <v>#REF!</v>
      </c>
      <c r="H824" s="7" t="e">
        <f t="shared" si="463"/>
        <v>#REF!</v>
      </c>
      <c r="I824" s="7" t="e">
        <f t="shared" si="463"/>
        <v>#REF!</v>
      </c>
      <c r="J824" s="7" t="e">
        <f t="shared" si="463"/>
        <v>#REF!</v>
      </c>
      <c r="K824" s="7">
        <f t="shared" si="463"/>
        <v>1673.7</v>
      </c>
      <c r="L824" s="7">
        <f t="shared" si="463"/>
        <v>1133.7</v>
      </c>
      <c r="M824" s="7">
        <f t="shared" si="439"/>
        <v>67.73615343251478</v>
      </c>
    </row>
    <row r="825" spans="1:13" ht="31.5">
      <c r="A825" s="26" t="s">
        <v>247</v>
      </c>
      <c r="B825" s="42" t="s">
        <v>338</v>
      </c>
      <c r="C825" s="42" t="s">
        <v>157</v>
      </c>
      <c r="D825" s="21" t="s">
        <v>333</v>
      </c>
      <c r="E825" s="42" t="s">
        <v>248</v>
      </c>
      <c r="F825" s="7" t="e">
        <f>#REF!</f>
        <v>#REF!</v>
      </c>
      <c r="G825" s="7" t="e">
        <f>#REF!</f>
        <v>#REF!</v>
      </c>
      <c r="H825" s="7" t="e">
        <f>#REF!</f>
        <v>#REF!</v>
      </c>
      <c r="I825" s="7" t="e">
        <f>#REF!</f>
        <v>#REF!</v>
      </c>
      <c r="J825" s="7" t="e">
        <f>#REF!</f>
        <v>#REF!</v>
      </c>
      <c r="K825" s="7">
        <f>'Прил.№4 ведомств.'!G486</f>
        <v>1673.7</v>
      </c>
      <c r="L825" s="7">
        <f>'Прил.№4 ведомств.'!H486</f>
        <v>1133.7</v>
      </c>
      <c r="M825" s="7">
        <f t="shared" si="439"/>
        <v>67.73615343251478</v>
      </c>
    </row>
    <row r="826" spans="1:13" ht="15.75" hidden="1">
      <c r="A826" s="33" t="s">
        <v>746</v>
      </c>
      <c r="B826" s="42" t="s">
        <v>338</v>
      </c>
      <c r="C826" s="42" t="s">
        <v>157</v>
      </c>
      <c r="D826" s="21" t="s">
        <v>747</v>
      </c>
      <c r="E826" s="42"/>
      <c r="F826" s="7" t="e">
        <f>F827</f>
        <v>#REF!</v>
      </c>
      <c r="G826" s="7" t="e">
        <f aca="true" t="shared" si="464" ref="G826:L827">G827</f>
        <v>#REF!</v>
      </c>
      <c r="H826" s="7" t="e">
        <f t="shared" si="464"/>
        <v>#REF!</v>
      </c>
      <c r="I826" s="7" t="e">
        <f t="shared" si="464"/>
        <v>#REF!</v>
      </c>
      <c r="J826" s="7" t="e">
        <f t="shared" si="464"/>
        <v>#REF!</v>
      </c>
      <c r="K826" s="7">
        <f t="shared" si="464"/>
        <v>0</v>
      </c>
      <c r="L826" s="7">
        <f t="shared" si="464"/>
        <v>0</v>
      </c>
      <c r="M826" s="4" t="e">
        <f t="shared" si="439"/>
        <v>#DIV/0!</v>
      </c>
    </row>
    <row r="827" spans="1:13" ht="47.25" hidden="1">
      <c r="A827" s="26" t="s">
        <v>311</v>
      </c>
      <c r="B827" s="42" t="s">
        <v>338</v>
      </c>
      <c r="C827" s="42" t="s">
        <v>157</v>
      </c>
      <c r="D827" s="21" t="s">
        <v>747</v>
      </c>
      <c r="E827" s="42" t="s">
        <v>312</v>
      </c>
      <c r="F827" s="7" t="e">
        <f>F828</f>
        <v>#REF!</v>
      </c>
      <c r="G827" s="7" t="e">
        <f t="shared" si="464"/>
        <v>#REF!</v>
      </c>
      <c r="H827" s="7" t="e">
        <f t="shared" si="464"/>
        <v>#REF!</v>
      </c>
      <c r="I827" s="7" t="e">
        <f t="shared" si="464"/>
        <v>#REF!</v>
      </c>
      <c r="J827" s="7" t="e">
        <f t="shared" si="464"/>
        <v>#REF!</v>
      </c>
      <c r="K827" s="7">
        <f t="shared" si="464"/>
        <v>0</v>
      </c>
      <c r="L827" s="7">
        <f t="shared" si="464"/>
        <v>0</v>
      </c>
      <c r="M827" s="4" t="e">
        <f t="shared" si="439"/>
        <v>#DIV/0!</v>
      </c>
    </row>
    <row r="828" spans="1:13" ht="15.75" hidden="1">
      <c r="A828" s="26" t="s">
        <v>313</v>
      </c>
      <c r="B828" s="42" t="s">
        <v>338</v>
      </c>
      <c r="C828" s="42" t="s">
        <v>157</v>
      </c>
      <c r="D828" s="21" t="s">
        <v>747</v>
      </c>
      <c r="E828" s="42" t="s">
        <v>314</v>
      </c>
      <c r="F828" s="7" t="e">
        <f>#REF!</f>
        <v>#REF!</v>
      </c>
      <c r="G828" s="7" t="e">
        <f>#REF!</f>
        <v>#REF!</v>
      </c>
      <c r="H828" s="7" t="e">
        <f>#REF!</f>
        <v>#REF!</v>
      </c>
      <c r="I828" s="7" t="e">
        <f>#REF!</f>
        <v>#REF!</v>
      </c>
      <c r="J828" s="7" t="e">
        <f>#REF!</f>
        <v>#REF!</v>
      </c>
      <c r="K828" s="7">
        <f>'Прил.№4 ведомств.'!G491</f>
        <v>0</v>
      </c>
      <c r="L828" s="7">
        <f>'Прил.№4 ведомств.'!H491</f>
        <v>0</v>
      </c>
      <c r="M828" s="4" t="e">
        <f t="shared" si="439"/>
        <v>#DIV/0!</v>
      </c>
    </row>
    <row r="829" spans="1:13" ht="31.5">
      <c r="A829" s="43" t="s">
        <v>372</v>
      </c>
      <c r="B829" s="8" t="s">
        <v>338</v>
      </c>
      <c r="C829" s="8" t="s">
        <v>189</v>
      </c>
      <c r="D829" s="8"/>
      <c r="E829" s="8"/>
      <c r="F829" s="4" t="e">
        <f>F849+F830+F840</f>
        <v>#REF!</v>
      </c>
      <c r="G829" s="4" t="e">
        <f>G849+G830+G840</f>
        <v>#REF!</v>
      </c>
      <c r="H829" s="4" t="e">
        <f>H849+H830+H840</f>
        <v>#REF!</v>
      </c>
      <c r="I829" s="4" t="e">
        <f>I849+I830+I840</f>
        <v>#REF!</v>
      </c>
      <c r="J829" s="4" t="e">
        <f>J849+J830+J840</f>
        <v>#REF!</v>
      </c>
      <c r="K829" s="4">
        <f>K849+K830+K840+K844</f>
        <v>18863.1</v>
      </c>
      <c r="L829" s="4">
        <f aca="true" t="shared" si="465" ref="L829">L849+L830+L840+L844</f>
        <v>12791.099999999999</v>
      </c>
      <c r="M829" s="4">
        <f t="shared" si="439"/>
        <v>67.8101690602287</v>
      </c>
    </row>
    <row r="830" spans="1:13" ht="47.25" hidden="1">
      <c r="A830" s="26" t="s">
        <v>373</v>
      </c>
      <c r="B830" s="42" t="s">
        <v>338</v>
      </c>
      <c r="C830" s="42" t="s">
        <v>189</v>
      </c>
      <c r="D830" s="21" t="s">
        <v>374</v>
      </c>
      <c r="E830" s="21"/>
      <c r="F830" s="7" t="e">
        <f aca="true" t="shared" si="466" ref="F830:K830">F831+F834+F837</f>
        <v>#REF!</v>
      </c>
      <c r="G830" s="7" t="e">
        <f t="shared" si="466"/>
        <v>#REF!</v>
      </c>
      <c r="H830" s="7" t="e">
        <f t="shared" si="466"/>
        <v>#REF!</v>
      </c>
      <c r="I830" s="7" t="e">
        <f t="shared" si="466"/>
        <v>#REF!</v>
      </c>
      <c r="J830" s="7" t="e">
        <f t="shared" si="466"/>
        <v>#REF!</v>
      </c>
      <c r="K830" s="7">
        <f t="shared" si="466"/>
        <v>0</v>
      </c>
      <c r="L830" s="7">
        <f aca="true" t="shared" si="467" ref="L830">L831+L834+L837</f>
        <v>0</v>
      </c>
      <c r="M830" s="4" t="e">
        <f t="shared" si="439"/>
        <v>#DIV/0!</v>
      </c>
    </row>
    <row r="831" spans="1:13" ht="31.5" customHeight="1" hidden="1">
      <c r="A831" s="26" t="s">
        <v>375</v>
      </c>
      <c r="B831" s="42" t="s">
        <v>338</v>
      </c>
      <c r="C831" s="42" t="s">
        <v>189</v>
      </c>
      <c r="D831" s="21" t="s">
        <v>376</v>
      </c>
      <c r="E831" s="21"/>
      <c r="F831" s="7" t="e">
        <f>F832</f>
        <v>#REF!</v>
      </c>
      <c r="G831" s="7" t="e">
        <f aca="true" t="shared" si="468" ref="G831:L832">G832</f>
        <v>#REF!</v>
      </c>
      <c r="H831" s="7" t="e">
        <f t="shared" si="468"/>
        <v>#REF!</v>
      </c>
      <c r="I831" s="7" t="e">
        <f t="shared" si="468"/>
        <v>#REF!</v>
      </c>
      <c r="J831" s="7" t="e">
        <f t="shared" si="468"/>
        <v>#REF!</v>
      </c>
      <c r="K831" s="7">
        <f t="shared" si="468"/>
        <v>0</v>
      </c>
      <c r="L831" s="7">
        <f t="shared" si="468"/>
        <v>0</v>
      </c>
      <c r="M831" s="4" t="e">
        <f t="shared" si="439"/>
        <v>#DIV/0!</v>
      </c>
    </row>
    <row r="832" spans="1:13" ht="31.5" customHeight="1" hidden="1">
      <c r="A832" s="26" t="s">
        <v>170</v>
      </c>
      <c r="B832" s="42" t="s">
        <v>338</v>
      </c>
      <c r="C832" s="42" t="s">
        <v>189</v>
      </c>
      <c r="D832" s="21" t="s">
        <v>376</v>
      </c>
      <c r="E832" s="21" t="s">
        <v>171</v>
      </c>
      <c r="F832" s="7" t="e">
        <f>F833</f>
        <v>#REF!</v>
      </c>
      <c r="G832" s="7" t="e">
        <f t="shared" si="468"/>
        <v>#REF!</v>
      </c>
      <c r="H832" s="7" t="e">
        <f t="shared" si="468"/>
        <v>#REF!</v>
      </c>
      <c r="I832" s="7" t="e">
        <f t="shared" si="468"/>
        <v>#REF!</v>
      </c>
      <c r="J832" s="7" t="e">
        <f t="shared" si="468"/>
        <v>#REF!</v>
      </c>
      <c r="K832" s="7">
        <f t="shared" si="468"/>
        <v>0</v>
      </c>
      <c r="L832" s="7">
        <f t="shared" si="468"/>
        <v>0</v>
      </c>
      <c r="M832" s="4" t="e">
        <f t="shared" si="439"/>
        <v>#DIV/0!</v>
      </c>
    </row>
    <row r="833" spans="1:13" ht="47.25" customHeight="1" hidden="1">
      <c r="A833" s="26" t="s">
        <v>172</v>
      </c>
      <c r="B833" s="42" t="s">
        <v>338</v>
      </c>
      <c r="C833" s="42" t="s">
        <v>189</v>
      </c>
      <c r="D833" s="21" t="s">
        <v>376</v>
      </c>
      <c r="E833" s="21" t="s">
        <v>173</v>
      </c>
      <c r="F833" s="7" t="e">
        <f>#REF!</f>
        <v>#REF!</v>
      </c>
      <c r="G833" s="7" t="e">
        <f>#REF!</f>
        <v>#REF!</v>
      </c>
      <c r="H833" s="7" t="e">
        <f>#REF!</f>
        <v>#REF!</v>
      </c>
      <c r="I833" s="7" t="e">
        <f>#REF!</f>
        <v>#REF!</v>
      </c>
      <c r="J833" s="7" t="e">
        <f>#REF!</f>
        <v>#REF!</v>
      </c>
      <c r="K833" s="7">
        <f>'Прил.№4 ведомств.'!G496</f>
        <v>0</v>
      </c>
      <c r="L833" s="7">
        <f>'Прил.№4 ведомств.'!H496</f>
        <v>0</v>
      </c>
      <c r="M833" s="4" t="e">
        <f t="shared" si="439"/>
        <v>#DIV/0!</v>
      </c>
    </row>
    <row r="834" spans="1:13" ht="31.5" hidden="1">
      <c r="A834" s="26" t="s">
        <v>377</v>
      </c>
      <c r="B834" s="42" t="s">
        <v>338</v>
      </c>
      <c r="C834" s="42" t="s">
        <v>189</v>
      </c>
      <c r="D834" s="21" t="s">
        <v>378</v>
      </c>
      <c r="E834" s="21"/>
      <c r="F834" s="7" t="e">
        <f>F835</f>
        <v>#REF!</v>
      </c>
      <c r="G834" s="7" t="e">
        <f aca="true" t="shared" si="469" ref="G834:L835">G835</f>
        <v>#REF!</v>
      </c>
      <c r="H834" s="7" t="e">
        <f t="shared" si="469"/>
        <v>#REF!</v>
      </c>
      <c r="I834" s="7" t="e">
        <f t="shared" si="469"/>
        <v>#REF!</v>
      </c>
      <c r="J834" s="7" t="e">
        <f t="shared" si="469"/>
        <v>#REF!</v>
      </c>
      <c r="K834" s="7">
        <f t="shared" si="469"/>
        <v>0</v>
      </c>
      <c r="L834" s="7">
        <f t="shared" si="469"/>
        <v>0</v>
      </c>
      <c r="M834" s="4" t="e">
        <f t="shared" si="439"/>
        <v>#DIV/0!</v>
      </c>
    </row>
    <row r="835" spans="1:13" ht="31.5" hidden="1">
      <c r="A835" s="26" t="s">
        <v>170</v>
      </c>
      <c r="B835" s="42" t="s">
        <v>338</v>
      </c>
      <c r="C835" s="42" t="s">
        <v>189</v>
      </c>
      <c r="D835" s="21" t="s">
        <v>378</v>
      </c>
      <c r="E835" s="21" t="s">
        <v>171</v>
      </c>
      <c r="F835" s="7" t="e">
        <f>F836</f>
        <v>#REF!</v>
      </c>
      <c r="G835" s="7" t="e">
        <f t="shared" si="469"/>
        <v>#REF!</v>
      </c>
      <c r="H835" s="7" t="e">
        <f t="shared" si="469"/>
        <v>#REF!</v>
      </c>
      <c r="I835" s="7" t="e">
        <f t="shared" si="469"/>
        <v>#REF!</v>
      </c>
      <c r="J835" s="7" t="e">
        <f t="shared" si="469"/>
        <v>#REF!</v>
      </c>
      <c r="K835" s="7">
        <f t="shared" si="469"/>
        <v>0</v>
      </c>
      <c r="L835" s="7">
        <f t="shared" si="469"/>
        <v>0</v>
      </c>
      <c r="M835" s="4" t="e">
        <f t="shared" si="439"/>
        <v>#DIV/0!</v>
      </c>
    </row>
    <row r="836" spans="1:13" ht="47.25" hidden="1">
      <c r="A836" s="26" t="s">
        <v>172</v>
      </c>
      <c r="B836" s="42" t="s">
        <v>338</v>
      </c>
      <c r="C836" s="42" t="s">
        <v>189</v>
      </c>
      <c r="D836" s="21" t="s">
        <v>378</v>
      </c>
      <c r="E836" s="21" t="s">
        <v>173</v>
      </c>
      <c r="F836" s="7" t="e">
        <f>#REF!</f>
        <v>#REF!</v>
      </c>
      <c r="G836" s="7" t="e">
        <f>#REF!</f>
        <v>#REF!</v>
      </c>
      <c r="H836" s="7" t="e">
        <f>#REF!</f>
        <v>#REF!</v>
      </c>
      <c r="I836" s="7" t="e">
        <f>#REF!</f>
        <v>#REF!</v>
      </c>
      <c r="J836" s="7" t="e">
        <f>#REF!</f>
        <v>#REF!</v>
      </c>
      <c r="K836" s="7">
        <f>'Прил.№4 ведомств.'!G502</f>
        <v>0</v>
      </c>
      <c r="L836" s="7">
        <f>'Прил.№4 ведомств.'!H502</f>
        <v>0</v>
      </c>
      <c r="M836" s="4" t="e">
        <f t="shared" si="439"/>
        <v>#DIV/0!</v>
      </c>
    </row>
    <row r="837" spans="1:13" ht="47.25" hidden="1">
      <c r="A837" s="26" t="s">
        <v>778</v>
      </c>
      <c r="B837" s="42" t="s">
        <v>338</v>
      </c>
      <c r="C837" s="42" t="s">
        <v>189</v>
      </c>
      <c r="D837" s="21" t="s">
        <v>741</v>
      </c>
      <c r="E837" s="21"/>
      <c r="F837" s="7" t="e">
        <f>F838</f>
        <v>#REF!</v>
      </c>
      <c r="G837" s="7" t="e">
        <f aca="true" t="shared" si="470" ref="G837:L838">G838</f>
        <v>#REF!</v>
      </c>
      <c r="H837" s="7" t="e">
        <f t="shared" si="470"/>
        <v>#REF!</v>
      </c>
      <c r="I837" s="7" t="e">
        <f t="shared" si="470"/>
        <v>#REF!</v>
      </c>
      <c r="J837" s="7" t="e">
        <f t="shared" si="470"/>
        <v>#REF!</v>
      </c>
      <c r="K837" s="7">
        <f t="shared" si="470"/>
        <v>0</v>
      </c>
      <c r="L837" s="7">
        <f t="shared" si="470"/>
        <v>0</v>
      </c>
      <c r="M837" s="4" t="e">
        <f t="shared" si="439"/>
        <v>#DIV/0!</v>
      </c>
    </row>
    <row r="838" spans="1:13" ht="31.5" hidden="1">
      <c r="A838" s="26" t="s">
        <v>170</v>
      </c>
      <c r="B838" s="42" t="s">
        <v>338</v>
      </c>
      <c r="C838" s="42" t="s">
        <v>189</v>
      </c>
      <c r="D838" s="21" t="s">
        <v>741</v>
      </c>
      <c r="E838" s="21" t="s">
        <v>167</v>
      </c>
      <c r="F838" s="7" t="e">
        <f>F839</f>
        <v>#REF!</v>
      </c>
      <c r="G838" s="7" t="e">
        <f t="shared" si="470"/>
        <v>#REF!</v>
      </c>
      <c r="H838" s="7" t="e">
        <f t="shared" si="470"/>
        <v>#REF!</v>
      </c>
      <c r="I838" s="7" t="e">
        <f t="shared" si="470"/>
        <v>#REF!</v>
      </c>
      <c r="J838" s="7" t="e">
        <f t="shared" si="470"/>
        <v>#REF!</v>
      </c>
      <c r="K838" s="7">
        <f t="shared" si="470"/>
        <v>0</v>
      </c>
      <c r="L838" s="7">
        <f t="shared" si="470"/>
        <v>0</v>
      </c>
      <c r="M838" s="4" t="e">
        <f t="shared" si="439"/>
        <v>#DIV/0!</v>
      </c>
    </row>
    <row r="839" spans="1:13" ht="47.25" hidden="1">
      <c r="A839" s="26" t="s">
        <v>172</v>
      </c>
      <c r="B839" s="42" t="s">
        <v>338</v>
      </c>
      <c r="C839" s="42" t="s">
        <v>189</v>
      </c>
      <c r="D839" s="21" t="s">
        <v>741</v>
      </c>
      <c r="E839" s="21" t="s">
        <v>169</v>
      </c>
      <c r="F839" s="7" t="e">
        <f>#REF!</f>
        <v>#REF!</v>
      </c>
      <c r="G839" s="7" t="e">
        <f>#REF!</f>
        <v>#REF!</v>
      </c>
      <c r="H839" s="7" t="e">
        <f>#REF!</f>
        <v>#REF!</v>
      </c>
      <c r="I839" s="7" t="e">
        <f>#REF!</f>
        <v>#REF!</v>
      </c>
      <c r="J839" s="7" t="e">
        <f>#REF!</f>
        <v>#REF!</v>
      </c>
      <c r="K839" s="7">
        <f>'Прил.№4 ведомств.'!G508</f>
        <v>0</v>
      </c>
      <c r="L839" s="7">
        <f>'Прил.№4 ведомств.'!H508</f>
        <v>0</v>
      </c>
      <c r="M839" s="4" t="e">
        <f t="shared" si="439"/>
        <v>#DIV/0!</v>
      </c>
    </row>
    <row r="840" spans="1:13" ht="63" hidden="1">
      <c r="A840" s="31" t="s">
        <v>777</v>
      </c>
      <c r="B840" s="42" t="s">
        <v>338</v>
      </c>
      <c r="C840" s="42" t="s">
        <v>189</v>
      </c>
      <c r="D840" s="21" t="s">
        <v>775</v>
      </c>
      <c r="E840" s="21"/>
      <c r="F840" s="7" t="e">
        <f>F841</f>
        <v>#REF!</v>
      </c>
      <c r="G840" s="7" t="e">
        <f aca="true" t="shared" si="471" ref="G840:L842">G841</f>
        <v>#REF!</v>
      </c>
      <c r="H840" s="7" t="e">
        <f t="shared" si="471"/>
        <v>#REF!</v>
      </c>
      <c r="I840" s="7" t="e">
        <f t="shared" si="471"/>
        <v>#REF!</v>
      </c>
      <c r="J840" s="7" t="e">
        <f t="shared" si="471"/>
        <v>#REF!</v>
      </c>
      <c r="K840" s="7">
        <f t="shared" si="471"/>
        <v>0</v>
      </c>
      <c r="L840" s="7">
        <f t="shared" si="471"/>
        <v>0</v>
      </c>
      <c r="M840" s="4" t="e">
        <f t="shared" si="439"/>
        <v>#DIV/0!</v>
      </c>
    </row>
    <row r="841" spans="1:13" ht="31.5" hidden="1">
      <c r="A841" s="26" t="s">
        <v>408</v>
      </c>
      <c r="B841" s="42" t="s">
        <v>338</v>
      </c>
      <c r="C841" s="42" t="s">
        <v>189</v>
      </c>
      <c r="D841" s="21" t="s">
        <v>783</v>
      </c>
      <c r="E841" s="21"/>
      <c r="F841" s="7" t="e">
        <f>F842</f>
        <v>#REF!</v>
      </c>
      <c r="G841" s="7" t="e">
        <f t="shared" si="471"/>
        <v>#REF!</v>
      </c>
      <c r="H841" s="7" t="e">
        <f t="shared" si="471"/>
        <v>#REF!</v>
      </c>
      <c r="I841" s="7" t="e">
        <f t="shared" si="471"/>
        <v>#REF!</v>
      </c>
      <c r="J841" s="7" t="e">
        <f t="shared" si="471"/>
        <v>#REF!</v>
      </c>
      <c r="K841" s="7">
        <f t="shared" si="471"/>
        <v>0</v>
      </c>
      <c r="L841" s="7">
        <f t="shared" si="471"/>
        <v>0</v>
      </c>
      <c r="M841" s="4" t="e">
        <f t="shared" si="439"/>
        <v>#DIV/0!</v>
      </c>
    </row>
    <row r="842" spans="1:13" ht="31.5" hidden="1">
      <c r="A842" s="26" t="s">
        <v>170</v>
      </c>
      <c r="B842" s="42" t="s">
        <v>338</v>
      </c>
      <c r="C842" s="42" t="s">
        <v>189</v>
      </c>
      <c r="D842" s="21" t="s">
        <v>783</v>
      </c>
      <c r="E842" s="21" t="s">
        <v>171</v>
      </c>
      <c r="F842" s="7" t="e">
        <f>F843</f>
        <v>#REF!</v>
      </c>
      <c r="G842" s="7" t="e">
        <f t="shared" si="471"/>
        <v>#REF!</v>
      </c>
      <c r="H842" s="7" t="e">
        <f t="shared" si="471"/>
        <v>#REF!</v>
      </c>
      <c r="I842" s="7" t="e">
        <f t="shared" si="471"/>
        <v>#REF!</v>
      </c>
      <c r="J842" s="7" t="e">
        <f t="shared" si="471"/>
        <v>#REF!</v>
      </c>
      <c r="K842" s="7">
        <f t="shared" si="471"/>
        <v>0</v>
      </c>
      <c r="L842" s="7">
        <f t="shared" si="471"/>
        <v>0</v>
      </c>
      <c r="M842" s="4" t="e">
        <f t="shared" si="439"/>
        <v>#DIV/0!</v>
      </c>
    </row>
    <row r="843" spans="1:13" ht="47.25" hidden="1">
      <c r="A843" s="26" t="s">
        <v>172</v>
      </c>
      <c r="B843" s="42" t="s">
        <v>338</v>
      </c>
      <c r="C843" s="42" t="s">
        <v>189</v>
      </c>
      <c r="D843" s="21" t="s">
        <v>783</v>
      </c>
      <c r="E843" s="21" t="s">
        <v>173</v>
      </c>
      <c r="F843" s="7" t="e">
        <f>#REF!</f>
        <v>#REF!</v>
      </c>
      <c r="G843" s="7" t="e">
        <f>#REF!</f>
        <v>#REF!</v>
      </c>
      <c r="H843" s="7" t="e">
        <f>#REF!</f>
        <v>#REF!</v>
      </c>
      <c r="I843" s="7" t="e">
        <f>#REF!</f>
        <v>#REF!</v>
      </c>
      <c r="J843" s="7" t="e">
        <f>#REF!</f>
        <v>#REF!</v>
      </c>
      <c r="K843" s="7">
        <f>'Прил.№4 ведомств.'!G515</f>
        <v>0</v>
      </c>
      <c r="L843" s="7">
        <f>'Прил.№4 ведомств.'!H515</f>
        <v>0</v>
      </c>
      <c r="M843" s="4" t="e">
        <f t="shared" si="439"/>
        <v>#DIV/0!</v>
      </c>
    </row>
    <row r="844" spans="1:13" ht="47.25">
      <c r="A844" s="26" t="s">
        <v>382</v>
      </c>
      <c r="B844" s="21" t="s">
        <v>338</v>
      </c>
      <c r="C844" s="21" t="s">
        <v>189</v>
      </c>
      <c r="D844" s="21" t="s">
        <v>383</v>
      </c>
      <c r="E844" s="21"/>
      <c r="F844" s="7"/>
      <c r="G844" s="7"/>
      <c r="H844" s="7"/>
      <c r="I844" s="7"/>
      <c r="J844" s="7"/>
      <c r="K844" s="7">
        <f>K845</f>
        <v>260</v>
      </c>
      <c r="L844" s="7">
        <f aca="true" t="shared" si="472" ref="L844:L847">L845</f>
        <v>89.5</v>
      </c>
      <c r="M844" s="7">
        <f t="shared" si="439"/>
        <v>34.42307692307692</v>
      </c>
    </row>
    <row r="845" spans="1:13" ht="47.25">
      <c r="A845" s="26" t="s">
        <v>403</v>
      </c>
      <c r="B845" s="21" t="s">
        <v>338</v>
      </c>
      <c r="C845" s="21" t="s">
        <v>189</v>
      </c>
      <c r="D845" s="21" t="s">
        <v>404</v>
      </c>
      <c r="E845" s="21"/>
      <c r="F845" s="7"/>
      <c r="G845" s="7"/>
      <c r="H845" s="7"/>
      <c r="I845" s="7"/>
      <c r="J845" s="7"/>
      <c r="K845" s="7">
        <f>K846</f>
        <v>260</v>
      </c>
      <c r="L845" s="7">
        <f t="shared" si="472"/>
        <v>89.5</v>
      </c>
      <c r="M845" s="7">
        <f t="shared" si="439"/>
        <v>34.42307692307692</v>
      </c>
    </row>
    <row r="846" spans="1:13" ht="31.5">
      <c r="A846" s="26" t="s">
        <v>196</v>
      </c>
      <c r="B846" s="21" t="s">
        <v>338</v>
      </c>
      <c r="C846" s="21" t="s">
        <v>189</v>
      </c>
      <c r="D846" s="21" t="s">
        <v>405</v>
      </c>
      <c r="E846" s="21"/>
      <c r="F846" s="7"/>
      <c r="G846" s="7"/>
      <c r="H846" s="7"/>
      <c r="I846" s="7"/>
      <c r="J846" s="7"/>
      <c r="K846" s="7">
        <f>K847</f>
        <v>260</v>
      </c>
      <c r="L846" s="7">
        <f t="shared" si="472"/>
        <v>89.5</v>
      </c>
      <c r="M846" s="7">
        <f t="shared" si="439"/>
        <v>34.42307692307692</v>
      </c>
    </row>
    <row r="847" spans="1:13" ht="31.5">
      <c r="A847" s="26" t="s">
        <v>170</v>
      </c>
      <c r="B847" s="21" t="s">
        <v>338</v>
      </c>
      <c r="C847" s="21" t="s">
        <v>189</v>
      </c>
      <c r="D847" s="21" t="s">
        <v>405</v>
      </c>
      <c r="E847" s="21" t="s">
        <v>171</v>
      </c>
      <c r="F847" s="7"/>
      <c r="G847" s="7"/>
      <c r="H847" s="7"/>
      <c r="I847" s="7"/>
      <c r="J847" s="7"/>
      <c r="K847" s="7">
        <f>K848</f>
        <v>260</v>
      </c>
      <c r="L847" s="7">
        <f t="shared" si="472"/>
        <v>89.5</v>
      </c>
      <c r="M847" s="7">
        <f aca="true" t="shared" si="473" ref="M847:M910">L847/K847*100</f>
        <v>34.42307692307692</v>
      </c>
    </row>
    <row r="848" spans="1:13" ht="47.25">
      <c r="A848" s="26" t="s">
        <v>172</v>
      </c>
      <c r="B848" s="21" t="s">
        <v>338</v>
      </c>
      <c r="C848" s="21" t="s">
        <v>189</v>
      </c>
      <c r="D848" s="21" t="s">
        <v>405</v>
      </c>
      <c r="E848" s="21" t="s">
        <v>173</v>
      </c>
      <c r="F848" s="7"/>
      <c r="G848" s="7"/>
      <c r="H848" s="7"/>
      <c r="I848" s="7"/>
      <c r="J848" s="7"/>
      <c r="K848" s="7">
        <f>'Прил.№4 ведомств.'!G520</f>
        <v>260</v>
      </c>
      <c r="L848" s="7">
        <f>'Прил.№4 ведомств.'!H520</f>
        <v>89.5</v>
      </c>
      <c r="M848" s="7">
        <f t="shared" si="473"/>
        <v>34.42307692307692</v>
      </c>
    </row>
    <row r="849" spans="1:13" ht="15.75">
      <c r="A849" s="31" t="s">
        <v>160</v>
      </c>
      <c r="B849" s="42" t="s">
        <v>338</v>
      </c>
      <c r="C849" s="42" t="s">
        <v>189</v>
      </c>
      <c r="D849" s="42" t="s">
        <v>161</v>
      </c>
      <c r="E849" s="42"/>
      <c r="F849" s="7" t="e">
        <f aca="true" t="shared" si="474" ref="F849:K849">F856+F850</f>
        <v>#REF!</v>
      </c>
      <c r="G849" s="7" t="e">
        <f t="shared" si="474"/>
        <v>#REF!</v>
      </c>
      <c r="H849" s="7" t="e">
        <f t="shared" si="474"/>
        <v>#REF!</v>
      </c>
      <c r="I849" s="7" t="e">
        <f t="shared" si="474"/>
        <v>#REF!</v>
      </c>
      <c r="J849" s="7" t="e">
        <f t="shared" si="474"/>
        <v>#REF!</v>
      </c>
      <c r="K849" s="7">
        <f t="shared" si="474"/>
        <v>18603.1</v>
      </c>
      <c r="L849" s="7">
        <f aca="true" t="shared" si="475" ref="L849">L856+L850</f>
        <v>12701.599999999999</v>
      </c>
      <c r="M849" s="7">
        <f t="shared" si="473"/>
        <v>68.27679257758116</v>
      </c>
    </row>
    <row r="850" spans="1:13" ht="31.5">
      <c r="A850" s="31" t="s">
        <v>162</v>
      </c>
      <c r="B850" s="42" t="s">
        <v>338</v>
      </c>
      <c r="C850" s="42" t="s">
        <v>189</v>
      </c>
      <c r="D850" s="42" t="s">
        <v>163</v>
      </c>
      <c r="E850" s="42"/>
      <c r="F850" s="7" t="e">
        <f aca="true" t="shared" si="476" ref="F850:L850">F851</f>
        <v>#REF!</v>
      </c>
      <c r="G850" s="7" t="e">
        <f t="shared" si="476"/>
        <v>#REF!</v>
      </c>
      <c r="H850" s="7" t="e">
        <f t="shared" si="476"/>
        <v>#REF!</v>
      </c>
      <c r="I850" s="7" t="e">
        <f t="shared" si="476"/>
        <v>#REF!</v>
      </c>
      <c r="J850" s="7" t="e">
        <f t="shared" si="476"/>
        <v>#REF!</v>
      </c>
      <c r="K850" s="7">
        <f t="shared" si="476"/>
        <v>7836.8</v>
      </c>
      <c r="L850" s="7">
        <f t="shared" si="476"/>
        <v>4670</v>
      </c>
      <c r="M850" s="7">
        <f t="shared" si="473"/>
        <v>59.59064924458962</v>
      </c>
    </row>
    <row r="851" spans="1:13" ht="47.25">
      <c r="A851" s="31" t="s">
        <v>164</v>
      </c>
      <c r="B851" s="42" t="s">
        <v>338</v>
      </c>
      <c r="C851" s="42" t="s">
        <v>189</v>
      </c>
      <c r="D851" s="42" t="s">
        <v>165</v>
      </c>
      <c r="E851" s="42"/>
      <c r="F851" s="7" t="e">
        <f aca="true" t="shared" si="477" ref="F851:K851">F852+F854</f>
        <v>#REF!</v>
      </c>
      <c r="G851" s="7" t="e">
        <f t="shared" si="477"/>
        <v>#REF!</v>
      </c>
      <c r="H851" s="7" t="e">
        <f t="shared" si="477"/>
        <v>#REF!</v>
      </c>
      <c r="I851" s="7" t="e">
        <f t="shared" si="477"/>
        <v>#REF!</v>
      </c>
      <c r="J851" s="7" t="e">
        <f t="shared" si="477"/>
        <v>#REF!</v>
      </c>
      <c r="K851" s="7">
        <f t="shared" si="477"/>
        <v>7836.8</v>
      </c>
      <c r="L851" s="7">
        <f aca="true" t="shared" si="478" ref="L851">L852+L854</f>
        <v>4670</v>
      </c>
      <c r="M851" s="7">
        <f t="shared" si="473"/>
        <v>59.59064924458962</v>
      </c>
    </row>
    <row r="852" spans="1:13" ht="78.75">
      <c r="A852" s="31" t="s">
        <v>166</v>
      </c>
      <c r="B852" s="42" t="s">
        <v>338</v>
      </c>
      <c r="C852" s="42" t="s">
        <v>189</v>
      </c>
      <c r="D852" s="42" t="s">
        <v>165</v>
      </c>
      <c r="E852" s="42" t="s">
        <v>167</v>
      </c>
      <c r="F852" s="63" t="e">
        <f aca="true" t="shared" si="479" ref="F852:L852">F853</f>
        <v>#REF!</v>
      </c>
      <c r="G852" s="63" t="e">
        <f t="shared" si="479"/>
        <v>#REF!</v>
      </c>
      <c r="H852" s="63" t="e">
        <f t="shared" si="479"/>
        <v>#REF!</v>
      </c>
      <c r="I852" s="63" t="e">
        <f t="shared" si="479"/>
        <v>#REF!</v>
      </c>
      <c r="J852" s="63" t="e">
        <f t="shared" si="479"/>
        <v>#REF!</v>
      </c>
      <c r="K852" s="63">
        <f t="shared" si="479"/>
        <v>7836.8</v>
      </c>
      <c r="L852" s="63">
        <f t="shared" si="479"/>
        <v>4670</v>
      </c>
      <c r="M852" s="7">
        <f t="shared" si="473"/>
        <v>59.59064924458962</v>
      </c>
    </row>
    <row r="853" spans="1:13" ht="31.5">
      <c r="A853" s="31" t="s">
        <v>168</v>
      </c>
      <c r="B853" s="42" t="s">
        <v>338</v>
      </c>
      <c r="C853" s="42" t="s">
        <v>189</v>
      </c>
      <c r="D853" s="42" t="s">
        <v>165</v>
      </c>
      <c r="E853" s="42" t="s">
        <v>169</v>
      </c>
      <c r="F853" s="63" t="e">
        <f>#REF!</f>
        <v>#REF!</v>
      </c>
      <c r="G853" s="63" t="e">
        <f>#REF!</f>
        <v>#REF!</v>
      </c>
      <c r="H853" s="63" t="e">
        <f>#REF!</f>
        <v>#REF!</v>
      </c>
      <c r="I853" s="63" t="e">
        <f>#REF!</f>
        <v>#REF!</v>
      </c>
      <c r="J853" s="63" t="e">
        <f>#REF!</f>
        <v>#REF!</v>
      </c>
      <c r="K853" s="63">
        <f>'Прил.№4 ведомств.'!G525</f>
        <v>7836.8</v>
      </c>
      <c r="L853" s="63">
        <f>'Прил.№4 ведомств.'!H525</f>
        <v>4670</v>
      </c>
      <c r="M853" s="7">
        <f t="shared" si="473"/>
        <v>59.59064924458962</v>
      </c>
    </row>
    <row r="854" spans="1:13" ht="31.5" customHeight="1" hidden="1">
      <c r="A854" s="31" t="s">
        <v>170</v>
      </c>
      <c r="B854" s="42" t="s">
        <v>338</v>
      </c>
      <c r="C854" s="42" t="s">
        <v>189</v>
      </c>
      <c r="D854" s="42" t="s">
        <v>165</v>
      </c>
      <c r="E854" s="42" t="s">
        <v>171</v>
      </c>
      <c r="F854" s="63">
        <f aca="true" t="shared" si="480" ref="F854:L854">F855</f>
        <v>0</v>
      </c>
      <c r="G854" s="63">
        <f t="shared" si="480"/>
        <v>0</v>
      </c>
      <c r="H854" s="63" t="e">
        <f t="shared" si="480"/>
        <v>#REF!</v>
      </c>
      <c r="I854" s="63" t="e">
        <f t="shared" si="480"/>
        <v>#REF!</v>
      </c>
      <c r="J854" s="63" t="e">
        <f t="shared" si="480"/>
        <v>#REF!</v>
      </c>
      <c r="K854" s="63">
        <f t="shared" si="480"/>
        <v>0</v>
      </c>
      <c r="L854" s="63">
        <f t="shared" si="480"/>
        <v>0</v>
      </c>
      <c r="M854" s="7" t="e">
        <f t="shared" si="473"/>
        <v>#DIV/0!</v>
      </c>
    </row>
    <row r="855" spans="1:13" ht="47.25" customHeight="1" hidden="1">
      <c r="A855" s="31" t="s">
        <v>172</v>
      </c>
      <c r="B855" s="42" t="s">
        <v>338</v>
      </c>
      <c r="C855" s="42" t="s">
        <v>189</v>
      </c>
      <c r="D855" s="42" t="s">
        <v>165</v>
      </c>
      <c r="E855" s="42" t="s">
        <v>173</v>
      </c>
      <c r="F855" s="63"/>
      <c r="G855" s="63"/>
      <c r="H855" s="63" t="e">
        <f>#REF!</f>
        <v>#REF!</v>
      </c>
      <c r="I855" s="63" t="e">
        <f>#REF!</f>
        <v>#REF!</v>
      </c>
      <c r="J855" s="63" t="e">
        <f>#REF!</f>
        <v>#REF!</v>
      </c>
      <c r="K855" s="63">
        <f>'Прил.№4 ведомств.'!G527</f>
        <v>0</v>
      </c>
      <c r="L855" s="63">
        <f>'Прил.№4 ведомств.'!H527</f>
        <v>0</v>
      </c>
      <c r="M855" s="7" t="e">
        <f t="shared" si="473"/>
        <v>#DIV/0!</v>
      </c>
    </row>
    <row r="856" spans="1:13" ht="15.75">
      <c r="A856" s="31" t="s">
        <v>180</v>
      </c>
      <c r="B856" s="42" t="s">
        <v>338</v>
      </c>
      <c r="C856" s="42" t="s">
        <v>189</v>
      </c>
      <c r="D856" s="42" t="s">
        <v>181</v>
      </c>
      <c r="E856" s="42"/>
      <c r="F856" s="7" t="e">
        <f aca="true" t="shared" si="481" ref="F856:L856">F857</f>
        <v>#REF!</v>
      </c>
      <c r="G856" s="7" t="e">
        <f t="shared" si="481"/>
        <v>#REF!</v>
      </c>
      <c r="H856" s="7" t="e">
        <f t="shared" si="481"/>
        <v>#REF!</v>
      </c>
      <c r="I856" s="7" t="e">
        <f t="shared" si="481"/>
        <v>#REF!</v>
      </c>
      <c r="J856" s="7" t="e">
        <f t="shared" si="481"/>
        <v>#REF!</v>
      </c>
      <c r="K856" s="7">
        <f t="shared" si="481"/>
        <v>10766.3</v>
      </c>
      <c r="L856" s="7">
        <f t="shared" si="481"/>
        <v>8031.599999999999</v>
      </c>
      <c r="M856" s="7">
        <f t="shared" si="473"/>
        <v>74.59944456312753</v>
      </c>
    </row>
    <row r="857" spans="1:13" ht="31.5">
      <c r="A857" s="26" t="s">
        <v>379</v>
      </c>
      <c r="B857" s="42" t="s">
        <v>338</v>
      </c>
      <c r="C857" s="42" t="s">
        <v>189</v>
      </c>
      <c r="D857" s="42" t="s">
        <v>380</v>
      </c>
      <c r="E857" s="42"/>
      <c r="F857" s="7" t="e">
        <f aca="true" t="shared" si="482" ref="F857:K857">F858+F860+F862</f>
        <v>#REF!</v>
      </c>
      <c r="G857" s="7" t="e">
        <f t="shared" si="482"/>
        <v>#REF!</v>
      </c>
      <c r="H857" s="7" t="e">
        <f t="shared" si="482"/>
        <v>#REF!</v>
      </c>
      <c r="I857" s="7" t="e">
        <f t="shared" si="482"/>
        <v>#REF!</v>
      </c>
      <c r="J857" s="7" t="e">
        <f t="shared" si="482"/>
        <v>#REF!</v>
      </c>
      <c r="K857" s="7">
        <f t="shared" si="482"/>
        <v>10766.3</v>
      </c>
      <c r="L857" s="7">
        <f aca="true" t="shared" si="483" ref="L857">L858+L860+L862</f>
        <v>8031.599999999999</v>
      </c>
      <c r="M857" s="7">
        <f t="shared" si="473"/>
        <v>74.59944456312753</v>
      </c>
    </row>
    <row r="858" spans="1:13" ht="78.75">
      <c r="A858" s="31" t="s">
        <v>166</v>
      </c>
      <c r="B858" s="42" t="s">
        <v>338</v>
      </c>
      <c r="C858" s="42" t="s">
        <v>189</v>
      </c>
      <c r="D858" s="42" t="s">
        <v>380</v>
      </c>
      <c r="E858" s="42" t="s">
        <v>167</v>
      </c>
      <c r="F858" s="63" t="e">
        <f aca="true" t="shared" si="484" ref="F858:L858">F859</f>
        <v>#REF!</v>
      </c>
      <c r="G858" s="63" t="e">
        <f t="shared" si="484"/>
        <v>#REF!</v>
      </c>
      <c r="H858" s="63" t="e">
        <f t="shared" si="484"/>
        <v>#REF!</v>
      </c>
      <c r="I858" s="63" t="e">
        <f t="shared" si="484"/>
        <v>#REF!</v>
      </c>
      <c r="J858" s="63" t="e">
        <f t="shared" si="484"/>
        <v>#REF!</v>
      </c>
      <c r="K858" s="63">
        <f t="shared" si="484"/>
        <v>9330.8</v>
      </c>
      <c r="L858" s="63">
        <f t="shared" si="484"/>
        <v>7084.9</v>
      </c>
      <c r="M858" s="7">
        <f t="shared" si="473"/>
        <v>75.93025249710635</v>
      </c>
    </row>
    <row r="859" spans="1:13" ht="31.5">
      <c r="A859" s="48" t="s">
        <v>381</v>
      </c>
      <c r="B859" s="42" t="s">
        <v>338</v>
      </c>
      <c r="C859" s="42" t="s">
        <v>189</v>
      </c>
      <c r="D859" s="42" t="s">
        <v>380</v>
      </c>
      <c r="E859" s="42" t="s">
        <v>248</v>
      </c>
      <c r="F859" s="63" t="e">
        <f>#REF!</f>
        <v>#REF!</v>
      </c>
      <c r="G859" s="63" t="e">
        <f>#REF!</f>
        <v>#REF!</v>
      </c>
      <c r="H859" s="63" t="e">
        <f>#REF!</f>
        <v>#REF!</v>
      </c>
      <c r="I859" s="63" t="e">
        <f>#REF!</f>
        <v>#REF!</v>
      </c>
      <c r="J859" s="63" t="e">
        <f>#REF!</f>
        <v>#REF!</v>
      </c>
      <c r="K859" s="63">
        <f>'Прил.№4 ведомств.'!G531</f>
        <v>9330.8</v>
      </c>
      <c r="L859" s="63">
        <f>'Прил.№4 ведомств.'!H531</f>
        <v>7084.9</v>
      </c>
      <c r="M859" s="7">
        <f t="shared" si="473"/>
        <v>75.93025249710635</v>
      </c>
    </row>
    <row r="860" spans="1:13" ht="31.5">
      <c r="A860" s="31" t="s">
        <v>170</v>
      </c>
      <c r="B860" s="42" t="s">
        <v>338</v>
      </c>
      <c r="C860" s="42" t="s">
        <v>189</v>
      </c>
      <c r="D860" s="42" t="s">
        <v>380</v>
      </c>
      <c r="E860" s="42" t="s">
        <v>171</v>
      </c>
      <c r="F860" s="63" t="e">
        <f aca="true" t="shared" si="485" ref="F860:L860">F861</f>
        <v>#REF!</v>
      </c>
      <c r="G860" s="63" t="e">
        <f t="shared" si="485"/>
        <v>#REF!</v>
      </c>
      <c r="H860" s="63" t="e">
        <f t="shared" si="485"/>
        <v>#REF!</v>
      </c>
      <c r="I860" s="63" t="e">
        <f t="shared" si="485"/>
        <v>#REF!</v>
      </c>
      <c r="J860" s="63" t="e">
        <f t="shared" si="485"/>
        <v>#REF!</v>
      </c>
      <c r="K860" s="63">
        <f t="shared" si="485"/>
        <v>1424.3999999999999</v>
      </c>
      <c r="L860" s="63">
        <f t="shared" si="485"/>
        <v>939.4</v>
      </c>
      <c r="M860" s="7">
        <f t="shared" si="473"/>
        <v>65.95057568098849</v>
      </c>
    </row>
    <row r="861" spans="1:13" ht="47.25">
      <c r="A861" s="31" t="s">
        <v>172</v>
      </c>
      <c r="B861" s="42" t="s">
        <v>338</v>
      </c>
      <c r="C861" s="42" t="s">
        <v>189</v>
      </c>
      <c r="D861" s="42" t="s">
        <v>380</v>
      </c>
      <c r="E861" s="42" t="s">
        <v>173</v>
      </c>
      <c r="F861" s="63" t="e">
        <f>#REF!</f>
        <v>#REF!</v>
      </c>
      <c r="G861" s="63" t="e">
        <f>#REF!</f>
        <v>#REF!</v>
      </c>
      <c r="H861" s="63" t="e">
        <f>#REF!</f>
        <v>#REF!</v>
      </c>
      <c r="I861" s="63" t="e">
        <f>#REF!</f>
        <v>#REF!</v>
      </c>
      <c r="J861" s="63" t="e">
        <f>#REF!</f>
        <v>#REF!</v>
      </c>
      <c r="K861" s="63">
        <f>'Прил.№4 ведомств.'!G533</f>
        <v>1424.3999999999999</v>
      </c>
      <c r="L861" s="63">
        <f>'Прил.№4 ведомств.'!H533</f>
        <v>939.4</v>
      </c>
      <c r="M861" s="7">
        <f t="shared" si="473"/>
        <v>65.95057568098849</v>
      </c>
    </row>
    <row r="862" spans="1:13" ht="15.75">
      <c r="A862" s="31" t="s">
        <v>174</v>
      </c>
      <c r="B862" s="42" t="s">
        <v>338</v>
      </c>
      <c r="C862" s="42" t="s">
        <v>189</v>
      </c>
      <c r="D862" s="42" t="s">
        <v>380</v>
      </c>
      <c r="E862" s="42" t="s">
        <v>184</v>
      </c>
      <c r="F862" s="63" t="e">
        <f aca="true" t="shared" si="486" ref="F862:L862">F863</f>
        <v>#REF!</v>
      </c>
      <c r="G862" s="63" t="e">
        <f t="shared" si="486"/>
        <v>#REF!</v>
      </c>
      <c r="H862" s="63" t="e">
        <f t="shared" si="486"/>
        <v>#REF!</v>
      </c>
      <c r="I862" s="63" t="e">
        <f t="shared" si="486"/>
        <v>#REF!</v>
      </c>
      <c r="J862" s="63" t="e">
        <f t="shared" si="486"/>
        <v>#REF!</v>
      </c>
      <c r="K862" s="63">
        <f t="shared" si="486"/>
        <v>11.1</v>
      </c>
      <c r="L862" s="63">
        <f t="shared" si="486"/>
        <v>7.3</v>
      </c>
      <c r="M862" s="7">
        <f t="shared" si="473"/>
        <v>65.76576576576578</v>
      </c>
    </row>
    <row r="863" spans="1:13" ht="15.75">
      <c r="A863" s="31" t="s">
        <v>608</v>
      </c>
      <c r="B863" s="42" t="s">
        <v>338</v>
      </c>
      <c r="C863" s="42" t="s">
        <v>189</v>
      </c>
      <c r="D863" s="42" t="s">
        <v>380</v>
      </c>
      <c r="E863" s="42" t="s">
        <v>177</v>
      </c>
      <c r="F863" s="63" t="e">
        <f>#REF!</f>
        <v>#REF!</v>
      </c>
      <c r="G863" s="63" t="e">
        <f>#REF!</f>
        <v>#REF!</v>
      </c>
      <c r="H863" s="63" t="e">
        <f>#REF!</f>
        <v>#REF!</v>
      </c>
      <c r="I863" s="63" t="e">
        <f>#REF!</f>
        <v>#REF!</v>
      </c>
      <c r="J863" s="63" t="e">
        <f>#REF!</f>
        <v>#REF!</v>
      </c>
      <c r="K863" s="63">
        <f>'Прил.№4 ведомств.'!G535</f>
        <v>11.1</v>
      </c>
      <c r="L863" s="63">
        <f>'Прил.№4 ведомств.'!H535</f>
        <v>7.3</v>
      </c>
      <c r="M863" s="7">
        <f t="shared" si="473"/>
        <v>65.76576576576578</v>
      </c>
    </row>
    <row r="864" spans="1:13" ht="15.75">
      <c r="A864" s="43" t="s">
        <v>282</v>
      </c>
      <c r="B864" s="8" t="s">
        <v>283</v>
      </c>
      <c r="C864" s="8"/>
      <c r="D864" s="8"/>
      <c r="E864" s="8"/>
      <c r="F864" s="4" t="e">
        <f aca="true" t="shared" si="487" ref="F864:K864">F865+F871+F957+F949</f>
        <v>#REF!</v>
      </c>
      <c r="G864" s="4" t="e">
        <f t="shared" si="487"/>
        <v>#REF!</v>
      </c>
      <c r="H864" s="4" t="e">
        <f t="shared" si="487"/>
        <v>#REF!</v>
      </c>
      <c r="I864" s="4" t="e">
        <f t="shared" si="487"/>
        <v>#REF!</v>
      </c>
      <c r="J864" s="4" t="e">
        <f t="shared" si="487"/>
        <v>#REF!</v>
      </c>
      <c r="K864" s="4">
        <f t="shared" si="487"/>
        <v>14804.4</v>
      </c>
      <c r="L864" s="4">
        <f aca="true" t="shared" si="488" ref="L864">L865+L871+L957+L949</f>
        <v>10036.699999999999</v>
      </c>
      <c r="M864" s="4">
        <f t="shared" si="473"/>
        <v>67.79538515576449</v>
      </c>
    </row>
    <row r="865" spans="1:13" ht="15.75">
      <c r="A865" s="43" t="s">
        <v>284</v>
      </c>
      <c r="B865" s="8" t="s">
        <v>283</v>
      </c>
      <c r="C865" s="8" t="s">
        <v>157</v>
      </c>
      <c r="D865" s="8"/>
      <c r="E865" s="8"/>
      <c r="F865" s="4" t="e">
        <f aca="true" t="shared" si="489" ref="F865:K865">F867</f>
        <v>#REF!</v>
      </c>
      <c r="G865" s="4" t="e">
        <f t="shared" si="489"/>
        <v>#REF!</v>
      </c>
      <c r="H865" s="4" t="e">
        <f t="shared" si="489"/>
        <v>#REF!</v>
      </c>
      <c r="I865" s="4" t="e">
        <f t="shared" si="489"/>
        <v>#REF!</v>
      </c>
      <c r="J865" s="4" t="e">
        <f t="shared" si="489"/>
        <v>#REF!</v>
      </c>
      <c r="K865" s="4">
        <f t="shared" si="489"/>
        <v>9066.4</v>
      </c>
      <c r="L865" s="4">
        <f aca="true" t="shared" si="490" ref="L865">L867</f>
        <v>7144.7</v>
      </c>
      <c r="M865" s="4">
        <f t="shared" si="473"/>
        <v>78.80415600458836</v>
      </c>
    </row>
    <row r="866" spans="1:13" ht="15.75">
      <c r="A866" s="31" t="s">
        <v>160</v>
      </c>
      <c r="B866" s="42" t="s">
        <v>283</v>
      </c>
      <c r="C866" s="42" t="s">
        <v>157</v>
      </c>
      <c r="D866" s="42" t="s">
        <v>161</v>
      </c>
      <c r="E866" s="42"/>
      <c r="F866" s="7" t="e">
        <f>F867</f>
        <v>#REF!</v>
      </c>
      <c r="G866" s="7" t="e">
        <f aca="true" t="shared" si="491" ref="G866:L869">G867</f>
        <v>#REF!</v>
      </c>
      <c r="H866" s="7" t="e">
        <f t="shared" si="491"/>
        <v>#REF!</v>
      </c>
      <c r="I866" s="7" t="e">
        <f t="shared" si="491"/>
        <v>#REF!</v>
      </c>
      <c r="J866" s="7" t="e">
        <f t="shared" si="491"/>
        <v>#REF!</v>
      </c>
      <c r="K866" s="7">
        <f t="shared" si="491"/>
        <v>9066.4</v>
      </c>
      <c r="L866" s="7">
        <f t="shared" si="491"/>
        <v>7144.7</v>
      </c>
      <c r="M866" s="7">
        <f t="shared" si="473"/>
        <v>78.80415600458836</v>
      </c>
    </row>
    <row r="867" spans="1:13" ht="15.75">
      <c r="A867" s="31" t="s">
        <v>180</v>
      </c>
      <c r="B867" s="42" t="s">
        <v>283</v>
      </c>
      <c r="C867" s="42" t="s">
        <v>157</v>
      </c>
      <c r="D867" s="42" t="s">
        <v>181</v>
      </c>
      <c r="E867" s="42"/>
      <c r="F867" s="7" t="e">
        <f>F868</f>
        <v>#REF!</v>
      </c>
      <c r="G867" s="7" t="e">
        <f t="shared" si="491"/>
        <v>#REF!</v>
      </c>
      <c r="H867" s="7" t="e">
        <f t="shared" si="491"/>
        <v>#REF!</v>
      </c>
      <c r="I867" s="7" t="e">
        <f t="shared" si="491"/>
        <v>#REF!</v>
      </c>
      <c r="J867" s="7" t="e">
        <f t="shared" si="491"/>
        <v>#REF!</v>
      </c>
      <c r="K867" s="7">
        <f t="shared" si="491"/>
        <v>9066.4</v>
      </c>
      <c r="L867" s="7">
        <f t="shared" si="491"/>
        <v>7144.7</v>
      </c>
      <c r="M867" s="7">
        <f t="shared" si="473"/>
        <v>78.80415600458836</v>
      </c>
    </row>
    <row r="868" spans="1:13" ht="15.75">
      <c r="A868" s="31" t="s">
        <v>285</v>
      </c>
      <c r="B868" s="42" t="s">
        <v>283</v>
      </c>
      <c r="C868" s="42" t="s">
        <v>157</v>
      </c>
      <c r="D868" s="42" t="s">
        <v>286</v>
      </c>
      <c r="E868" s="42"/>
      <c r="F868" s="7" t="e">
        <f>F869</f>
        <v>#REF!</v>
      </c>
      <c r="G868" s="7" t="e">
        <f t="shared" si="491"/>
        <v>#REF!</v>
      </c>
      <c r="H868" s="7" t="e">
        <f t="shared" si="491"/>
        <v>#REF!</v>
      </c>
      <c r="I868" s="7" t="e">
        <f t="shared" si="491"/>
        <v>#REF!</v>
      </c>
      <c r="J868" s="7" t="e">
        <f t="shared" si="491"/>
        <v>#REF!</v>
      </c>
      <c r="K868" s="7">
        <f t="shared" si="491"/>
        <v>9066.4</v>
      </c>
      <c r="L868" s="7">
        <f t="shared" si="491"/>
        <v>7144.7</v>
      </c>
      <c r="M868" s="7">
        <f t="shared" si="473"/>
        <v>78.80415600458836</v>
      </c>
    </row>
    <row r="869" spans="1:13" ht="31.5">
      <c r="A869" s="31" t="s">
        <v>287</v>
      </c>
      <c r="B869" s="42" t="s">
        <v>283</v>
      </c>
      <c r="C869" s="42" t="s">
        <v>157</v>
      </c>
      <c r="D869" s="42" t="s">
        <v>286</v>
      </c>
      <c r="E869" s="42" t="s">
        <v>288</v>
      </c>
      <c r="F869" s="7" t="e">
        <f>F870</f>
        <v>#REF!</v>
      </c>
      <c r="G869" s="7" t="e">
        <f t="shared" si="491"/>
        <v>#REF!</v>
      </c>
      <c r="H869" s="7" t="e">
        <f t="shared" si="491"/>
        <v>#REF!</v>
      </c>
      <c r="I869" s="7" t="e">
        <f t="shared" si="491"/>
        <v>#REF!</v>
      </c>
      <c r="J869" s="7" t="e">
        <f t="shared" si="491"/>
        <v>#REF!</v>
      </c>
      <c r="K869" s="7">
        <f t="shared" si="491"/>
        <v>9066.4</v>
      </c>
      <c r="L869" s="7">
        <f t="shared" si="491"/>
        <v>7144.7</v>
      </c>
      <c r="M869" s="7">
        <f t="shared" si="473"/>
        <v>78.80415600458836</v>
      </c>
    </row>
    <row r="870" spans="1:13" ht="31.5">
      <c r="A870" s="31" t="s">
        <v>289</v>
      </c>
      <c r="B870" s="42" t="s">
        <v>283</v>
      </c>
      <c r="C870" s="42" t="s">
        <v>157</v>
      </c>
      <c r="D870" s="42" t="s">
        <v>286</v>
      </c>
      <c r="E870" s="42" t="s">
        <v>290</v>
      </c>
      <c r="F870" s="63" t="e">
        <f>#REF!</f>
        <v>#REF!</v>
      </c>
      <c r="G870" s="63" t="e">
        <f>#REF!</f>
        <v>#REF!</v>
      </c>
      <c r="H870" s="63" t="e">
        <f>#REF!</f>
        <v>#REF!</v>
      </c>
      <c r="I870" s="63" t="e">
        <f>#REF!</f>
        <v>#REF!</v>
      </c>
      <c r="J870" s="63" t="e">
        <f>#REF!</f>
        <v>#REF!</v>
      </c>
      <c r="K870" s="63">
        <f>'Прил.№4 ведомств.'!G226</f>
        <v>9066.4</v>
      </c>
      <c r="L870" s="63">
        <f>'Прил.№4 ведомств.'!H226</f>
        <v>7144.7</v>
      </c>
      <c r="M870" s="7">
        <f t="shared" si="473"/>
        <v>78.80415600458836</v>
      </c>
    </row>
    <row r="871" spans="1:13" ht="15.75">
      <c r="A871" s="43" t="s">
        <v>291</v>
      </c>
      <c r="B871" s="8" t="s">
        <v>283</v>
      </c>
      <c r="C871" s="8" t="s">
        <v>254</v>
      </c>
      <c r="D871" s="8"/>
      <c r="E871" s="8"/>
      <c r="F871" s="4" t="e">
        <f aca="true" t="shared" si="492" ref="F871:K871">F872+F929+F925</f>
        <v>#REF!</v>
      </c>
      <c r="G871" s="4" t="e">
        <f t="shared" si="492"/>
        <v>#REF!</v>
      </c>
      <c r="H871" s="4" t="e">
        <f t="shared" si="492"/>
        <v>#REF!</v>
      </c>
      <c r="I871" s="4" t="e">
        <f t="shared" si="492"/>
        <v>#REF!</v>
      </c>
      <c r="J871" s="4" t="e">
        <f t="shared" si="492"/>
        <v>#REF!</v>
      </c>
      <c r="K871" s="4">
        <f t="shared" si="492"/>
        <v>2387</v>
      </c>
      <c r="L871" s="4">
        <f aca="true" t="shared" si="493" ref="L871">L872+L929+L925</f>
        <v>1227.6</v>
      </c>
      <c r="M871" s="4">
        <f t="shared" si="473"/>
        <v>51.42857142857142</v>
      </c>
    </row>
    <row r="872" spans="1:13" ht="47.25">
      <c r="A872" s="31" t="s">
        <v>382</v>
      </c>
      <c r="B872" s="42" t="s">
        <v>283</v>
      </c>
      <c r="C872" s="42" t="s">
        <v>254</v>
      </c>
      <c r="D872" s="42" t="s">
        <v>383</v>
      </c>
      <c r="E872" s="42"/>
      <c r="F872" s="7" t="e">
        <f aca="true" t="shared" si="494" ref="F872:K872">F873+F884+F888+F892+F898+F902+F906+F921</f>
        <v>#REF!</v>
      </c>
      <c r="G872" s="7" t="e">
        <f t="shared" si="494"/>
        <v>#REF!</v>
      </c>
      <c r="H872" s="7" t="e">
        <f t="shared" si="494"/>
        <v>#REF!</v>
      </c>
      <c r="I872" s="7" t="e">
        <f t="shared" si="494"/>
        <v>#REF!</v>
      </c>
      <c r="J872" s="7" t="e">
        <f t="shared" si="494"/>
        <v>#REF!</v>
      </c>
      <c r="K872" s="7">
        <f t="shared" si="494"/>
        <v>2377</v>
      </c>
      <c r="L872" s="7">
        <f aca="true" t="shared" si="495" ref="L872">L873+L884+L888+L892+L898+L902+L906+L921</f>
        <v>1227.6</v>
      </c>
      <c r="M872" s="7">
        <f t="shared" si="473"/>
        <v>51.64493058477072</v>
      </c>
    </row>
    <row r="873" spans="1:13" ht="31.5" hidden="1">
      <c r="A873" s="31" t="s">
        <v>384</v>
      </c>
      <c r="B873" s="42" t="s">
        <v>283</v>
      </c>
      <c r="C873" s="42" t="s">
        <v>254</v>
      </c>
      <c r="D873" s="42" t="s">
        <v>385</v>
      </c>
      <c r="E873" s="42"/>
      <c r="F873" s="7" t="e">
        <f>F874+F881+F879</f>
        <v>#REF!</v>
      </c>
      <c r="G873" s="7" t="e">
        <f>G874+G881+G879</f>
        <v>#REF!</v>
      </c>
      <c r="H873" s="7" t="e">
        <f>H874+H881+H879</f>
        <v>#REF!</v>
      </c>
      <c r="I873" s="7" t="e">
        <f>I874+I881+I879</f>
        <v>#REF!</v>
      </c>
      <c r="J873" s="7" t="e">
        <f>J874+J881+J879</f>
        <v>#REF!</v>
      </c>
      <c r="K873" s="7">
        <f>K874+K881</f>
        <v>0</v>
      </c>
      <c r="L873" s="7">
        <f aca="true" t="shared" si="496" ref="L873">L874+L881</f>
        <v>0</v>
      </c>
      <c r="M873" s="7" t="e">
        <f t="shared" si="473"/>
        <v>#DIV/0!</v>
      </c>
    </row>
    <row r="874" spans="1:13" ht="31.5" hidden="1">
      <c r="A874" s="31" t="s">
        <v>196</v>
      </c>
      <c r="B874" s="42" t="s">
        <v>283</v>
      </c>
      <c r="C874" s="42" t="s">
        <v>254</v>
      </c>
      <c r="D874" s="42" t="s">
        <v>386</v>
      </c>
      <c r="E874" s="42"/>
      <c r="F874" s="7" t="e">
        <f>F877</f>
        <v>#REF!</v>
      </c>
      <c r="G874" s="7" t="e">
        <f>G877</f>
        <v>#REF!</v>
      </c>
      <c r="H874" s="7" t="e">
        <f>H877</f>
        <v>#REF!</v>
      </c>
      <c r="I874" s="7" t="e">
        <f>I877</f>
        <v>#REF!</v>
      </c>
      <c r="J874" s="7" t="e">
        <f>J877</f>
        <v>#REF!</v>
      </c>
      <c r="K874" s="7">
        <f>K877+K875+K879</f>
        <v>0</v>
      </c>
      <c r="L874" s="7">
        <f aca="true" t="shared" si="497" ref="L874">L877+L875+L879</f>
        <v>0</v>
      </c>
      <c r="M874" s="7" t="e">
        <f t="shared" si="473"/>
        <v>#DIV/0!</v>
      </c>
    </row>
    <row r="875" spans="1:13" ht="78.75" hidden="1">
      <c r="A875" s="26" t="s">
        <v>166</v>
      </c>
      <c r="B875" s="42" t="s">
        <v>283</v>
      </c>
      <c r="C875" s="42" t="s">
        <v>254</v>
      </c>
      <c r="D875" s="42" t="s">
        <v>386</v>
      </c>
      <c r="E875" s="42" t="s">
        <v>167</v>
      </c>
      <c r="F875" s="7"/>
      <c r="G875" s="7"/>
      <c r="H875" s="7"/>
      <c r="I875" s="7"/>
      <c r="J875" s="7"/>
      <c r="K875" s="7">
        <f>K876</f>
        <v>0</v>
      </c>
      <c r="L875" s="7">
        <f aca="true" t="shared" si="498" ref="L875">L876</f>
        <v>0</v>
      </c>
      <c r="M875" s="7" t="e">
        <f t="shared" si="473"/>
        <v>#DIV/0!</v>
      </c>
    </row>
    <row r="876" spans="1:13" ht="31.5" hidden="1">
      <c r="A876" s="26" t="s">
        <v>381</v>
      </c>
      <c r="B876" s="42" t="s">
        <v>283</v>
      </c>
      <c r="C876" s="42" t="s">
        <v>254</v>
      </c>
      <c r="D876" s="42" t="s">
        <v>386</v>
      </c>
      <c r="E876" s="42" t="s">
        <v>248</v>
      </c>
      <c r="F876" s="7"/>
      <c r="G876" s="7"/>
      <c r="H876" s="7"/>
      <c r="I876" s="7"/>
      <c r="J876" s="7"/>
      <c r="K876" s="7">
        <f>'Прил.№4 ведомств.'!G542</f>
        <v>0</v>
      </c>
      <c r="L876" s="7">
        <f>'Прил.№4 ведомств.'!H542</f>
        <v>0</v>
      </c>
      <c r="M876" s="7" t="e">
        <f t="shared" si="473"/>
        <v>#DIV/0!</v>
      </c>
    </row>
    <row r="877" spans="1:13" ht="31.5" hidden="1">
      <c r="A877" s="31" t="s">
        <v>170</v>
      </c>
      <c r="B877" s="42" t="s">
        <v>283</v>
      </c>
      <c r="C877" s="42" t="s">
        <v>254</v>
      </c>
      <c r="D877" s="42" t="s">
        <v>386</v>
      </c>
      <c r="E877" s="42" t="s">
        <v>171</v>
      </c>
      <c r="F877" s="7" t="e">
        <f aca="true" t="shared" si="499" ref="F877:L877">F878</f>
        <v>#REF!</v>
      </c>
      <c r="G877" s="7" t="e">
        <f t="shared" si="499"/>
        <v>#REF!</v>
      </c>
      <c r="H877" s="7" t="e">
        <f t="shared" si="499"/>
        <v>#REF!</v>
      </c>
      <c r="I877" s="7" t="e">
        <f t="shared" si="499"/>
        <v>#REF!</v>
      </c>
      <c r="J877" s="7" t="e">
        <f t="shared" si="499"/>
        <v>#REF!</v>
      </c>
      <c r="K877" s="7">
        <f t="shared" si="499"/>
        <v>0</v>
      </c>
      <c r="L877" s="7">
        <f t="shared" si="499"/>
        <v>0</v>
      </c>
      <c r="M877" s="7" t="e">
        <f t="shared" si="473"/>
        <v>#DIV/0!</v>
      </c>
    </row>
    <row r="878" spans="1:13" ht="47.25" hidden="1">
      <c r="A878" s="31" t="s">
        <v>172</v>
      </c>
      <c r="B878" s="42" t="s">
        <v>283</v>
      </c>
      <c r="C878" s="42" t="s">
        <v>254</v>
      </c>
      <c r="D878" s="42" t="s">
        <v>386</v>
      </c>
      <c r="E878" s="42" t="s">
        <v>173</v>
      </c>
      <c r="F878" s="7" t="e">
        <f>#REF!</f>
        <v>#REF!</v>
      </c>
      <c r="G878" s="7" t="e">
        <f>#REF!</f>
        <v>#REF!</v>
      </c>
      <c r="H878" s="7" t="e">
        <f>#REF!</f>
        <v>#REF!</v>
      </c>
      <c r="I878" s="7" t="e">
        <f>#REF!</f>
        <v>#REF!</v>
      </c>
      <c r="J878" s="7" t="e">
        <f>#REF!</f>
        <v>#REF!</v>
      </c>
      <c r="K878" s="7">
        <f>'Прил.№4 ведомств.'!G544</f>
        <v>0</v>
      </c>
      <c r="L878" s="7">
        <f>'Прил.№4 ведомств.'!H544</f>
        <v>0</v>
      </c>
      <c r="M878" s="7" t="e">
        <f t="shared" si="473"/>
        <v>#DIV/0!</v>
      </c>
    </row>
    <row r="879" spans="1:13" ht="31.5" hidden="1">
      <c r="A879" s="31" t="s">
        <v>287</v>
      </c>
      <c r="B879" s="42" t="s">
        <v>283</v>
      </c>
      <c r="C879" s="42" t="s">
        <v>254</v>
      </c>
      <c r="D879" s="42" t="s">
        <v>386</v>
      </c>
      <c r="E879" s="42" t="s">
        <v>288</v>
      </c>
      <c r="F879" s="7" t="e">
        <f aca="true" t="shared" si="500" ref="F879:L879">F880</f>
        <v>#REF!</v>
      </c>
      <c r="G879" s="7" t="e">
        <f t="shared" si="500"/>
        <v>#REF!</v>
      </c>
      <c r="H879" s="7" t="e">
        <f t="shared" si="500"/>
        <v>#REF!</v>
      </c>
      <c r="I879" s="7" t="e">
        <f t="shared" si="500"/>
        <v>#REF!</v>
      </c>
      <c r="J879" s="7" t="e">
        <f t="shared" si="500"/>
        <v>#REF!</v>
      </c>
      <c r="K879" s="7">
        <f t="shared" si="500"/>
        <v>0</v>
      </c>
      <c r="L879" s="7">
        <f t="shared" si="500"/>
        <v>0</v>
      </c>
      <c r="M879" s="7" t="e">
        <f t="shared" si="473"/>
        <v>#DIV/0!</v>
      </c>
    </row>
    <row r="880" spans="1:13" ht="31.5" hidden="1">
      <c r="A880" s="31" t="s">
        <v>387</v>
      </c>
      <c r="B880" s="42" t="s">
        <v>283</v>
      </c>
      <c r="C880" s="42" t="s">
        <v>254</v>
      </c>
      <c r="D880" s="42" t="s">
        <v>386</v>
      </c>
      <c r="E880" s="42" t="s">
        <v>388</v>
      </c>
      <c r="F880" s="7" t="e">
        <f>#REF!</f>
        <v>#REF!</v>
      </c>
      <c r="G880" s="7" t="e">
        <f>#REF!</f>
        <v>#REF!</v>
      </c>
      <c r="H880" s="7" t="e">
        <f>#REF!</f>
        <v>#REF!</v>
      </c>
      <c r="I880" s="7" t="e">
        <f>#REF!</f>
        <v>#REF!</v>
      </c>
      <c r="J880" s="7" t="e">
        <f>#REF!</f>
        <v>#REF!</v>
      </c>
      <c r="K880" s="7">
        <f>'Прил.№4 ведомств.'!G546</f>
        <v>0</v>
      </c>
      <c r="L880" s="7">
        <f>'Прил.№4 ведомств.'!H546</f>
        <v>0</v>
      </c>
      <c r="M880" s="7" t="e">
        <f t="shared" si="473"/>
        <v>#DIV/0!</v>
      </c>
    </row>
    <row r="881" spans="1:13" ht="31.5" hidden="1">
      <c r="A881" s="26" t="s">
        <v>389</v>
      </c>
      <c r="B881" s="42" t="s">
        <v>283</v>
      </c>
      <c r="C881" s="42" t="s">
        <v>254</v>
      </c>
      <c r="D881" s="21" t="s">
        <v>390</v>
      </c>
      <c r="E881" s="42"/>
      <c r="F881" s="7" t="e">
        <f>F882</f>
        <v>#REF!</v>
      </c>
      <c r="G881" s="7" t="e">
        <f aca="true" t="shared" si="501" ref="G881:L882">G882</f>
        <v>#REF!</v>
      </c>
      <c r="H881" s="7" t="e">
        <f t="shared" si="501"/>
        <v>#REF!</v>
      </c>
      <c r="I881" s="7" t="e">
        <f t="shared" si="501"/>
        <v>#REF!</v>
      </c>
      <c r="J881" s="7" t="e">
        <f t="shared" si="501"/>
        <v>#REF!</v>
      </c>
      <c r="K881" s="7">
        <f t="shared" si="501"/>
        <v>0</v>
      </c>
      <c r="L881" s="7">
        <f t="shared" si="501"/>
        <v>0</v>
      </c>
      <c r="M881" s="7" t="e">
        <f t="shared" si="473"/>
        <v>#DIV/0!</v>
      </c>
    </row>
    <row r="882" spans="1:13" ht="47.25" hidden="1">
      <c r="A882" s="26" t="s">
        <v>311</v>
      </c>
      <c r="B882" s="42" t="s">
        <v>283</v>
      </c>
      <c r="C882" s="42" t="s">
        <v>254</v>
      </c>
      <c r="D882" s="21" t="s">
        <v>390</v>
      </c>
      <c r="E882" s="42" t="s">
        <v>312</v>
      </c>
      <c r="F882" s="7" t="e">
        <f>F883</f>
        <v>#REF!</v>
      </c>
      <c r="G882" s="7" t="e">
        <f t="shared" si="501"/>
        <v>#REF!</v>
      </c>
      <c r="H882" s="7" t="e">
        <f t="shared" si="501"/>
        <v>#REF!</v>
      </c>
      <c r="I882" s="7" t="e">
        <f t="shared" si="501"/>
        <v>#REF!</v>
      </c>
      <c r="J882" s="7" t="e">
        <f t="shared" si="501"/>
        <v>#REF!</v>
      </c>
      <c r="K882" s="7">
        <f t="shared" si="501"/>
        <v>0</v>
      </c>
      <c r="L882" s="7">
        <f t="shared" si="501"/>
        <v>0</v>
      </c>
      <c r="M882" s="7" t="e">
        <f t="shared" si="473"/>
        <v>#DIV/0!</v>
      </c>
    </row>
    <row r="883" spans="1:13" ht="15.75" hidden="1">
      <c r="A883" s="26" t="s">
        <v>313</v>
      </c>
      <c r="B883" s="42" t="s">
        <v>283</v>
      </c>
      <c r="C883" s="42" t="s">
        <v>254</v>
      </c>
      <c r="D883" s="21" t="s">
        <v>390</v>
      </c>
      <c r="E883" s="42" t="s">
        <v>314</v>
      </c>
      <c r="F883" s="7" t="e">
        <f>#REF!</f>
        <v>#REF!</v>
      </c>
      <c r="G883" s="7" t="e">
        <f>#REF!</f>
        <v>#REF!</v>
      </c>
      <c r="H883" s="7" t="e">
        <f>#REF!</f>
        <v>#REF!</v>
      </c>
      <c r="I883" s="7" t="e">
        <f>#REF!</f>
        <v>#REF!</v>
      </c>
      <c r="J883" s="7" t="e">
        <f>#REF!</f>
        <v>#REF!</v>
      </c>
      <c r="K883" s="7">
        <f>'Прил.№4 ведомств.'!G549</f>
        <v>0</v>
      </c>
      <c r="L883" s="7">
        <f>'Прил.№4 ведомств.'!H549</f>
        <v>0</v>
      </c>
      <c r="M883" s="7" t="e">
        <f t="shared" si="473"/>
        <v>#DIV/0!</v>
      </c>
    </row>
    <row r="884" spans="1:13" ht="31.5">
      <c r="A884" s="31" t="s">
        <v>391</v>
      </c>
      <c r="B884" s="42" t="s">
        <v>283</v>
      </c>
      <c r="C884" s="42" t="s">
        <v>254</v>
      </c>
      <c r="D884" s="42" t="s">
        <v>392</v>
      </c>
      <c r="E884" s="42"/>
      <c r="F884" s="7" t="e">
        <f>F885</f>
        <v>#REF!</v>
      </c>
      <c r="G884" s="7" t="e">
        <f aca="true" t="shared" si="502" ref="G884:L886">G885</f>
        <v>#REF!</v>
      </c>
      <c r="H884" s="7" t="e">
        <f t="shared" si="502"/>
        <v>#REF!</v>
      </c>
      <c r="I884" s="7" t="e">
        <f t="shared" si="502"/>
        <v>#REF!</v>
      </c>
      <c r="J884" s="7" t="e">
        <f t="shared" si="502"/>
        <v>#REF!</v>
      </c>
      <c r="K884" s="7">
        <f t="shared" si="502"/>
        <v>434.7</v>
      </c>
      <c r="L884" s="7">
        <f t="shared" si="502"/>
        <v>217.4</v>
      </c>
      <c r="M884" s="7">
        <f t="shared" si="473"/>
        <v>50.01150218541524</v>
      </c>
    </row>
    <row r="885" spans="1:13" ht="31.5">
      <c r="A885" s="26" t="s">
        <v>1047</v>
      </c>
      <c r="B885" s="42" t="s">
        <v>283</v>
      </c>
      <c r="C885" s="42" t="s">
        <v>254</v>
      </c>
      <c r="D885" s="21" t="s">
        <v>990</v>
      </c>
      <c r="E885" s="42"/>
      <c r="F885" s="7" t="e">
        <f>F886</f>
        <v>#REF!</v>
      </c>
      <c r="G885" s="7" t="e">
        <f t="shared" si="502"/>
        <v>#REF!</v>
      </c>
      <c r="H885" s="7" t="e">
        <f t="shared" si="502"/>
        <v>#REF!</v>
      </c>
      <c r="I885" s="7" t="e">
        <f t="shared" si="502"/>
        <v>#REF!</v>
      </c>
      <c r="J885" s="7" t="e">
        <f t="shared" si="502"/>
        <v>#REF!</v>
      </c>
      <c r="K885" s="7">
        <f t="shared" si="502"/>
        <v>434.7</v>
      </c>
      <c r="L885" s="7">
        <f t="shared" si="502"/>
        <v>217.4</v>
      </c>
      <c r="M885" s="7">
        <f t="shared" si="473"/>
        <v>50.01150218541524</v>
      </c>
    </row>
    <row r="886" spans="1:13" ht="31.5">
      <c r="A886" s="31" t="s">
        <v>287</v>
      </c>
      <c r="B886" s="42" t="s">
        <v>283</v>
      </c>
      <c r="C886" s="42" t="s">
        <v>254</v>
      </c>
      <c r="D886" s="21" t="s">
        <v>990</v>
      </c>
      <c r="E886" s="42" t="s">
        <v>288</v>
      </c>
      <c r="F886" s="7" t="e">
        <f>F887</f>
        <v>#REF!</v>
      </c>
      <c r="G886" s="7" t="e">
        <f t="shared" si="502"/>
        <v>#REF!</v>
      </c>
      <c r="H886" s="7" t="e">
        <f t="shared" si="502"/>
        <v>#REF!</v>
      </c>
      <c r="I886" s="7" t="e">
        <f t="shared" si="502"/>
        <v>#REF!</v>
      </c>
      <c r="J886" s="7" t="e">
        <f t="shared" si="502"/>
        <v>#REF!</v>
      </c>
      <c r="K886" s="7">
        <f t="shared" si="502"/>
        <v>434.7</v>
      </c>
      <c r="L886" s="7">
        <f t="shared" si="502"/>
        <v>217.4</v>
      </c>
      <c r="M886" s="7">
        <f t="shared" si="473"/>
        <v>50.01150218541524</v>
      </c>
    </row>
    <row r="887" spans="1:13" ht="31.5">
      <c r="A887" s="31" t="s">
        <v>289</v>
      </c>
      <c r="B887" s="42" t="s">
        <v>283</v>
      </c>
      <c r="C887" s="42" t="s">
        <v>254</v>
      </c>
      <c r="D887" s="21" t="s">
        <v>990</v>
      </c>
      <c r="E887" s="42" t="s">
        <v>290</v>
      </c>
      <c r="F887" s="7" t="e">
        <f>#REF!</f>
        <v>#REF!</v>
      </c>
      <c r="G887" s="7" t="e">
        <f>#REF!</f>
        <v>#REF!</v>
      </c>
      <c r="H887" s="7" t="e">
        <f>#REF!</f>
        <v>#REF!</v>
      </c>
      <c r="I887" s="7" t="e">
        <f>#REF!</f>
        <v>#REF!</v>
      </c>
      <c r="J887" s="7" t="e">
        <f>#REF!</f>
        <v>#REF!</v>
      </c>
      <c r="K887" s="7">
        <f>'Прил.№4 ведомств.'!G553</f>
        <v>434.7</v>
      </c>
      <c r="L887" s="7">
        <f>'Прил.№4 ведомств.'!H553</f>
        <v>217.4</v>
      </c>
      <c r="M887" s="7">
        <f t="shared" si="473"/>
        <v>50.01150218541524</v>
      </c>
    </row>
    <row r="888" spans="1:13" ht="31.5">
      <c r="A888" s="31" t="s">
        <v>394</v>
      </c>
      <c r="B888" s="6">
        <v>10</v>
      </c>
      <c r="C888" s="42" t="s">
        <v>254</v>
      </c>
      <c r="D888" s="42" t="s">
        <v>395</v>
      </c>
      <c r="E888" s="42"/>
      <c r="F888" s="7" t="e">
        <f aca="true" t="shared" si="503" ref="F888:K888">F890</f>
        <v>#REF!</v>
      </c>
      <c r="G888" s="7" t="e">
        <f t="shared" si="503"/>
        <v>#REF!</v>
      </c>
      <c r="H888" s="7" t="e">
        <f t="shared" si="503"/>
        <v>#REF!</v>
      </c>
      <c r="I888" s="7" t="e">
        <f t="shared" si="503"/>
        <v>#REF!</v>
      </c>
      <c r="J888" s="7" t="e">
        <f t="shared" si="503"/>
        <v>#REF!</v>
      </c>
      <c r="K888" s="7">
        <f t="shared" si="503"/>
        <v>420</v>
      </c>
      <c r="L888" s="7">
        <f aca="true" t="shared" si="504" ref="L888">L890</f>
        <v>200</v>
      </c>
      <c r="M888" s="7">
        <f t="shared" si="473"/>
        <v>47.61904761904761</v>
      </c>
    </row>
    <row r="889" spans="1:13" ht="31.5">
      <c r="A889" s="31" t="s">
        <v>196</v>
      </c>
      <c r="B889" s="42" t="s">
        <v>283</v>
      </c>
      <c r="C889" s="42" t="s">
        <v>254</v>
      </c>
      <c r="D889" s="42" t="s">
        <v>396</v>
      </c>
      <c r="E889" s="42"/>
      <c r="F889" s="7" t="e">
        <f>F890</f>
        <v>#REF!</v>
      </c>
      <c r="G889" s="7" t="e">
        <f aca="true" t="shared" si="505" ref="G889:L890">G890</f>
        <v>#REF!</v>
      </c>
      <c r="H889" s="7" t="e">
        <f t="shared" si="505"/>
        <v>#REF!</v>
      </c>
      <c r="I889" s="7" t="e">
        <f t="shared" si="505"/>
        <v>#REF!</v>
      </c>
      <c r="J889" s="7" t="e">
        <f t="shared" si="505"/>
        <v>#REF!</v>
      </c>
      <c r="K889" s="7">
        <f t="shared" si="505"/>
        <v>420</v>
      </c>
      <c r="L889" s="7">
        <f t="shared" si="505"/>
        <v>200</v>
      </c>
      <c r="M889" s="7">
        <f t="shared" si="473"/>
        <v>47.61904761904761</v>
      </c>
    </row>
    <row r="890" spans="1:13" ht="31.5">
      <c r="A890" s="31" t="s">
        <v>287</v>
      </c>
      <c r="B890" s="42" t="s">
        <v>283</v>
      </c>
      <c r="C890" s="42" t="s">
        <v>254</v>
      </c>
      <c r="D890" s="42" t="s">
        <v>396</v>
      </c>
      <c r="E890" s="42" t="s">
        <v>288</v>
      </c>
      <c r="F890" s="7" t="e">
        <f>F891</f>
        <v>#REF!</v>
      </c>
      <c r="G890" s="7" t="e">
        <f t="shared" si="505"/>
        <v>#REF!</v>
      </c>
      <c r="H890" s="7" t="e">
        <f t="shared" si="505"/>
        <v>#REF!</v>
      </c>
      <c r="I890" s="7" t="e">
        <f t="shared" si="505"/>
        <v>#REF!</v>
      </c>
      <c r="J890" s="7" t="e">
        <f t="shared" si="505"/>
        <v>#REF!</v>
      </c>
      <c r="K890" s="7">
        <f t="shared" si="505"/>
        <v>420</v>
      </c>
      <c r="L890" s="7">
        <f t="shared" si="505"/>
        <v>200</v>
      </c>
      <c r="M890" s="7">
        <f t="shared" si="473"/>
        <v>47.61904761904761</v>
      </c>
    </row>
    <row r="891" spans="1:13" ht="31.5">
      <c r="A891" s="31" t="s">
        <v>387</v>
      </c>
      <c r="B891" s="42" t="s">
        <v>283</v>
      </c>
      <c r="C891" s="42" t="s">
        <v>254</v>
      </c>
      <c r="D891" s="42" t="s">
        <v>396</v>
      </c>
      <c r="E891" s="42" t="s">
        <v>388</v>
      </c>
      <c r="F891" s="7" t="e">
        <f>#REF!</f>
        <v>#REF!</v>
      </c>
      <c r="G891" s="7" t="e">
        <f>#REF!</f>
        <v>#REF!</v>
      </c>
      <c r="H891" s="7" t="e">
        <f>#REF!</f>
        <v>#REF!</v>
      </c>
      <c r="I891" s="7" t="e">
        <f>#REF!</f>
        <v>#REF!</v>
      </c>
      <c r="J891" s="7" t="e">
        <f>#REF!</f>
        <v>#REF!</v>
      </c>
      <c r="K891" s="7">
        <f>'Прил.№4 ведомств.'!G557</f>
        <v>420</v>
      </c>
      <c r="L891" s="7">
        <f>'Прил.№4 ведомств.'!H557</f>
        <v>200</v>
      </c>
      <c r="M891" s="7">
        <f t="shared" si="473"/>
        <v>47.61904761904761</v>
      </c>
    </row>
    <row r="892" spans="1:13" ht="15.75">
      <c r="A892" s="31" t="s">
        <v>397</v>
      </c>
      <c r="B892" s="6">
        <v>10</v>
      </c>
      <c r="C892" s="42" t="s">
        <v>254</v>
      </c>
      <c r="D892" s="42" t="s">
        <v>398</v>
      </c>
      <c r="E892" s="42"/>
      <c r="F892" s="7" t="e">
        <f aca="true" t="shared" si="506" ref="F892:L892">F893</f>
        <v>#REF!</v>
      </c>
      <c r="G892" s="7" t="e">
        <f t="shared" si="506"/>
        <v>#REF!</v>
      </c>
      <c r="H892" s="7" t="e">
        <f t="shared" si="506"/>
        <v>#REF!</v>
      </c>
      <c r="I892" s="7" t="e">
        <f t="shared" si="506"/>
        <v>#REF!</v>
      </c>
      <c r="J892" s="7" t="e">
        <f t="shared" si="506"/>
        <v>#REF!</v>
      </c>
      <c r="K892" s="7">
        <f t="shared" si="506"/>
        <v>1272.3000000000002</v>
      </c>
      <c r="L892" s="7">
        <f t="shared" si="506"/>
        <v>652.2</v>
      </c>
      <c r="M892" s="7">
        <f t="shared" si="473"/>
        <v>51.26149493044093</v>
      </c>
    </row>
    <row r="893" spans="1:13" ht="31.5">
      <c r="A893" s="31" t="s">
        <v>196</v>
      </c>
      <c r="B893" s="42" t="s">
        <v>283</v>
      </c>
      <c r="C893" s="42" t="s">
        <v>254</v>
      </c>
      <c r="D893" s="42" t="s">
        <v>399</v>
      </c>
      <c r="E893" s="42"/>
      <c r="F893" s="7" t="e">
        <f aca="true" t="shared" si="507" ref="F893:K893">F894+F896</f>
        <v>#REF!</v>
      </c>
      <c r="G893" s="7" t="e">
        <f t="shared" si="507"/>
        <v>#REF!</v>
      </c>
      <c r="H893" s="7" t="e">
        <f t="shared" si="507"/>
        <v>#REF!</v>
      </c>
      <c r="I893" s="7" t="e">
        <f t="shared" si="507"/>
        <v>#REF!</v>
      </c>
      <c r="J893" s="7" t="e">
        <f t="shared" si="507"/>
        <v>#REF!</v>
      </c>
      <c r="K893" s="7">
        <f t="shared" si="507"/>
        <v>1272.3000000000002</v>
      </c>
      <c r="L893" s="7">
        <f aca="true" t="shared" si="508" ref="L893">L894+L896</f>
        <v>652.2</v>
      </c>
      <c r="M893" s="7">
        <f t="shared" si="473"/>
        <v>51.26149493044093</v>
      </c>
    </row>
    <row r="894" spans="1:13" ht="31.5">
      <c r="A894" s="31" t="s">
        <v>170</v>
      </c>
      <c r="B894" s="42" t="s">
        <v>283</v>
      </c>
      <c r="C894" s="42" t="s">
        <v>254</v>
      </c>
      <c r="D894" s="42" t="s">
        <v>399</v>
      </c>
      <c r="E894" s="42" t="s">
        <v>171</v>
      </c>
      <c r="F894" s="7" t="e">
        <f aca="true" t="shared" si="509" ref="F894:L894">F895</f>
        <v>#REF!</v>
      </c>
      <c r="G894" s="7" t="e">
        <f t="shared" si="509"/>
        <v>#REF!</v>
      </c>
      <c r="H894" s="7" t="e">
        <f t="shared" si="509"/>
        <v>#REF!</v>
      </c>
      <c r="I894" s="7" t="e">
        <f t="shared" si="509"/>
        <v>#REF!</v>
      </c>
      <c r="J894" s="7" t="e">
        <f t="shared" si="509"/>
        <v>#REF!</v>
      </c>
      <c r="K894" s="7">
        <f t="shared" si="509"/>
        <v>356.6</v>
      </c>
      <c r="L894" s="7">
        <f t="shared" si="509"/>
        <v>201.3</v>
      </c>
      <c r="M894" s="7">
        <f t="shared" si="473"/>
        <v>56.449803701626465</v>
      </c>
    </row>
    <row r="895" spans="1:13" ht="47.25">
      <c r="A895" s="31" t="s">
        <v>172</v>
      </c>
      <c r="B895" s="42" t="s">
        <v>283</v>
      </c>
      <c r="C895" s="42" t="s">
        <v>254</v>
      </c>
      <c r="D895" s="42" t="s">
        <v>399</v>
      </c>
      <c r="E895" s="42" t="s">
        <v>173</v>
      </c>
      <c r="F895" s="7" t="e">
        <f>#REF!</f>
        <v>#REF!</v>
      </c>
      <c r="G895" s="7" t="e">
        <f>#REF!</f>
        <v>#REF!</v>
      </c>
      <c r="H895" s="7" t="e">
        <f>#REF!</f>
        <v>#REF!</v>
      </c>
      <c r="I895" s="7" t="e">
        <f>#REF!</f>
        <v>#REF!</v>
      </c>
      <c r="J895" s="7" t="e">
        <f>#REF!</f>
        <v>#REF!</v>
      </c>
      <c r="K895" s="7">
        <f>'Прил.№4 ведомств.'!G561</f>
        <v>356.6</v>
      </c>
      <c r="L895" s="7">
        <f>'Прил.№4 ведомств.'!H561</f>
        <v>201.3</v>
      </c>
      <c r="M895" s="7">
        <f t="shared" si="473"/>
        <v>56.449803701626465</v>
      </c>
    </row>
    <row r="896" spans="1:13" ht="31.5">
      <c r="A896" s="31" t="s">
        <v>287</v>
      </c>
      <c r="B896" s="42" t="s">
        <v>283</v>
      </c>
      <c r="C896" s="42" t="s">
        <v>254</v>
      </c>
      <c r="D896" s="42" t="s">
        <v>399</v>
      </c>
      <c r="E896" s="42" t="s">
        <v>288</v>
      </c>
      <c r="F896" s="7" t="e">
        <f aca="true" t="shared" si="510" ref="F896:L896">F897</f>
        <v>#REF!</v>
      </c>
      <c r="G896" s="7" t="e">
        <f t="shared" si="510"/>
        <v>#REF!</v>
      </c>
      <c r="H896" s="7" t="e">
        <f t="shared" si="510"/>
        <v>#REF!</v>
      </c>
      <c r="I896" s="7" t="e">
        <f t="shared" si="510"/>
        <v>#REF!</v>
      </c>
      <c r="J896" s="7" t="e">
        <f t="shared" si="510"/>
        <v>#REF!</v>
      </c>
      <c r="K896" s="7">
        <f t="shared" si="510"/>
        <v>915.7</v>
      </c>
      <c r="L896" s="7">
        <f t="shared" si="510"/>
        <v>450.9</v>
      </c>
      <c r="M896" s="7">
        <f t="shared" si="473"/>
        <v>49.24101780058971</v>
      </c>
    </row>
    <row r="897" spans="1:13" ht="31.5">
      <c r="A897" s="31" t="s">
        <v>387</v>
      </c>
      <c r="B897" s="42" t="s">
        <v>283</v>
      </c>
      <c r="C897" s="42" t="s">
        <v>254</v>
      </c>
      <c r="D897" s="42" t="s">
        <v>399</v>
      </c>
      <c r="E897" s="42" t="s">
        <v>388</v>
      </c>
      <c r="F897" s="7" t="e">
        <f>#REF!</f>
        <v>#REF!</v>
      </c>
      <c r="G897" s="7" t="e">
        <f>#REF!</f>
        <v>#REF!</v>
      </c>
      <c r="H897" s="7" t="e">
        <f>#REF!</f>
        <v>#REF!</v>
      </c>
      <c r="I897" s="7" t="e">
        <f>#REF!</f>
        <v>#REF!</v>
      </c>
      <c r="J897" s="7" t="e">
        <f>#REF!</f>
        <v>#REF!</v>
      </c>
      <c r="K897" s="7">
        <f>'Прил.№4 ведомств.'!G563</f>
        <v>915.7</v>
      </c>
      <c r="L897" s="7">
        <f>'Прил.№4 ведомств.'!H563</f>
        <v>450.9</v>
      </c>
      <c r="M897" s="7">
        <f t="shared" si="473"/>
        <v>49.24101780058971</v>
      </c>
    </row>
    <row r="898" spans="1:13" ht="31.5">
      <c r="A898" s="31" t="s">
        <v>400</v>
      </c>
      <c r="B898" s="42" t="s">
        <v>283</v>
      </c>
      <c r="C898" s="42" t="s">
        <v>254</v>
      </c>
      <c r="D898" s="42" t="s">
        <v>401</v>
      </c>
      <c r="E898" s="42"/>
      <c r="F898" s="7" t="e">
        <f>F899</f>
        <v>#REF!</v>
      </c>
      <c r="G898" s="7" t="e">
        <f aca="true" t="shared" si="511" ref="G898:L900">G899</f>
        <v>#REF!</v>
      </c>
      <c r="H898" s="7" t="e">
        <f t="shared" si="511"/>
        <v>#REF!</v>
      </c>
      <c r="I898" s="7" t="e">
        <f t="shared" si="511"/>
        <v>#REF!</v>
      </c>
      <c r="J898" s="7" t="e">
        <f t="shared" si="511"/>
        <v>#REF!</v>
      </c>
      <c r="K898" s="7">
        <f t="shared" si="511"/>
        <v>250</v>
      </c>
      <c r="L898" s="7">
        <f t="shared" si="511"/>
        <v>158</v>
      </c>
      <c r="M898" s="7">
        <f t="shared" si="473"/>
        <v>63.2</v>
      </c>
    </row>
    <row r="899" spans="1:13" ht="31.5">
      <c r="A899" s="31" t="s">
        <v>196</v>
      </c>
      <c r="B899" s="42" t="s">
        <v>283</v>
      </c>
      <c r="C899" s="42" t="s">
        <v>254</v>
      </c>
      <c r="D899" s="42" t="s">
        <v>402</v>
      </c>
      <c r="E899" s="42"/>
      <c r="F899" s="7" t="e">
        <f>F900</f>
        <v>#REF!</v>
      </c>
      <c r="G899" s="7" t="e">
        <f t="shared" si="511"/>
        <v>#REF!</v>
      </c>
      <c r="H899" s="7" t="e">
        <f t="shared" si="511"/>
        <v>#REF!</v>
      </c>
      <c r="I899" s="7" t="e">
        <f t="shared" si="511"/>
        <v>#REF!</v>
      </c>
      <c r="J899" s="7" t="e">
        <f t="shared" si="511"/>
        <v>#REF!</v>
      </c>
      <c r="K899" s="7">
        <f t="shared" si="511"/>
        <v>250</v>
      </c>
      <c r="L899" s="7">
        <f t="shared" si="511"/>
        <v>158</v>
      </c>
      <c r="M899" s="7">
        <f t="shared" si="473"/>
        <v>63.2</v>
      </c>
    </row>
    <row r="900" spans="1:13" ht="31.5">
      <c r="A900" s="31" t="s">
        <v>287</v>
      </c>
      <c r="B900" s="42" t="s">
        <v>283</v>
      </c>
      <c r="C900" s="42" t="s">
        <v>254</v>
      </c>
      <c r="D900" s="42" t="s">
        <v>402</v>
      </c>
      <c r="E900" s="42" t="s">
        <v>288</v>
      </c>
      <c r="F900" s="7" t="e">
        <f>F901</f>
        <v>#REF!</v>
      </c>
      <c r="G900" s="7" t="e">
        <f t="shared" si="511"/>
        <v>#REF!</v>
      </c>
      <c r="H900" s="7" t="e">
        <f t="shared" si="511"/>
        <v>#REF!</v>
      </c>
      <c r="I900" s="7" t="e">
        <f t="shared" si="511"/>
        <v>#REF!</v>
      </c>
      <c r="J900" s="7" t="e">
        <f t="shared" si="511"/>
        <v>#REF!</v>
      </c>
      <c r="K900" s="7">
        <f t="shared" si="511"/>
        <v>250</v>
      </c>
      <c r="L900" s="7">
        <f t="shared" si="511"/>
        <v>158</v>
      </c>
      <c r="M900" s="7">
        <f t="shared" si="473"/>
        <v>63.2</v>
      </c>
    </row>
    <row r="901" spans="1:13" ht="31.5">
      <c r="A901" s="31" t="s">
        <v>387</v>
      </c>
      <c r="B901" s="42" t="s">
        <v>283</v>
      </c>
      <c r="C901" s="42" t="s">
        <v>254</v>
      </c>
      <c r="D901" s="42" t="s">
        <v>402</v>
      </c>
      <c r="E901" s="42" t="s">
        <v>388</v>
      </c>
      <c r="F901" s="7" t="e">
        <f>#REF!</f>
        <v>#REF!</v>
      </c>
      <c r="G901" s="7" t="e">
        <f>#REF!</f>
        <v>#REF!</v>
      </c>
      <c r="H901" s="7" t="e">
        <f>#REF!</f>
        <v>#REF!</v>
      </c>
      <c r="I901" s="7" t="e">
        <f>#REF!</f>
        <v>#REF!</v>
      </c>
      <c r="J901" s="7" t="e">
        <f>#REF!</f>
        <v>#REF!</v>
      </c>
      <c r="K901" s="7">
        <f>'Прил.№4 ведомств.'!G567</f>
        <v>250</v>
      </c>
      <c r="L901" s="7">
        <f>'Прил.№4 ведомств.'!H567</f>
        <v>158</v>
      </c>
      <c r="M901" s="7">
        <f t="shared" si="473"/>
        <v>63.2</v>
      </c>
    </row>
    <row r="902" spans="1:13" ht="47.25" hidden="1">
      <c r="A902" s="31" t="s">
        <v>403</v>
      </c>
      <c r="B902" s="42" t="s">
        <v>283</v>
      </c>
      <c r="C902" s="42" t="s">
        <v>254</v>
      </c>
      <c r="D902" s="42" t="s">
        <v>404</v>
      </c>
      <c r="E902" s="42"/>
      <c r="F902" s="7" t="e">
        <f>F903</f>
        <v>#REF!</v>
      </c>
      <c r="G902" s="7" t="e">
        <f aca="true" t="shared" si="512" ref="G902:L904">G903</f>
        <v>#REF!</v>
      </c>
      <c r="H902" s="7" t="e">
        <f t="shared" si="512"/>
        <v>#REF!</v>
      </c>
      <c r="I902" s="7" t="e">
        <f t="shared" si="512"/>
        <v>#REF!</v>
      </c>
      <c r="J902" s="7" t="e">
        <f t="shared" si="512"/>
        <v>#REF!</v>
      </c>
      <c r="K902" s="7">
        <f t="shared" si="512"/>
        <v>0</v>
      </c>
      <c r="L902" s="7">
        <f t="shared" si="512"/>
        <v>0</v>
      </c>
      <c r="M902" s="7" t="e">
        <f t="shared" si="473"/>
        <v>#DIV/0!</v>
      </c>
    </row>
    <row r="903" spans="1:13" ht="31.5" hidden="1">
      <c r="A903" s="31" t="s">
        <v>196</v>
      </c>
      <c r="B903" s="42" t="s">
        <v>283</v>
      </c>
      <c r="C903" s="42" t="s">
        <v>254</v>
      </c>
      <c r="D903" s="42" t="s">
        <v>405</v>
      </c>
      <c r="E903" s="42"/>
      <c r="F903" s="7" t="e">
        <f>F904</f>
        <v>#REF!</v>
      </c>
      <c r="G903" s="7" t="e">
        <f t="shared" si="512"/>
        <v>#REF!</v>
      </c>
      <c r="H903" s="7" t="e">
        <f t="shared" si="512"/>
        <v>#REF!</v>
      </c>
      <c r="I903" s="7" t="e">
        <f t="shared" si="512"/>
        <v>#REF!</v>
      </c>
      <c r="J903" s="7" t="e">
        <f t="shared" si="512"/>
        <v>#REF!</v>
      </c>
      <c r="K903" s="7">
        <f t="shared" si="512"/>
        <v>0</v>
      </c>
      <c r="L903" s="7">
        <f t="shared" si="512"/>
        <v>0</v>
      </c>
      <c r="M903" s="7" t="e">
        <f t="shared" si="473"/>
        <v>#DIV/0!</v>
      </c>
    </row>
    <row r="904" spans="1:13" ht="31.5" hidden="1">
      <c r="A904" s="31" t="s">
        <v>170</v>
      </c>
      <c r="B904" s="42" t="s">
        <v>283</v>
      </c>
      <c r="C904" s="42" t="s">
        <v>254</v>
      </c>
      <c r="D904" s="42" t="s">
        <v>405</v>
      </c>
      <c r="E904" s="42" t="s">
        <v>171</v>
      </c>
      <c r="F904" s="7" t="e">
        <f>F905</f>
        <v>#REF!</v>
      </c>
      <c r="G904" s="7" t="e">
        <f t="shared" si="512"/>
        <v>#REF!</v>
      </c>
      <c r="H904" s="7" t="e">
        <f t="shared" si="512"/>
        <v>#REF!</v>
      </c>
      <c r="I904" s="7" t="e">
        <f t="shared" si="512"/>
        <v>#REF!</v>
      </c>
      <c r="J904" s="7" t="e">
        <f t="shared" si="512"/>
        <v>#REF!</v>
      </c>
      <c r="K904" s="7">
        <f t="shared" si="512"/>
        <v>0</v>
      </c>
      <c r="L904" s="7">
        <f t="shared" si="512"/>
        <v>0</v>
      </c>
      <c r="M904" s="7" t="e">
        <f t="shared" si="473"/>
        <v>#DIV/0!</v>
      </c>
    </row>
    <row r="905" spans="1:13" ht="47.25" hidden="1">
      <c r="A905" s="31" t="s">
        <v>172</v>
      </c>
      <c r="B905" s="42" t="s">
        <v>283</v>
      </c>
      <c r="C905" s="42" t="s">
        <v>254</v>
      </c>
      <c r="D905" s="42" t="s">
        <v>405</v>
      </c>
      <c r="E905" s="42" t="s">
        <v>173</v>
      </c>
      <c r="F905" s="7" t="e">
        <f>#REF!</f>
        <v>#REF!</v>
      </c>
      <c r="G905" s="7" t="e">
        <f>#REF!</f>
        <v>#REF!</v>
      </c>
      <c r="H905" s="7" t="e">
        <f>#REF!</f>
        <v>#REF!</v>
      </c>
      <c r="I905" s="7" t="e">
        <f>#REF!</f>
        <v>#REF!</v>
      </c>
      <c r="J905" s="7" t="e">
        <f>#REF!</f>
        <v>#REF!</v>
      </c>
      <c r="K905" s="7">
        <f>'Прил.№4 ведомств.'!G571</f>
        <v>0</v>
      </c>
      <c r="L905" s="7">
        <f>'Прил.№4 ведомств.'!H571</f>
        <v>0</v>
      </c>
      <c r="M905" s="7" t="e">
        <f t="shared" si="473"/>
        <v>#DIV/0!</v>
      </c>
    </row>
    <row r="906" spans="1:13" ht="47.25" hidden="1">
      <c r="A906" s="31" t="s">
        <v>406</v>
      </c>
      <c r="B906" s="42" t="s">
        <v>283</v>
      </c>
      <c r="C906" s="42" t="s">
        <v>254</v>
      </c>
      <c r="D906" s="42" t="s">
        <v>407</v>
      </c>
      <c r="E906" s="42"/>
      <c r="F906" s="7" t="e">
        <f aca="true" t="shared" si="513" ref="F906:K906">F907+F912+F915+F918</f>
        <v>#REF!</v>
      </c>
      <c r="G906" s="7" t="e">
        <f t="shared" si="513"/>
        <v>#REF!</v>
      </c>
      <c r="H906" s="7" t="e">
        <f t="shared" si="513"/>
        <v>#REF!</v>
      </c>
      <c r="I906" s="7" t="e">
        <f t="shared" si="513"/>
        <v>#REF!</v>
      </c>
      <c r="J906" s="7" t="e">
        <f t="shared" si="513"/>
        <v>#REF!</v>
      </c>
      <c r="K906" s="7">
        <f t="shared" si="513"/>
        <v>0</v>
      </c>
      <c r="L906" s="7">
        <f aca="true" t="shared" si="514" ref="L906">L907+L912+L915+L918</f>
        <v>0</v>
      </c>
      <c r="M906" s="7" t="e">
        <f t="shared" si="473"/>
        <v>#DIV/0!</v>
      </c>
    </row>
    <row r="907" spans="1:13" ht="31.5" hidden="1">
      <c r="A907" s="31" t="s">
        <v>196</v>
      </c>
      <c r="B907" s="42" t="s">
        <v>283</v>
      </c>
      <c r="C907" s="42" t="s">
        <v>254</v>
      </c>
      <c r="D907" s="42" t="s">
        <v>409</v>
      </c>
      <c r="E907" s="42"/>
      <c r="F907" s="7" t="e">
        <f aca="true" t="shared" si="515" ref="F907:K907">F910+F908</f>
        <v>#REF!</v>
      </c>
      <c r="G907" s="7" t="e">
        <f t="shared" si="515"/>
        <v>#REF!</v>
      </c>
      <c r="H907" s="7" t="e">
        <f t="shared" si="515"/>
        <v>#REF!</v>
      </c>
      <c r="I907" s="7" t="e">
        <f t="shared" si="515"/>
        <v>#REF!</v>
      </c>
      <c r="J907" s="7" t="e">
        <f t="shared" si="515"/>
        <v>#REF!</v>
      </c>
      <c r="K907" s="7">
        <f t="shared" si="515"/>
        <v>0</v>
      </c>
      <c r="L907" s="7">
        <f aca="true" t="shared" si="516" ref="L907">L910+L908</f>
        <v>0</v>
      </c>
      <c r="M907" s="7" t="e">
        <f t="shared" si="473"/>
        <v>#DIV/0!</v>
      </c>
    </row>
    <row r="908" spans="1:13" ht="31.5" customHeight="1" hidden="1">
      <c r="A908" s="31" t="s">
        <v>170</v>
      </c>
      <c r="B908" s="42" t="s">
        <v>283</v>
      </c>
      <c r="C908" s="42" t="s">
        <v>254</v>
      </c>
      <c r="D908" s="42" t="s">
        <v>409</v>
      </c>
      <c r="E908" s="42" t="s">
        <v>171</v>
      </c>
      <c r="F908" s="7">
        <f aca="true" t="shared" si="517" ref="F908:L908">F909</f>
        <v>0</v>
      </c>
      <c r="G908" s="7">
        <f t="shared" si="517"/>
        <v>0</v>
      </c>
      <c r="H908" s="7">
        <f t="shared" si="517"/>
        <v>0</v>
      </c>
      <c r="I908" s="7">
        <f t="shared" si="517"/>
        <v>0</v>
      </c>
      <c r="J908" s="7">
        <f t="shared" si="517"/>
        <v>0</v>
      </c>
      <c r="K908" s="7">
        <f t="shared" si="517"/>
        <v>0</v>
      </c>
      <c r="L908" s="7">
        <f t="shared" si="517"/>
        <v>0</v>
      </c>
      <c r="M908" s="7" t="e">
        <f t="shared" si="473"/>
        <v>#DIV/0!</v>
      </c>
    </row>
    <row r="909" spans="1:13" ht="47.25" customHeight="1" hidden="1">
      <c r="A909" s="31" t="s">
        <v>172</v>
      </c>
      <c r="B909" s="42" t="s">
        <v>283</v>
      </c>
      <c r="C909" s="42" t="s">
        <v>254</v>
      </c>
      <c r="D909" s="42" t="s">
        <v>409</v>
      </c>
      <c r="E909" s="42" t="s">
        <v>173</v>
      </c>
      <c r="F909" s="7"/>
      <c r="G909" s="7"/>
      <c r="H909" s="7"/>
      <c r="I909" s="7"/>
      <c r="J909" s="7"/>
      <c r="K909" s="7"/>
      <c r="L909" s="7"/>
      <c r="M909" s="7" t="e">
        <f t="shared" si="473"/>
        <v>#DIV/0!</v>
      </c>
    </row>
    <row r="910" spans="1:13" ht="47.25" hidden="1">
      <c r="A910" s="26" t="s">
        <v>311</v>
      </c>
      <c r="B910" s="42" t="s">
        <v>283</v>
      </c>
      <c r="C910" s="42" t="s">
        <v>254</v>
      </c>
      <c r="D910" s="42" t="s">
        <v>409</v>
      </c>
      <c r="E910" s="42" t="s">
        <v>312</v>
      </c>
      <c r="F910" s="7" t="e">
        <f aca="true" t="shared" si="518" ref="F910:L910">F911</f>
        <v>#REF!</v>
      </c>
      <c r="G910" s="7" t="e">
        <f t="shared" si="518"/>
        <v>#REF!</v>
      </c>
      <c r="H910" s="7" t="e">
        <f t="shared" si="518"/>
        <v>#REF!</v>
      </c>
      <c r="I910" s="7" t="e">
        <f t="shared" si="518"/>
        <v>#REF!</v>
      </c>
      <c r="J910" s="7" t="e">
        <f t="shared" si="518"/>
        <v>#REF!</v>
      </c>
      <c r="K910" s="7">
        <f t="shared" si="518"/>
        <v>0</v>
      </c>
      <c r="L910" s="7">
        <f t="shared" si="518"/>
        <v>0</v>
      </c>
      <c r="M910" s="7" t="e">
        <f t="shared" si="473"/>
        <v>#DIV/0!</v>
      </c>
    </row>
    <row r="911" spans="1:13" ht="49.5" customHeight="1" hidden="1">
      <c r="A911" s="41" t="s">
        <v>410</v>
      </c>
      <c r="B911" s="42" t="s">
        <v>283</v>
      </c>
      <c r="C911" s="42" t="s">
        <v>254</v>
      </c>
      <c r="D911" s="42" t="s">
        <v>409</v>
      </c>
      <c r="E911" s="42" t="s">
        <v>411</v>
      </c>
      <c r="F911" s="7" t="e">
        <f>#REF!</f>
        <v>#REF!</v>
      </c>
      <c r="G911" s="7" t="e">
        <f>#REF!</f>
        <v>#REF!</v>
      </c>
      <c r="H911" s="7" t="e">
        <f>#REF!</f>
        <v>#REF!</v>
      </c>
      <c r="I911" s="7" t="e">
        <f>#REF!</f>
        <v>#REF!</v>
      </c>
      <c r="J911" s="7" t="e">
        <f>#REF!</f>
        <v>#REF!</v>
      </c>
      <c r="K911" s="7">
        <f>'Прил.№4 ведомств.'!G575</f>
        <v>0</v>
      </c>
      <c r="L911" s="7">
        <f>'Прил.№4 ведомств.'!H575</f>
        <v>0</v>
      </c>
      <c r="M911" s="7" t="e">
        <f aca="true" t="shared" si="519" ref="M911:M974">L911/K911*100</f>
        <v>#DIV/0!</v>
      </c>
    </row>
    <row r="912" spans="1:13" ht="110.25" customHeight="1" hidden="1">
      <c r="A912" s="26" t="s">
        <v>412</v>
      </c>
      <c r="B912" s="21" t="s">
        <v>283</v>
      </c>
      <c r="C912" s="21" t="s">
        <v>254</v>
      </c>
      <c r="D912" s="21" t="s">
        <v>413</v>
      </c>
      <c r="E912" s="42"/>
      <c r="F912" s="7">
        <f>F913</f>
        <v>0</v>
      </c>
      <c r="G912" s="7">
        <f aca="true" t="shared" si="520" ref="G912:L913">G913</f>
        <v>0</v>
      </c>
      <c r="H912" s="7">
        <f t="shared" si="520"/>
        <v>0</v>
      </c>
      <c r="I912" s="7">
        <f t="shared" si="520"/>
        <v>0</v>
      </c>
      <c r="J912" s="7">
        <f t="shared" si="520"/>
        <v>0</v>
      </c>
      <c r="K912" s="7">
        <f t="shared" si="520"/>
        <v>0</v>
      </c>
      <c r="L912" s="7">
        <f t="shared" si="520"/>
        <v>0</v>
      </c>
      <c r="M912" s="7" t="e">
        <f t="shared" si="519"/>
        <v>#DIV/0!</v>
      </c>
    </row>
    <row r="913" spans="1:13" ht="15.75" customHeight="1" hidden="1">
      <c r="A913" s="26" t="s">
        <v>174</v>
      </c>
      <c r="B913" s="21" t="s">
        <v>283</v>
      </c>
      <c r="C913" s="21" t="s">
        <v>254</v>
      </c>
      <c r="D913" s="21" t="s">
        <v>413</v>
      </c>
      <c r="E913" s="42" t="s">
        <v>184</v>
      </c>
      <c r="F913" s="7">
        <f>F914</f>
        <v>0</v>
      </c>
      <c r="G913" s="7">
        <f t="shared" si="520"/>
        <v>0</v>
      </c>
      <c r="H913" s="7">
        <f t="shared" si="520"/>
        <v>0</v>
      </c>
      <c r="I913" s="7">
        <f t="shared" si="520"/>
        <v>0</v>
      </c>
      <c r="J913" s="7">
        <f t="shared" si="520"/>
        <v>0</v>
      </c>
      <c r="K913" s="7">
        <f t="shared" si="520"/>
        <v>0</v>
      </c>
      <c r="L913" s="7">
        <f t="shared" si="520"/>
        <v>0</v>
      </c>
      <c r="M913" s="7" t="e">
        <f t="shared" si="519"/>
        <v>#DIV/0!</v>
      </c>
    </row>
    <row r="914" spans="1:13" ht="47.25" customHeight="1" hidden="1">
      <c r="A914" s="26" t="s">
        <v>223</v>
      </c>
      <c r="B914" s="21" t="s">
        <v>283</v>
      </c>
      <c r="C914" s="21" t="s">
        <v>254</v>
      </c>
      <c r="D914" s="21" t="s">
        <v>413</v>
      </c>
      <c r="E914" s="42" t="s">
        <v>199</v>
      </c>
      <c r="F914" s="7"/>
      <c r="G914" s="7"/>
      <c r="H914" s="7"/>
      <c r="I914" s="7"/>
      <c r="J914" s="7"/>
      <c r="K914" s="7"/>
      <c r="L914" s="7"/>
      <c r="M914" s="7" t="e">
        <f t="shared" si="519"/>
        <v>#DIV/0!</v>
      </c>
    </row>
    <row r="915" spans="1:13" ht="47.25" hidden="1">
      <c r="A915" s="26" t="s">
        <v>414</v>
      </c>
      <c r="B915" s="21" t="s">
        <v>283</v>
      </c>
      <c r="C915" s="21" t="s">
        <v>254</v>
      </c>
      <c r="D915" s="21" t="s">
        <v>415</v>
      </c>
      <c r="E915" s="42"/>
      <c r="F915" s="7">
        <f>F916</f>
        <v>10</v>
      </c>
      <c r="G915" s="7">
        <f aca="true" t="shared" si="521" ref="G915:L916">G916</f>
        <v>10</v>
      </c>
      <c r="H915" s="7">
        <f t="shared" si="521"/>
        <v>10</v>
      </c>
      <c r="I915" s="7">
        <f t="shared" si="521"/>
        <v>10</v>
      </c>
      <c r="J915" s="7">
        <f t="shared" si="521"/>
        <v>10</v>
      </c>
      <c r="K915" s="7">
        <f t="shared" si="521"/>
        <v>0</v>
      </c>
      <c r="L915" s="7">
        <f t="shared" si="521"/>
        <v>0</v>
      </c>
      <c r="M915" s="7" t="e">
        <f t="shared" si="519"/>
        <v>#DIV/0!</v>
      </c>
    </row>
    <row r="916" spans="1:13" ht="31.5" hidden="1">
      <c r="A916" s="26" t="s">
        <v>287</v>
      </c>
      <c r="B916" s="21" t="s">
        <v>283</v>
      </c>
      <c r="C916" s="21" t="s">
        <v>254</v>
      </c>
      <c r="D916" s="21" t="s">
        <v>415</v>
      </c>
      <c r="E916" s="42" t="s">
        <v>288</v>
      </c>
      <c r="F916" s="7">
        <f>F917</f>
        <v>10</v>
      </c>
      <c r="G916" s="7">
        <f t="shared" si="521"/>
        <v>10</v>
      </c>
      <c r="H916" s="7">
        <f t="shared" si="521"/>
        <v>10</v>
      </c>
      <c r="I916" s="7">
        <f t="shared" si="521"/>
        <v>10</v>
      </c>
      <c r="J916" s="7">
        <f t="shared" si="521"/>
        <v>10</v>
      </c>
      <c r="K916" s="7">
        <f t="shared" si="521"/>
        <v>0</v>
      </c>
      <c r="L916" s="7">
        <f t="shared" si="521"/>
        <v>0</v>
      </c>
      <c r="M916" s="7" t="e">
        <f t="shared" si="519"/>
        <v>#DIV/0!</v>
      </c>
    </row>
    <row r="917" spans="1:13" ht="31.5" hidden="1">
      <c r="A917" s="26" t="s">
        <v>289</v>
      </c>
      <c r="B917" s="21" t="s">
        <v>283</v>
      </c>
      <c r="C917" s="21" t="s">
        <v>254</v>
      </c>
      <c r="D917" s="21" t="s">
        <v>415</v>
      </c>
      <c r="E917" s="42" t="s">
        <v>290</v>
      </c>
      <c r="F917" s="7">
        <v>10</v>
      </c>
      <c r="G917" s="7">
        <v>10</v>
      </c>
      <c r="H917" s="7">
        <v>10</v>
      </c>
      <c r="I917" s="7">
        <v>10</v>
      </c>
      <c r="J917" s="7">
        <v>10</v>
      </c>
      <c r="K917" s="7"/>
      <c r="L917" s="7"/>
      <c r="M917" s="7" t="e">
        <f t="shared" si="519"/>
        <v>#DIV/0!</v>
      </c>
    </row>
    <row r="918" spans="1:13" ht="31.5" customHeight="1" hidden="1">
      <c r="A918" s="31" t="s">
        <v>416</v>
      </c>
      <c r="B918" s="42" t="s">
        <v>283</v>
      </c>
      <c r="C918" s="42" t="s">
        <v>254</v>
      </c>
      <c r="D918" s="21" t="s">
        <v>417</v>
      </c>
      <c r="E918" s="42"/>
      <c r="F918" s="7">
        <f>F919</f>
        <v>0</v>
      </c>
      <c r="G918" s="7">
        <f aca="true" t="shared" si="522" ref="G918:L919">G919</f>
        <v>0</v>
      </c>
      <c r="H918" s="7">
        <f t="shared" si="522"/>
        <v>0</v>
      </c>
      <c r="I918" s="7">
        <f t="shared" si="522"/>
        <v>0</v>
      </c>
      <c r="J918" s="7">
        <f t="shared" si="522"/>
        <v>0</v>
      </c>
      <c r="K918" s="7">
        <f t="shared" si="522"/>
        <v>0</v>
      </c>
      <c r="L918" s="7">
        <f t="shared" si="522"/>
        <v>0</v>
      </c>
      <c r="M918" s="7" t="e">
        <f t="shared" si="519"/>
        <v>#DIV/0!</v>
      </c>
    </row>
    <row r="919" spans="1:13" ht="31.5" customHeight="1" hidden="1">
      <c r="A919" s="31" t="s">
        <v>170</v>
      </c>
      <c r="B919" s="42" t="s">
        <v>283</v>
      </c>
      <c r="C919" s="42" t="s">
        <v>254</v>
      </c>
      <c r="D919" s="21" t="s">
        <v>417</v>
      </c>
      <c r="E919" s="42" t="s">
        <v>171</v>
      </c>
      <c r="F919" s="7">
        <f>F920</f>
        <v>0</v>
      </c>
      <c r="G919" s="7">
        <f t="shared" si="522"/>
        <v>0</v>
      </c>
      <c r="H919" s="7">
        <f t="shared" si="522"/>
        <v>0</v>
      </c>
      <c r="I919" s="7">
        <f t="shared" si="522"/>
        <v>0</v>
      </c>
      <c r="J919" s="7">
        <f t="shared" si="522"/>
        <v>0</v>
      </c>
      <c r="K919" s="7">
        <f t="shared" si="522"/>
        <v>0</v>
      </c>
      <c r="L919" s="7">
        <f t="shared" si="522"/>
        <v>0</v>
      </c>
      <c r="M919" s="7" t="e">
        <f t="shared" si="519"/>
        <v>#DIV/0!</v>
      </c>
    </row>
    <row r="920" spans="1:13" ht="47.25" customHeight="1" hidden="1">
      <c r="A920" s="31" t="s">
        <v>172</v>
      </c>
      <c r="B920" s="42" t="s">
        <v>283</v>
      </c>
      <c r="C920" s="42" t="s">
        <v>254</v>
      </c>
      <c r="D920" s="21" t="s">
        <v>417</v>
      </c>
      <c r="E920" s="42" t="s">
        <v>173</v>
      </c>
      <c r="F920" s="7">
        <f aca="true" t="shared" si="523" ref="F920:L920">4.5-4.5</f>
        <v>0</v>
      </c>
      <c r="G920" s="7">
        <f t="shared" si="523"/>
        <v>0</v>
      </c>
      <c r="H920" s="7">
        <f t="shared" si="523"/>
        <v>0</v>
      </c>
      <c r="I920" s="7">
        <f t="shared" si="523"/>
        <v>0</v>
      </c>
      <c r="J920" s="7">
        <f t="shared" si="523"/>
        <v>0</v>
      </c>
      <c r="K920" s="7">
        <f t="shared" si="523"/>
        <v>0</v>
      </c>
      <c r="L920" s="7">
        <f t="shared" si="523"/>
        <v>0</v>
      </c>
      <c r="M920" s="7" t="e">
        <f t="shared" si="519"/>
        <v>#DIV/0!</v>
      </c>
    </row>
    <row r="921" spans="1:13" ht="94.5" hidden="1">
      <c r="A921" s="31" t="s">
        <v>419</v>
      </c>
      <c r="B921" s="42" t="s">
        <v>283</v>
      </c>
      <c r="C921" s="42" t="s">
        <v>254</v>
      </c>
      <c r="D921" s="42" t="s">
        <v>420</v>
      </c>
      <c r="E921" s="42"/>
      <c r="F921" s="7" t="e">
        <f>F922</f>
        <v>#REF!</v>
      </c>
      <c r="G921" s="7" t="e">
        <f aca="true" t="shared" si="524" ref="G921:L923">G922</f>
        <v>#REF!</v>
      </c>
      <c r="H921" s="7" t="e">
        <f t="shared" si="524"/>
        <v>#REF!</v>
      </c>
      <c r="I921" s="7" t="e">
        <f t="shared" si="524"/>
        <v>#REF!</v>
      </c>
      <c r="J921" s="7" t="e">
        <f t="shared" si="524"/>
        <v>#REF!</v>
      </c>
      <c r="K921" s="7">
        <f t="shared" si="524"/>
        <v>0</v>
      </c>
      <c r="L921" s="7">
        <f t="shared" si="524"/>
        <v>0</v>
      </c>
      <c r="M921" s="7" t="e">
        <f t="shared" si="519"/>
        <v>#DIV/0!</v>
      </c>
    </row>
    <row r="922" spans="1:13" ht="31.5" hidden="1">
      <c r="A922" s="31" t="s">
        <v>196</v>
      </c>
      <c r="B922" s="42" t="s">
        <v>283</v>
      </c>
      <c r="C922" s="42" t="s">
        <v>254</v>
      </c>
      <c r="D922" s="42" t="s">
        <v>421</v>
      </c>
      <c r="E922" s="42"/>
      <c r="F922" s="7" t="e">
        <f>F923</f>
        <v>#REF!</v>
      </c>
      <c r="G922" s="7" t="e">
        <f t="shared" si="524"/>
        <v>#REF!</v>
      </c>
      <c r="H922" s="7" t="e">
        <f t="shared" si="524"/>
        <v>#REF!</v>
      </c>
      <c r="I922" s="7" t="e">
        <f t="shared" si="524"/>
        <v>#REF!</v>
      </c>
      <c r="J922" s="7" t="e">
        <f t="shared" si="524"/>
        <v>#REF!</v>
      </c>
      <c r="K922" s="7">
        <f t="shared" si="524"/>
        <v>0</v>
      </c>
      <c r="L922" s="7">
        <f t="shared" si="524"/>
        <v>0</v>
      </c>
      <c r="M922" s="7" t="e">
        <f t="shared" si="519"/>
        <v>#DIV/0!</v>
      </c>
    </row>
    <row r="923" spans="1:13" ht="31.5" hidden="1">
      <c r="A923" s="31" t="s">
        <v>170</v>
      </c>
      <c r="B923" s="42" t="s">
        <v>283</v>
      </c>
      <c r="C923" s="42" t="s">
        <v>254</v>
      </c>
      <c r="D923" s="42" t="s">
        <v>421</v>
      </c>
      <c r="E923" s="42" t="s">
        <v>171</v>
      </c>
      <c r="F923" s="7" t="e">
        <f>F924</f>
        <v>#REF!</v>
      </c>
      <c r="G923" s="7" t="e">
        <f t="shared" si="524"/>
        <v>#REF!</v>
      </c>
      <c r="H923" s="7" t="e">
        <f t="shared" si="524"/>
        <v>#REF!</v>
      </c>
      <c r="I923" s="7" t="e">
        <f t="shared" si="524"/>
        <v>#REF!</v>
      </c>
      <c r="J923" s="7" t="e">
        <f t="shared" si="524"/>
        <v>#REF!</v>
      </c>
      <c r="K923" s="7">
        <f t="shared" si="524"/>
        <v>0</v>
      </c>
      <c r="L923" s="7">
        <f t="shared" si="524"/>
        <v>0</v>
      </c>
      <c r="M923" s="7" t="e">
        <f t="shared" si="519"/>
        <v>#DIV/0!</v>
      </c>
    </row>
    <row r="924" spans="1:13" ht="47.25" hidden="1">
      <c r="A924" s="31" t="s">
        <v>172</v>
      </c>
      <c r="B924" s="42" t="s">
        <v>283</v>
      </c>
      <c r="C924" s="42" t="s">
        <v>254</v>
      </c>
      <c r="D924" s="42" t="s">
        <v>421</v>
      </c>
      <c r="E924" s="42" t="s">
        <v>173</v>
      </c>
      <c r="F924" s="7" t="e">
        <f>#REF!</f>
        <v>#REF!</v>
      </c>
      <c r="G924" s="7" t="e">
        <f>#REF!</f>
        <v>#REF!</v>
      </c>
      <c r="H924" s="7" t="e">
        <f>#REF!</f>
        <v>#REF!</v>
      </c>
      <c r="I924" s="7" t="e">
        <f>#REF!</f>
        <v>#REF!</v>
      </c>
      <c r="J924" s="7" t="e">
        <f>#REF!</f>
        <v>#REF!</v>
      </c>
      <c r="K924" s="7">
        <f>'Прил.№4 ведомств.'!G593</f>
        <v>0</v>
      </c>
      <c r="L924" s="7">
        <f>'Прил.№4 ведомств.'!H593</f>
        <v>0</v>
      </c>
      <c r="M924" s="7" t="e">
        <f t="shared" si="519"/>
        <v>#DIV/0!</v>
      </c>
    </row>
    <row r="925" spans="1:13" ht="78.75">
      <c r="A925" s="26" t="s">
        <v>292</v>
      </c>
      <c r="B925" s="42" t="s">
        <v>283</v>
      </c>
      <c r="C925" s="42" t="s">
        <v>254</v>
      </c>
      <c r="D925" s="21" t="s">
        <v>293</v>
      </c>
      <c r="E925" s="21"/>
      <c r="F925" s="7" t="e">
        <f>F926</f>
        <v>#REF!</v>
      </c>
      <c r="G925" s="7" t="e">
        <f aca="true" t="shared" si="525" ref="G925:L927">G926</f>
        <v>#REF!</v>
      </c>
      <c r="H925" s="7">
        <f t="shared" si="525"/>
        <v>10</v>
      </c>
      <c r="I925" s="7">
        <f t="shared" si="525"/>
        <v>10</v>
      </c>
      <c r="J925" s="7">
        <f t="shared" si="525"/>
        <v>10</v>
      </c>
      <c r="K925" s="7">
        <f t="shared" si="525"/>
        <v>10</v>
      </c>
      <c r="L925" s="7">
        <f t="shared" si="525"/>
        <v>0</v>
      </c>
      <c r="M925" s="7">
        <f t="shared" si="519"/>
        <v>0</v>
      </c>
    </row>
    <row r="926" spans="1:13" ht="31.5">
      <c r="A926" s="26" t="s">
        <v>196</v>
      </c>
      <c r="B926" s="42" t="s">
        <v>283</v>
      </c>
      <c r="C926" s="42" t="s">
        <v>254</v>
      </c>
      <c r="D926" s="21" t="s">
        <v>294</v>
      </c>
      <c r="E926" s="21"/>
      <c r="F926" s="7" t="e">
        <f>F927</f>
        <v>#REF!</v>
      </c>
      <c r="G926" s="7" t="e">
        <f t="shared" si="525"/>
        <v>#REF!</v>
      </c>
      <c r="H926" s="7">
        <f t="shared" si="525"/>
        <v>10</v>
      </c>
      <c r="I926" s="7">
        <f t="shared" si="525"/>
        <v>10</v>
      </c>
      <c r="J926" s="7">
        <f t="shared" si="525"/>
        <v>10</v>
      </c>
      <c r="K926" s="7">
        <f t="shared" si="525"/>
        <v>10</v>
      </c>
      <c r="L926" s="7">
        <f t="shared" si="525"/>
        <v>0</v>
      </c>
      <c r="M926" s="7">
        <f t="shared" si="519"/>
        <v>0</v>
      </c>
    </row>
    <row r="927" spans="1:13" ht="31.5">
      <c r="A927" s="26" t="s">
        <v>287</v>
      </c>
      <c r="B927" s="42" t="s">
        <v>283</v>
      </c>
      <c r="C927" s="42" t="s">
        <v>254</v>
      </c>
      <c r="D927" s="21" t="s">
        <v>294</v>
      </c>
      <c r="E927" s="21" t="s">
        <v>288</v>
      </c>
      <c r="F927" s="7" t="e">
        <f>F928</f>
        <v>#REF!</v>
      </c>
      <c r="G927" s="7" t="e">
        <f t="shared" si="525"/>
        <v>#REF!</v>
      </c>
      <c r="H927" s="7">
        <f t="shared" si="525"/>
        <v>10</v>
      </c>
      <c r="I927" s="7">
        <f t="shared" si="525"/>
        <v>10</v>
      </c>
      <c r="J927" s="7">
        <f t="shared" si="525"/>
        <v>10</v>
      </c>
      <c r="K927" s="7">
        <f t="shared" si="525"/>
        <v>10</v>
      </c>
      <c r="L927" s="7">
        <f t="shared" si="525"/>
        <v>0</v>
      </c>
      <c r="M927" s="7">
        <f t="shared" si="519"/>
        <v>0</v>
      </c>
    </row>
    <row r="928" spans="1:13" ht="31.5">
      <c r="A928" s="26" t="s">
        <v>289</v>
      </c>
      <c r="B928" s="42" t="s">
        <v>283</v>
      </c>
      <c r="C928" s="42" t="s">
        <v>254</v>
      </c>
      <c r="D928" s="21" t="s">
        <v>294</v>
      </c>
      <c r="E928" s="21" t="s">
        <v>290</v>
      </c>
      <c r="F928" s="7" t="e">
        <f>#REF!</f>
        <v>#REF!</v>
      </c>
      <c r="G928" s="7" t="e">
        <f>#REF!</f>
        <v>#REF!</v>
      </c>
      <c r="H928" s="7">
        <v>10</v>
      </c>
      <c r="I928" s="7">
        <v>10</v>
      </c>
      <c r="J928" s="7">
        <v>10</v>
      </c>
      <c r="K928" s="7">
        <v>10</v>
      </c>
      <c r="L928" s="7">
        <v>0</v>
      </c>
      <c r="M928" s="7">
        <f t="shared" si="519"/>
        <v>0</v>
      </c>
    </row>
    <row r="929" spans="1:13" ht="15.75" hidden="1">
      <c r="A929" s="31" t="s">
        <v>160</v>
      </c>
      <c r="B929" s="42" t="s">
        <v>283</v>
      </c>
      <c r="C929" s="42" t="s">
        <v>254</v>
      </c>
      <c r="D929" s="42" t="s">
        <v>161</v>
      </c>
      <c r="E929" s="42"/>
      <c r="F929" s="7" t="e">
        <f aca="true" t="shared" si="526" ref="F929:K929">F945+F930</f>
        <v>#REF!</v>
      </c>
      <c r="G929" s="7" t="e">
        <f t="shared" si="526"/>
        <v>#REF!</v>
      </c>
      <c r="H929" s="7" t="e">
        <f t="shared" si="526"/>
        <v>#REF!</v>
      </c>
      <c r="I929" s="7" t="e">
        <f t="shared" si="526"/>
        <v>#REF!</v>
      </c>
      <c r="J929" s="7" t="e">
        <f t="shared" si="526"/>
        <v>#REF!</v>
      </c>
      <c r="K929" s="7">
        <f t="shared" si="526"/>
        <v>0</v>
      </c>
      <c r="L929" s="7">
        <f aca="true" t="shared" si="527" ref="L929">L945+L930</f>
        <v>0</v>
      </c>
      <c r="M929" s="4" t="e">
        <f t="shared" si="519"/>
        <v>#DIV/0!</v>
      </c>
    </row>
    <row r="930" spans="1:13" ht="31.5" hidden="1">
      <c r="A930" s="31" t="s">
        <v>224</v>
      </c>
      <c r="B930" s="42" t="s">
        <v>283</v>
      </c>
      <c r="C930" s="42" t="s">
        <v>254</v>
      </c>
      <c r="D930" s="42" t="s">
        <v>225</v>
      </c>
      <c r="E930" s="42"/>
      <c r="F930" s="7" t="e">
        <f aca="true" t="shared" si="528" ref="F930:K930">F934+F937+F931+F954</f>
        <v>#REF!</v>
      </c>
      <c r="G930" s="7" t="e">
        <f t="shared" si="528"/>
        <v>#REF!</v>
      </c>
      <c r="H930" s="7" t="e">
        <f t="shared" si="528"/>
        <v>#REF!</v>
      </c>
      <c r="I930" s="7" t="e">
        <f t="shared" si="528"/>
        <v>#REF!</v>
      </c>
      <c r="J930" s="7" t="e">
        <f t="shared" si="528"/>
        <v>#REF!</v>
      </c>
      <c r="K930" s="7">
        <f t="shared" si="528"/>
        <v>0</v>
      </c>
      <c r="L930" s="7">
        <f aca="true" t="shared" si="529" ref="L930">L934+L937+L931+L954</f>
        <v>0</v>
      </c>
      <c r="M930" s="4" t="e">
        <f t="shared" si="519"/>
        <v>#DIV/0!</v>
      </c>
    </row>
    <row r="931" spans="1:13" ht="34.5" customHeight="1" hidden="1">
      <c r="A931" s="26" t="s">
        <v>946</v>
      </c>
      <c r="B931" s="42" t="s">
        <v>283</v>
      </c>
      <c r="C931" s="42" t="s">
        <v>254</v>
      </c>
      <c r="D931" s="42" t="s">
        <v>945</v>
      </c>
      <c r="E931" s="42"/>
      <c r="F931" s="7" t="e">
        <f>F932</f>
        <v>#REF!</v>
      </c>
      <c r="G931" s="7" t="e">
        <f aca="true" t="shared" si="530" ref="G931:L932">G932</f>
        <v>#REF!</v>
      </c>
      <c r="H931" s="7" t="e">
        <f t="shared" si="530"/>
        <v>#REF!</v>
      </c>
      <c r="I931" s="7" t="e">
        <f t="shared" si="530"/>
        <v>#REF!</v>
      </c>
      <c r="J931" s="7" t="e">
        <f t="shared" si="530"/>
        <v>#REF!</v>
      </c>
      <c r="K931" s="7">
        <f t="shared" si="530"/>
        <v>0</v>
      </c>
      <c r="L931" s="7">
        <f t="shared" si="530"/>
        <v>0</v>
      </c>
      <c r="M931" s="4" t="e">
        <f t="shared" si="519"/>
        <v>#DIV/0!</v>
      </c>
    </row>
    <row r="932" spans="1:13" ht="31.5" hidden="1">
      <c r="A932" s="31" t="s">
        <v>287</v>
      </c>
      <c r="B932" s="42" t="s">
        <v>283</v>
      </c>
      <c r="C932" s="42" t="s">
        <v>254</v>
      </c>
      <c r="D932" s="42" t="s">
        <v>945</v>
      </c>
      <c r="E932" s="42" t="s">
        <v>288</v>
      </c>
      <c r="F932" s="7" t="e">
        <f>F933</f>
        <v>#REF!</v>
      </c>
      <c r="G932" s="7" t="e">
        <f t="shared" si="530"/>
        <v>#REF!</v>
      </c>
      <c r="H932" s="7" t="e">
        <f t="shared" si="530"/>
        <v>#REF!</v>
      </c>
      <c r="I932" s="7" t="e">
        <f t="shared" si="530"/>
        <v>#REF!</v>
      </c>
      <c r="J932" s="7" t="e">
        <f t="shared" si="530"/>
        <v>#REF!</v>
      </c>
      <c r="K932" s="7">
        <f t="shared" si="530"/>
        <v>0</v>
      </c>
      <c r="L932" s="7">
        <f t="shared" si="530"/>
        <v>0</v>
      </c>
      <c r="M932" s="4" t="e">
        <f t="shared" si="519"/>
        <v>#DIV/0!</v>
      </c>
    </row>
    <row r="933" spans="1:13" ht="31.5" hidden="1">
      <c r="A933" s="31" t="s">
        <v>289</v>
      </c>
      <c r="B933" s="42" t="s">
        <v>283</v>
      </c>
      <c r="C933" s="42" t="s">
        <v>254</v>
      </c>
      <c r="D933" s="42" t="s">
        <v>945</v>
      </c>
      <c r="E933" s="42" t="s">
        <v>290</v>
      </c>
      <c r="F933" s="7" t="e">
        <f>#REF!</f>
        <v>#REF!</v>
      </c>
      <c r="G933" s="7" t="e">
        <f>#REF!</f>
        <v>#REF!</v>
      </c>
      <c r="H933" s="7" t="e">
        <f>#REF!</f>
        <v>#REF!</v>
      </c>
      <c r="I933" s="7" t="e">
        <f>#REF!</f>
        <v>#REF!</v>
      </c>
      <c r="J933" s="7" t="e">
        <f>#REF!</f>
        <v>#REF!</v>
      </c>
      <c r="K933" s="7">
        <f>'Прил.№4 ведомств.'!G598</f>
        <v>0</v>
      </c>
      <c r="L933" s="7">
        <f>'Прил.№4 ведомств.'!H598</f>
        <v>0</v>
      </c>
      <c r="M933" s="4" t="e">
        <f t="shared" si="519"/>
        <v>#DIV/0!</v>
      </c>
    </row>
    <row r="934" spans="1:13" ht="47.25" customHeight="1" hidden="1">
      <c r="A934" s="26" t="s">
        <v>295</v>
      </c>
      <c r="B934" s="42" t="s">
        <v>283</v>
      </c>
      <c r="C934" s="42" t="s">
        <v>254</v>
      </c>
      <c r="D934" s="42" t="s">
        <v>296</v>
      </c>
      <c r="E934" s="42"/>
      <c r="F934" s="7" t="e">
        <f>F935</f>
        <v>#REF!</v>
      </c>
      <c r="G934" s="7" t="e">
        <f aca="true" t="shared" si="531" ref="G934:L935">G935</f>
        <v>#REF!</v>
      </c>
      <c r="H934" s="7" t="e">
        <f t="shared" si="531"/>
        <v>#REF!</v>
      </c>
      <c r="I934" s="7" t="e">
        <f t="shared" si="531"/>
        <v>#REF!</v>
      </c>
      <c r="J934" s="7" t="e">
        <f t="shared" si="531"/>
        <v>#REF!</v>
      </c>
      <c r="K934" s="7">
        <f t="shared" si="531"/>
        <v>0</v>
      </c>
      <c r="L934" s="7">
        <f t="shared" si="531"/>
        <v>0</v>
      </c>
      <c r="M934" s="4" t="e">
        <f t="shared" si="519"/>
        <v>#DIV/0!</v>
      </c>
    </row>
    <row r="935" spans="1:13" ht="31.5" customHeight="1" hidden="1">
      <c r="A935" s="31" t="s">
        <v>287</v>
      </c>
      <c r="B935" s="42" t="s">
        <v>283</v>
      </c>
      <c r="C935" s="42" t="s">
        <v>254</v>
      </c>
      <c r="D935" s="42" t="s">
        <v>296</v>
      </c>
      <c r="E935" s="42" t="s">
        <v>288</v>
      </c>
      <c r="F935" s="7" t="e">
        <f>F936</f>
        <v>#REF!</v>
      </c>
      <c r="G935" s="7" t="e">
        <f t="shared" si="531"/>
        <v>#REF!</v>
      </c>
      <c r="H935" s="7" t="e">
        <f t="shared" si="531"/>
        <v>#REF!</v>
      </c>
      <c r="I935" s="7" t="e">
        <f t="shared" si="531"/>
        <v>#REF!</v>
      </c>
      <c r="J935" s="7" t="e">
        <f t="shared" si="531"/>
        <v>#REF!</v>
      </c>
      <c r="K935" s="7">
        <f t="shared" si="531"/>
        <v>0</v>
      </c>
      <c r="L935" s="7">
        <f t="shared" si="531"/>
        <v>0</v>
      </c>
      <c r="M935" s="4" t="e">
        <f t="shared" si="519"/>
        <v>#DIV/0!</v>
      </c>
    </row>
    <row r="936" spans="1:13" ht="31.5" customHeight="1" hidden="1">
      <c r="A936" s="31" t="s">
        <v>289</v>
      </c>
      <c r="B936" s="42" t="s">
        <v>283</v>
      </c>
      <c r="C936" s="42" t="s">
        <v>254</v>
      </c>
      <c r="D936" s="42" t="s">
        <v>296</v>
      </c>
      <c r="E936" s="42" t="s">
        <v>290</v>
      </c>
      <c r="F936" s="7" t="e">
        <f>#REF!</f>
        <v>#REF!</v>
      </c>
      <c r="G936" s="7" t="e">
        <f>#REF!</f>
        <v>#REF!</v>
      </c>
      <c r="H936" s="7" t="e">
        <f>#REF!</f>
        <v>#REF!</v>
      </c>
      <c r="I936" s="7" t="e">
        <f>#REF!</f>
        <v>#REF!</v>
      </c>
      <c r="J936" s="7" t="e">
        <f>#REF!</f>
        <v>#REF!</v>
      </c>
      <c r="K936" s="7">
        <f>'Прил.№4 ведомств.'!G236</f>
        <v>0</v>
      </c>
      <c r="L936" s="7">
        <f>'Прил.№4 ведомств.'!H236</f>
        <v>0</v>
      </c>
      <c r="M936" s="4" t="e">
        <f t="shared" si="519"/>
        <v>#DIV/0!</v>
      </c>
    </row>
    <row r="937" spans="1:13" ht="47.25" hidden="1">
      <c r="A937" s="26" t="s">
        <v>414</v>
      </c>
      <c r="B937" s="42" t="s">
        <v>283</v>
      </c>
      <c r="C937" s="42" t="s">
        <v>254</v>
      </c>
      <c r="D937" s="21" t="s">
        <v>424</v>
      </c>
      <c r="E937" s="42"/>
      <c r="F937" s="7" t="e">
        <f>F938</f>
        <v>#REF!</v>
      </c>
      <c r="G937" s="7" t="e">
        <f aca="true" t="shared" si="532" ref="G937:L938">G938</f>
        <v>#REF!</v>
      </c>
      <c r="H937" s="7" t="e">
        <f t="shared" si="532"/>
        <v>#REF!</v>
      </c>
      <c r="I937" s="7" t="e">
        <f t="shared" si="532"/>
        <v>#REF!</v>
      </c>
      <c r="J937" s="7" t="e">
        <f t="shared" si="532"/>
        <v>#REF!</v>
      </c>
      <c r="K937" s="7">
        <f t="shared" si="532"/>
        <v>0</v>
      </c>
      <c r="L937" s="7">
        <f t="shared" si="532"/>
        <v>0</v>
      </c>
      <c r="M937" s="4" t="e">
        <f t="shared" si="519"/>
        <v>#DIV/0!</v>
      </c>
    </row>
    <row r="938" spans="1:13" ht="31.5" hidden="1">
      <c r="A938" s="26" t="s">
        <v>287</v>
      </c>
      <c r="B938" s="42" t="s">
        <v>283</v>
      </c>
      <c r="C938" s="42" t="s">
        <v>254</v>
      </c>
      <c r="D938" s="21" t="s">
        <v>424</v>
      </c>
      <c r="E938" s="42" t="s">
        <v>288</v>
      </c>
      <c r="F938" s="7" t="e">
        <f>F939</f>
        <v>#REF!</v>
      </c>
      <c r="G938" s="7" t="e">
        <f t="shared" si="532"/>
        <v>#REF!</v>
      </c>
      <c r="H938" s="7" t="e">
        <f t="shared" si="532"/>
        <v>#REF!</v>
      </c>
      <c r="I938" s="7" t="e">
        <f t="shared" si="532"/>
        <v>#REF!</v>
      </c>
      <c r="J938" s="7" t="e">
        <f t="shared" si="532"/>
        <v>#REF!</v>
      </c>
      <c r="K938" s="7">
        <f t="shared" si="532"/>
        <v>0</v>
      </c>
      <c r="L938" s="7">
        <f t="shared" si="532"/>
        <v>0</v>
      </c>
      <c r="M938" s="4" t="e">
        <f t="shared" si="519"/>
        <v>#DIV/0!</v>
      </c>
    </row>
    <row r="939" spans="1:13" ht="31.5" hidden="1">
      <c r="A939" s="26" t="s">
        <v>289</v>
      </c>
      <c r="B939" s="42" t="s">
        <v>283</v>
      </c>
      <c r="C939" s="42" t="s">
        <v>254</v>
      </c>
      <c r="D939" s="21" t="s">
        <v>424</v>
      </c>
      <c r="E939" s="42" t="s">
        <v>290</v>
      </c>
      <c r="F939" s="7" t="e">
        <f>#REF!</f>
        <v>#REF!</v>
      </c>
      <c r="G939" s="7" t="e">
        <f>#REF!</f>
        <v>#REF!</v>
      </c>
      <c r="H939" s="7" t="e">
        <f>#REF!</f>
        <v>#REF!</v>
      </c>
      <c r="I939" s="7" t="e">
        <f>#REF!</f>
        <v>#REF!</v>
      </c>
      <c r="J939" s="7" t="e">
        <f>#REF!</f>
        <v>#REF!</v>
      </c>
      <c r="K939" s="7">
        <f>'Прил.№4 ведомств.'!G601</f>
        <v>0</v>
      </c>
      <c r="L939" s="7">
        <f>'Прил.№4 ведомств.'!H601</f>
        <v>0</v>
      </c>
      <c r="M939" s="4" t="e">
        <f t="shared" si="519"/>
        <v>#DIV/0!</v>
      </c>
    </row>
    <row r="940" spans="1:13" ht="15.75" customHeight="1" hidden="1">
      <c r="A940" s="26" t="s">
        <v>422</v>
      </c>
      <c r="B940" s="42" t="s">
        <v>283</v>
      </c>
      <c r="C940" s="42" t="s">
        <v>254</v>
      </c>
      <c r="D940" s="42" t="s">
        <v>423</v>
      </c>
      <c r="E940" s="42"/>
      <c r="F940" s="7">
        <f aca="true" t="shared" si="533" ref="F940:L940">F941</f>
        <v>0</v>
      </c>
      <c r="G940" s="7">
        <f t="shared" si="533"/>
        <v>0</v>
      </c>
      <c r="H940" s="7">
        <f t="shared" si="533"/>
        <v>0</v>
      </c>
      <c r="I940" s="7">
        <f t="shared" si="533"/>
        <v>0</v>
      </c>
      <c r="J940" s="7">
        <f t="shared" si="533"/>
        <v>0</v>
      </c>
      <c r="K940" s="7">
        <f t="shared" si="533"/>
        <v>0</v>
      </c>
      <c r="L940" s="7">
        <f t="shared" si="533"/>
        <v>0</v>
      </c>
      <c r="M940" s="4" t="e">
        <f t="shared" si="519"/>
        <v>#DIV/0!</v>
      </c>
    </row>
    <row r="941" spans="1:13" ht="31.5" customHeight="1" hidden="1">
      <c r="A941" s="31" t="s">
        <v>287</v>
      </c>
      <c r="B941" s="42" t="s">
        <v>283</v>
      </c>
      <c r="C941" s="42" t="s">
        <v>254</v>
      </c>
      <c r="D941" s="42" t="s">
        <v>423</v>
      </c>
      <c r="E941" s="42" t="s">
        <v>288</v>
      </c>
      <c r="F941" s="7">
        <f aca="true" t="shared" si="534" ref="F941:K941">F942+F944</f>
        <v>0</v>
      </c>
      <c r="G941" s="7">
        <f t="shared" si="534"/>
        <v>0</v>
      </c>
      <c r="H941" s="7">
        <f t="shared" si="534"/>
        <v>0</v>
      </c>
      <c r="I941" s="7">
        <f t="shared" si="534"/>
        <v>0</v>
      </c>
      <c r="J941" s="7">
        <f t="shared" si="534"/>
        <v>0</v>
      </c>
      <c r="K941" s="7">
        <f t="shared" si="534"/>
        <v>0</v>
      </c>
      <c r="L941" s="7">
        <f aca="true" t="shared" si="535" ref="L941">L942+L944</f>
        <v>0</v>
      </c>
      <c r="M941" s="4" t="e">
        <f t="shared" si="519"/>
        <v>#DIV/0!</v>
      </c>
    </row>
    <row r="942" spans="1:13" ht="31.5" customHeight="1" hidden="1">
      <c r="A942" s="31" t="s">
        <v>387</v>
      </c>
      <c r="B942" s="42" t="s">
        <v>283</v>
      </c>
      <c r="C942" s="42" t="s">
        <v>254</v>
      </c>
      <c r="D942" s="42" t="s">
        <v>423</v>
      </c>
      <c r="E942" s="42" t="s">
        <v>388</v>
      </c>
      <c r="F942" s="7"/>
      <c r="G942" s="7"/>
      <c r="H942" s="7"/>
      <c r="I942" s="7"/>
      <c r="J942" s="7"/>
      <c r="K942" s="7"/>
      <c r="L942" s="7"/>
      <c r="M942" s="4" t="e">
        <f t="shared" si="519"/>
        <v>#DIV/0!</v>
      </c>
    </row>
    <row r="943" spans="1:13" ht="47.25" customHeight="1" hidden="1">
      <c r="A943" s="31" t="s">
        <v>670</v>
      </c>
      <c r="B943" s="42" t="s">
        <v>283</v>
      </c>
      <c r="C943" s="42" t="s">
        <v>254</v>
      </c>
      <c r="D943" s="42" t="s">
        <v>423</v>
      </c>
      <c r="E943" s="42" t="s">
        <v>671</v>
      </c>
      <c r="F943" s="7"/>
      <c r="G943" s="7"/>
      <c r="H943" s="7"/>
      <c r="I943" s="7"/>
      <c r="J943" s="7"/>
      <c r="K943" s="7"/>
      <c r="L943" s="7"/>
      <c r="M943" s="4" t="e">
        <f t="shared" si="519"/>
        <v>#DIV/0!</v>
      </c>
    </row>
    <row r="944" spans="1:13" ht="31.5" customHeight="1" hidden="1">
      <c r="A944" s="31" t="s">
        <v>289</v>
      </c>
      <c r="B944" s="42" t="s">
        <v>283</v>
      </c>
      <c r="C944" s="42" t="s">
        <v>254</v>
      </c>
      <c r="D944" s="42" t="s">
        <v>423</v>
      </c>
      <c r="E944" s="42" t="s">
        <v>290</v>
      </c>
      <c r="F944" s="7"/>
      <c r="G944" s="7"/>
      <c r="H944" s="7"/>
      <c r="I944" s="7"/>
      <c r="J944" s="7"/>
      <c r="K944" s="7"/>
      <c r="L944" s="7"/>
      <c r="M944" s="4" t="e">
        <f t="shared" si="519"/>
        <v>#DIV/0!</v>
      </c>
    </row>
    <row r="945" spans="1:13" ht="15.75" customHeight="1" hidden="1">
      <c r="A945" s="31" t="s">
        <v>180</v>
      </c>
      <c r="B945" s="42" t="s">
        <v>283</v>
      </c>
      <c r="C945" s="42" t="s">
        <v>254</v>
      </c>
      <c r="D945" s="42" t="s">
        <v>181</v>
      </c>
      <c r="E945" s="42"/>
      <c r="F945" s="7">
        <f>F946</f>
        <v>0</v>
      </c>
      <c r="G945" s="7">
        <f aca="true" t="shared" si="536" ref="G945:L947">G946</f>
        <v>0</v>
      </c>
      <c r="H945" s="7">
        <f t="shared" si="536"/>
        <v>0</v>
      </c>
      <c r="I945" s="7">
        <f t="shared" si="536"/>
        <v>0</v>
      </c>
      <c r="J945" s="7">
        <f t="shared" si="536"/>
        <v>0</v>
      </c>
      <c r="K945" s="7">
        <f t="shared" si="536"/>
        <v>0</v>
      </c>
      <c r="L945" s="7">
        <f t="shared" si="536"/>
        <v>0</v>
      </c>
      <c r="M945" s="4" t="e">
        <f t="shared" si="519"/>
        <v>#DIV/0!</v>
      </c>
    </row>
    <row r="946" spans="1:13" ht="15.75" customHeight="1" hidden="1">
      <c r="A946" s="31" t="s">
        <v>240</v>
      </c>
      <c r="B946" s="42" t="s">
        <v>283</v>
      </c>
      <c r="C946" s="42" t="s">
        <v>254</v>
      </c>
      <c r="D946" s="42" t="s">
        <v>241</v>
      </c>
      <c r="E946" s="42"/>
      <c r="F946" s="7">
        <f>F947</f>
        <v>0</v>
      </c>
      <c r="G946" s="7">
        <f t="shared" si="536"/>
        <v>0</v>
      </c>
      <c r="H946" s="7">
        <f t="shared" si="536"/>
        <v>0</v>
      </c>
      <c r="I946" s="7">
        <f t="shared" si="536"/>
        <v>0</v>
      </c>
      <c r="J946" s="7">
        <f t="shared" si="536"/>
        <v>0</v>
      </c>
      <c r="K946" s="7">
        <f t="shared" si="536"/>
        <v>0</v>
      </c>
      <c r="L946" s="7">
        <f t="shared" si="536"/>
        <v>0</v>
      </c>
      <c r="M946" s="4" t="e">
        <f t="shared" si="519"/>
        <v>#DIV/0!</v>
      </c>
    </row>
    <row r="947" spans="1:13" ht="31.5" customHeight="1" hidden="1">
      <c r="A947" s="31" t="s">
        <v>287</v>
      </c>
      <c r="B947" s="42" t="s">
        <v>283</v>
      </c>
      <c r="C947" s="42" t="s">
        <v>254</v>
      </c>
      <c r="D947" s="42" t="s">
        <v>241</v>
      </c>
      <c r="E947" s="42" t="s">
        <v>288</v>
      </c>
      <c r="F947" s="7">
        <f>F948</f>
        <v>0</v>
      </c>
      <c r="G947" s="7">
        <f t="shared" si="536"/>
        <v>0</v>
      </c>
      <c r="H947" s="7">
        <f t="shared" si="536"/>
        <v>0</v>
      </c>
      <c r="I947" s="7">
        <f t="shared" si="536"/>
        <v>0</v>
      </c>
      <c r="J947" s="7">
        <f t="shared" si="536"/>
        <v>0</v>
      </c>
      <c r="K947" s="7">
        <f t="shared" si="536"/>
        <v>0</v>
      </c>
      <c r="L947" s="7">
        <f t="shared" si="536"/>
        <v>0</v>
      </c>
      <c r="M947" s="4" t="e">
        <f t="shared" si="519"/>
        <v>#DIV/0!</v>
      </c>
    </row>
    <row r="948" spans="1:13" ht="31.5" customHeight="1" hidden="1">
      <c r="A948" s="31" t="s">
        <v>387</v>
      </c>
      <c r="B948" s="42" t="s">
        <v>283</v>
      </c>
      <c r="C948" s="42" t="s">
        <v>254</v>
      </c>
      <c r="D948" s="42" t="s">
        <v>241</v>
      </c>
      <c r="E948" s="42" t="s">
        <v>388</v>
      </c>
      <c r="F948" s="7"/>
      <c r="G948" s="7"/>
      <c r="H948" s="7"/>
      <c r="I948" s="7"/>
      <c r="J948" s="7"/>
      <c r="K948" s="7"/>
      <c r="L948" s="7"/>
      <c r="M948" s="4" t="e">
        <f t="shared" si="519"/>
        <v>#DIV/0!</v>
      </c>
    </row>
    <row r="949" spans="1:13" ht="15.75" customHeight="1" hidden="1">
      <c r="A949" s="43" t="s">
        <v>440</v>
      </c>
      <c r="B949" s="8" t="s">
        <v>283</v>
      </c>
      <c r="C949" s="8" t="s">
        <v>189</v>
      </c>
      <c r="D949" s="8"/>
      <c r="E949" s="8"/>
      <c r="F949" s="4">
        <f>F950</f>
        <v>0</v>
      </c>
      <c r="G949" s="4">
        <f aca="true" t="shared" si="537" ref="G949:L952">G950</f>
        <v>0</v>
      </c>
      <c r="H949" s="4">
        <f t="shared" si="537"/>
        <v>0</v>
      </c>
      <c r="I949" s="4">
        <f t="shared" si="537"/>
        <v>0</v>
      </c>
      <c r="J949" s="4">
        <f t="shared" si="537"/>
        <v>0</v>
      </c>
      <c r="K949" s="4">
        <f t="shared" si="537"/>
        <v>0</v>
      </c>
      <c r="L949" s="4">
        <f t="shared" si="537"/>
        <v>0</v>
      </c>
      <c r="M949" s="4" t="e">
        <f t="shared" si="519"/>
        <v>#DIV/0!</v>
      </c>
    </row>
    <row r="950" spans="1:13" ht="31.5" customHeight="1" hidden="1">
      <c r="A950" s="31" t="s">
        <v>224</v>
      </c>
      <c r="B950" s="42" t="s">
        <v>283</v>
      </c>
      <c r="C950" s="42" t="s">
        <v>189</v>
      </c>
      <c r="D950" s="42" t="s">
        <v>225</v>
      </c>
      <c r="E950" s="42"/>
      <c r="F950" s="7">
        <f>F951</f>
        <v>0</v>
      </c>
      <c r="G950" s="7">
        <f t="shared" si="537"/>
        <v>0</v>
      </c>
      <c r="H950" s="7">
        <f t="shared" si="537"/>
        <v>0</v>
      </c>
      <c r="I950" s="7">
        <f t="shared" si="537"/>
        <v>0</v>
      </c>
      <c r="J950" s="7">
        <f t="shared" si="537"/>
        <v>0</v>
      </c>
      <c r="K950" s="7">
        <f t="shared" si="537"/>
        <v>0</v>
      </c>
      <c r="L950" s="7">
        <f t="shared" si="537"/>
        <v>0</v>
      </c>
      <c r="M950" s="4" t="e">
        <f t="shared" si="519"/>
        <v>#DIV/0!</v>
      </c>
    </row>
    <row r="951" spans="1:13" ht="31.5" customHeight="1" hidden="1">
      <c r="A951" s="47" t="s">
        <v>441</v>
      </c>
      <c r="B951" s="42" t="s">
        <v>283</v>
      </c>
      <c r="C951" s="42" t="s">
        <v>189</v>
      </c>
      <c r="D951" s="21" t="s">
        <v>442</v>
      </c>
      <c r="E951" s="42"/>
      <c r="F951" s="7">
        <f>F952</f>
        <v>0</v>
      </c>
      <c r="G951" s="7">
        <f t="shared" si="537"/>
        <v>0</v>
      </c>
      <c r="H951" s="7">
        <f t="shared" si="537"/>
        <v>0</v>
      </c>
      <c r="I951" s="7">
        <f t="shared" si="537"/>
        <v>0</v>
      </c>
      <c r="J951" s="7">
        <f t="shared" si="537"/>
        <v>0</v>
      </c>
      <c r="K951" s="7">
        <f t="shared" si="537"/>
        <v>0</v>
      </c>
      <c r="L951" s="7">
        <f t="shared" si="537"/>
        <v>0</v>
      </c>
      <c r="M951" s="4" t="e">
        <f t="shared" si="519"/>
        <v>#DIV/0!</v>
      </c>
    </row>
    <row r="952" spans="1:13" ht="31.5" customHeight="1" hidden="1">
      <c r="A952" s="31" t="s">
        <v>170</v>
      </c>
      <c r="B952" s="42" t="s">
        <v>283</v>
      </c>
      <c r="C952" s="42" t="s">
        <v>189</v>
      </c>
      <c r="D952" s="21" t="s">
        <v>442</v>
      </c>
      <c r="E952" s="42" t="s">
        <v>171</v>
      </c>
      <c r="F952" s="7">
        <f>F953</f>
        <v>0</v>
      </c>
      <c r="G952" s="7">
        <f t="shared" si="537"/>
        <v>0</v>
      </c>
      <c r="H952" s="7">
        <f t="shared" si="537"/>
        <v>0</v>
      </c>
      <c r="I952" s="7">
        <f t="shared" si="537"/>
        <v>0</v>
      </c>
      <c r="J952" s="7">
        <f t="shared" si="537"/>
        <v>0</v>
      </c>
      <c r="K952" s="7">
        <f t="shared" si="537"/>
        <v>0</v>
      </c>
      <c r="L952" s="7">
        <f t="shared" si="537"/>
        <v>0</v>
      </c>
      <c r="M952" s="4" t="e">
        <f t="shared" si="519"/>
        <v>#DIV/0!</v>
      </c>
    </row>
    <row r="953" spans="1:13" ht="47.25" customHeight="1" hidden="1">
      <c r="A953" s="31" t="s">
        <v>172</v>
      </c>
      <c r="B953" s="42" t="s">
        <v>283</v>
      </c>
      <c r="C953" s="42" t="s">
        <v>189</v>
      </c>
      <c r="D953" s="21" t="s">
        <v>442</v>
      </c>
      <c r="E953" s="42" t="s">
        <v>173</v>
      </c>
      <c r="F953" s="7">
        <v>0</v>
      </c>
      <c r="G953" s="7">
        <v>0</v>
      </c>
      <c r="H953" s="7">
        <v>0</v>
      </c>
      <c r="I953" s="7">
        <v>0</v>
      </c>
      <c r="J953" s="7">
        <v>0</v>
      </c>
      <c r="K953" s="7">
        <f>'Прил.№4 ведомств.'!G662</f>
        <v>0</v>
      </c>
      <c r="L953" s="7">
        <f>'Прил.№4 ведомств.'!H662</f>
        <v>0</v>
      </c>
      <c r="M953" s="4" t="e">
        <f t="shared" si="519"/>
        <v>#DIV/0!</v>
      </c>
    </row>
    <row r="954" spans="1:13" ht="63" hidden="1">
      <c r="A954" s="26" t="s">
        <v>425</v>
      </c>
      <c r="B954" s="21" t="s">
        <v>283</v>
      </c>
      <c r="C954" s="21" t="s">
        <v>254</v>
      </c>
      <c r="D954" s="21" t="s">
        <v>426</v>
      </c>
      <c r="E954" s="21"/>
      <c r="F954" s="7" t="e">
        <f>F955</f>
        <v>#REF!</v>
      </c>
      <c r="G954" s="7" t="e">
        <f aca="true" t="shared" si="538" ref="G954:L955">G955</f>
        <v>#REF!</v>
      </c>
      <c r="H954" s="7" t="e">
        <f t="shared" si="538"/>
        <v>#REF!</v>
      </c>
      <c r="I954" s="7" t="e">
        <f t="shared" si="538"/>
        <v>#REF!</v>
      </c>
      <c r="J954" s="7" t="e">
        <f t="shared" si="538"/>
        <v>#REF!</v>
      </c>
      <c r="K954" s="7">
        <f t="shared" si="538"/>
        <v>0</v>
      </c>
      <c r="L954" s="7">
        <f t="shared" si="538"/>
        <v>0</v>
      </c>
      <c r="M954" s="4" t="e">
        <f t="shared" si="519"/>
        <v>#DIV/0!</v>
      </c>
    </row>
    <row r="955" spans="1:13" ht="31.5" hidden="1">
      <c r="A955" s="26" t="s">
        <v>287</v>
      </c>
      <c r="B955" s="21" t="s">
        <v>283</v>
      </c>
      <c r="C955" s="21" t="s">
        <v>254</v>
      </c>
      <c r="D955" s="21" t="s">
        <v>426</v>
      </c>
      <c r="E955" s="21" t="s">
        <v>288</v>
      </c>
      <c r="F955" s="7" t="e">
        <f>F956</f>
        <v>#REF!</v>
      </c>
      <c r="G955" s="7" t="e">
        <f t="shared" si="538"/>
        <v>#REF!</v>
      </c>
      <c r="H955" s="7" t="e">
        <f t="shared" si="538"/>
        <v>#REF!</v>
      </c>
      <c r="I955" s="7" t="e">
        <f t="shared" si="538"/>
        <v>#REF!</v>
      </c>
      <c r="J955" s="7" t="e">
        <f t="shared" si="538"/>
        <v>#REF!</v>
      </c>
      <c r="K955" s="7">
        <f t="shared" si="538"/>
        <v>0</v>
      </c>
      <c r="L955" s="7">
        <f t="shared" si="538"/>
        <v>0</v>
      </c>
      <c r="M955" s="4" t="e">
        <f t="shared" si="519"/>
        <v>#DIV/0!</v>
      </c>
    </row>
    <row r="956" spans="1:13" ht="31.5" hidden="1">
      <c r="A956" s="26" t="s">
        <v>387</v>
      </c>
      <c r="B956" s="21" t="s">
        <v>283</v>
      </c>
      <c r="C956" s="21" t="s">
        <v>254</v>
      </c>
      <c r="D956" s="21" t="s">
        <v>426</v>
      </c>
      <c r="E956" s="21" t="s">
        <v>388</v>
      </c>
      <c r="F956" s="7" t="e">
        <f>#REF!</f>
        <v>#REF!</v>
      </c>
      <c r="G956" s="7" t="e">
        <f>#REF!</f>
        <v>#REF!</v>
      </c>
      <c r="H956" s="7" t="e">
        <f>#REF!</f>
        <v>#REF!</v>
      </c>
      <c r="I956" s="7" t="e">
        <f>#REF!</f>
        <v>#REF!</v>
      </c>
      <c r="J956" s="7" t="e">
        <f>#REF!</f>
        <v>#REF!</v>
      </c>
      <c r="K956" s="7">
        <f>'Прил.№4 ведомств.'!G604</f>
        <v>0</v>
      </c>
      <c r="L956" s="7">
        <f>'Прил.№4 ведомств.'!H604</f>
        <v>0</v>
      </c>
      <c r="M956" s="4" t="e">
        <f t="shared" si="519"/>
        <v>#DIV/0!</v>
      </c>
    </row>
    <row r="957" spans="1:13" ht="20.25" customHeight="1">
      <c r="A957" s="43" t="s">
        <v>297</v>
      </c>
      <c r="B957" s="8" t="s">
        <v>283</v>
      </c>
      <c r="C957" s="8" t="s">
        <v>159</v>
      </c>
      <c r="D957" s="8"/>
      <c r="E957" s="8"/>
      <c r="F957" s="4" t="e">
        <f aca="true" t="shared" si="539" ref="F957:L957">F958</f>
        <v>#REF!</v>
      </c>
      <c r="G957" s="4" t="e">
        <f t="shared" si="539"/>
        <v>#REF!</v>
      </c>
      <c r="H957" s="4" t="e">
        <f t="shared" si="539"/>
        <v>#REF!</v>
      </c>
      <c r="I957" s="4" t="e">
        <f t="shared" si="539"/>
        <v>#REF!</v>
      </c>
      <c r="J957" s="4" t="e">
        <f t="shared" si="539"/>
        <v>#REF!</v>
      </c>
      <c r="K957" s="4">
        <f t="shared" si="539"/>
        <v>3351</v>
      </c>
      <c r="L957" s="4">
        <f t="shared" si="539"/>
        <v>1664.3999999999999</v>
      </c>
      <c r="M957" s="4">
        <f t="shared" si="519"/>
        <v>49.66875559534467</v>
      </c>
    </row>
    <row r="958" spans="1:13" ht="15.75">
      <c r="A958" s="31" t="s">
        <v>160</v>
      </c>
      <c r="B958" s="42" t="s">
        <v>283</v>
      </c>
      <c r="C958" s="42" t="s">
        <v>159</v>
      </c>
      <c r="D958" s="42" t="s">
        <v>161</v>
      </c>
      <c r="E958" s="42"/>
      <c r="F958" s="7" t="e">
        <f>F959+F965</f>
        <v>#REF!</v>
      </c>
      <c r="G958" s="7" t="e">
        <f>G959+G965</f>
        <v>#REF!</v>
      </c>
      <c r="H958" s="7" t="e">
        <f>H959+H965</f>
        <v>#REF!</v>
      </c>
      <c r="I958" s="7" t="e">
        <f>I959+I965</f>
        <v>#REF!</v>
      </c>
      <c r="J958" s="7" t="e">
        <f>J959+J965</f>
        <v>#REF!</v>
      </c>
      <c r="K958" s="7">
        <f>K959+K965+K969</f>
        <v>3351</v>
      </c>
      <c r="L958" s="7">
        <f aca="true" t="shared" si="540" ref="L958">L959+L965+L969</f>
        <v>1664.3999999999999</v>
      </c>
      <c r="M958" s="7">
        <f t="shared" si="519"/>
        <v>49.66875559534467</v>
      </c>
    </row>
    <row r="959" spans="1:13" ht="31.5">
      <c r="A959" s="31" t="s">
        <v>224</v>
      </c>
      <c r="B959" s="42" t="s">
        <v>283</v>
      </c>
      <c r="C959" s="42" t="s">
        <v>159</v>
      </c>
      <c r="D959" s="42" t="s">
        <v>225</v>
      </c>
      <c r="E959" s="42"/>
      <c r="F959" s="7" t="e">
        <f aca="true" t="shared" si="541" ref="F959:L959">F960</f>
        <v>#REF!</v>
      </c>
      <c r="G959" s="7" t="e">
        <f t="shared" si="541"/>
        <v>#REF!</v>
      </c>
      <c r="H959" s="7" t="e">
        <f t="shared" si="541"/>
        <v>#REF!</v>
      </c>
      <c r="I959" s="7" t="e">
        <f t="shared" si="541"/>
        <v>#REF!</v>
      </c>
      <c r="J959" s="7" t="e">
        <f t="shared" si="541"/>
        <v>#REF!</v>
      </c>
      <c r="K959" s="7">
        <f t="shared" si="541"/>
        <v>3263.9</v>
      </c>
      <c r="L959" s="7">
        <f t="shared" si="541"/>
        <v>1664.3999999999999</v>
      </c>
      <c r="M959" s="7">
        <f t="shared" si="519"/>
        <v>50.99420938141487</v>
      </c>
    </row>
    <row r="960" spans="1:13" ht="47.25">
      <c r="A960" s="47" t="s">
        <v>298</v>
      </c>
      <c r="B960" s="42" t="s">
        <v>283</v>
      </c>
      <c r="C960" s="42" t="s">
        <v>159</v>
      </c>
      <c r="D960" s="42" t="s">
        <v>299</v>
      </c>
      <c r="E960" s="42"/>
      <c r="F960" s="7" t="e">
        <f aca="true" t="shared" si="542" ref="F960:K960">F961+F963</f>
        <v>#REF!</v>
      </c>
      <c r="G960" s="7" t="e">
        <f t="shared" si="542"/>
        <v>#REF!</v>
      </c>
      <c r="H960" s="7" t="e">
        <f t="shared" si="542"/>
        <v>#REF!</v>
      </c>
      <c r="I960" s="7" t="e">
        <f t="shared" si="542"/>
        <v>#REF!</v>
      </c>
      <c r="J960" s="7" t="e">
        <f t="shared" si="542"/>
        <v>#REF!</v>
      </c>
      <c r="K960" s="7">
        <f t="shared" si="542"/>
        <v>3263.9</v>
      </c>
      <c r="L960" s="7">
        <f aca="true" t="shared" si="543" ref="L960">L961+L963</f>
        <v>1664.3999999999999</v>
      </c>
      <c r="M960" s="7">
        <f t="shared" si="519"/>
        <v>50.99420938141487</v>
      </c>
    </row>
    <row r="961" spans="1:13" ht="78.75">
      <c r="A961" s="31" t="s">
        <v>166</v>
      </c>
      <c r="B961" s="42" t="s">
        <v>283</v>
      </c>
      <c r="C961" s="42" t="s">
        <v>159</v>
      </c>
      <c r="D961" s="42" t="s">
        <v>299</v>
      </c>
      <c r="E961" s="42" t="s">
        <v>167</v>
      </c>
      <c r="F961" s="7" t="e">
        <f aca="true" t="shared" si="544" ref="F961:L961">F962</f>
        <v>#REF!</v>
      </c>
      <c r="G961" s="7" t="e">
        <f t="shared" si="544"/>
        <v>#REF!</v>
      </c>
      <c r="H961" s="7" t="e">
        <f t="shared" si="544"/>
        <v>#REF!</v>
      </c>
      <c r="I961" s="7" t="e">
        <f t="shared" si="544"/>
        <v>#REF!</v>
      </c>
      <c r="J961" s="7" t="e">
        <f t="shared" si="544"/>
        <v>#REF!</v>
      </c>
      <c r="K961" s="7">
        <f t="shared" si="544"/>
        <v>2995.8</v>
      </c>
      <c r="L961" s="7">
        <f t="shared" si="544"/>
        <v>1588.6</v>
      </c>
      <c r="M961" s="7">
        <f t="shared" si="519"/>
        <v>53.027571934040985</v>
      </c>
    </row>
    <row r="962" spans="1:13" ht="31.5">
      <c r="A962" s="31" t="s">
        <v>168</v>
      </c>
      <c r="B962" s="42" t="s">
        <v>283</v>
      </c>
      <c r="C962" s="42" t="s">
        <v>159</v>
      </c>
      <c r="D962" s="42" t="s">
        <v>299</v>
      </c>
      <c r="E962" s="42" t="s">
        <v>169</v>
      </c>
      <c r="F962" s="7" t="e">
        <f>#REF!</f>
        <v>#REF!</v>
      </c>
      <c r="G962" s="7" t="e">
        <f>#REF!</f>
        <v>#REF!</v>
      </c>
      <c r="H962" s="7" t="e">
        <f>#REF!</f>
        <v>#REF!</v>
      </c>
      <c r="I962" s="7" t="e">
        <f>#REF!</f>
        <v>#REF!</v>
      </c>
      <c r="J962" s="7" t="e">
        <f>#REF!</f>
        <v>#REF!</v>
      </c>
      <c r="K962" s="7">
        <f>'Прил.№4 ведомств.'!G242</f>
        <v>2995.8</v>
      </c>
      <c r="L962" s="7">
        <f>'Прил.№4 ведомств.'!H242</f>
        <v>1588.6</v>
      </c>
      <c r="M962" s="7">
        <f t="shared" si="519"/>
        <v>53.027571934040985</v>
      </c>
    </row>
    <row r="963" spans="1:13" ht="31.5">
      <c r="A963" s="31" t="s">
        <v>170</v>
      </c>
      <c r="B963" s="42" t="s">
        <v>283</v>
      </c>
      <c r="C963" s="42" t="s">
        <v>159</v>
      </c>
      <c r="D963" s="42" t="s">
        <v>299</v>
      </c>
      <c r="E963" s="42" t="s">
        <v>171</v>
      </c>
      <c r="F963" s="7" t="e">
        <f aca="true" t="shared" si="545" ref="F963:L963">F964</f>
        <v>#REF!</v>
      </c>
      <c r="G963" s="7" t="e">
        <f t="shared" si="545"/>
        <v>#REF!</v>
      </c>
      <c r="H963" s="7" t="e">
        <f t="shared" si="545"/>
        <v>#REF!</v>
      </c>
      <c r="I963" s="7" t="e">
        <f t="shared" si="545"/>
        <v>#REF!</v>
      </c>
      <c r="J963" s="7" t="e">
        <f t="shared" si="545"/>
        <v>#REF!</v>
      </c>
      <c r="K963" s="7">
        <f t="shared" si="545"/>
        <v>268.09999999999997</v>
      </c>
      <c r="L963" s="7">
        <f t="shared" si="545"/>
        <v>75.8</v>
      </c>
      <c r="M963" s="7">
        <f t="shared" si="519"/>
        <v>28.273032450578146</v>
      </c>
    </row>
    <row r="964" spans="1:13" ht="47.25">
      <c r="A964" s="31" t="s">
        <v>172</v>
      </c>
      <c r="B964" s="42" t="s">
        <v>283</v>
      </c>
      <c r="C964" s="42" t="s">
        <v>159</v>
      </c>
      <c r="D964" s="42" t="s">
        <v>299</v>
      </c>
      <c r="E964" s="42" t="s">
        <v>173</v>
      </c>
      <c r="F964" s="7" t="e">
        <f>#REF!</f>
        <v>#REF!</v>
      </c>
      <c r="G964" s="7" t="e">
        <f>#REF!</f>
        <v>#REF!</v>
      </c>
      <c r="H964" s="7" t="e">
        <f>#REF!</f>
        <v>#REF!</v>
      </c>
      <c r="I964" s="7" t="e">
        <f>#REF!</f>
        <v>#REF!</v>
      </c>
      <c r="J964" s="7" t="e">
        <f>#REF!</f>
        <v>#REF!</v>
      </c>
      <c r="K964" s="7">
        <f>'Прил.№4 ведомств.'!G244</f>
        <v>268.09999999999997</v>
      </c>
      <c r="L964" s="7">
        <f>'Прил.№4 ведомств.'!H244</f>
        <v>75.8</v>
      </c>
      <c r="M964" s="7">
        <f t="shared" si="519"/>
        <v>28.273032450578146</v>
      </c>
    </row>
    <row r="965" spans="1:13" ht="15.75" hidden="1">
      <c r="A965" s="31" t="s">
        <v>180</v>
      </c>
      <c r="B965" s="42" t="s">
        <v>283</v>
      </c>
      <c r="C965" s="42" t="s">
        <v>159</v>
      </c>
      <c r="D965" s="42" t="s">
        <v>181</v>
      </c>
      <c r="E965" s="42"/>
      <c r="F965" s="7" t="e">
        <f>F966</f>
        <v>#REF!</v>
      </c>
      <c r="G965" s="7" t="e">
        <f aca="true" t="shared" si="546" ref="G965:L967">G966</f>
        <v>#REF!</v>
      </c>
      <c r="H965" s="7" t="e">
        <f t="shared" si="546"/>
        <v>#REF!</v>
      </c>
      <c r="I965" s="7" t="e">
        <f t="shared" si="546"/>
        <v>#REF!</v>
      </c>
      <c r="J965" s="7" t="e">
        <f t="shared" si="546"/>
        <v>#REF!</v>
      </c>
      <c r="K965" s="7">
        <f t="shared" si="546"/>
        <v>0</v>
      </c>
      <c r="L965" s="7">
        <f t="shared" si="546"/>
        <v>0</v>
      </c>
      <c r="M965" s="7" t="e">
        <f t="shared" si="519"/>
        <v>#DIV/0!</v>
      </c>
    </row>
    <row r="966" spans="1:13" ht="15.75" hidden="1">
      <c r="A966" s="31" t="s">
        <v>612</v>
      </c>
      <c r="B966" s="42" t="s">
        <v>283</v>
      </c>
      <c r="C966" s="42" t="s">
        <v>159</v>
      </c>
      <c r="D966" s="42" t="s">
        <v>672</v>
      </c>
      <c r="E966" s="42"/>
      <c r="F966" s="7" t="e">
        <f>F967</f>
        <v>#REF!</v>
      </c>
      <c r="G966" s="7" t="e">
        <f t="shared" si="546"/>
        <v>#REF!</v>
      </c>
      <c r="H966" s="7" t="e">
        <f t="shared" si="546"/>
        <v>#REF!</v>
      </c>
      <c r="I966" s="7" t="e">
        <f t="shared" si="546"/>
        <v>#REF!</v>
      </c>
      <c r="J966" s="7" t="e">
        <f t="shared" si="546"/>
        <v>#REF!</v>
      </c>
      <c r="K966" s="7">
        <f t="shared" si="546"/>
        <v>0</v>
      </c>
      <c r="L966" s="7">
        <f t="shared" si="546"/>
        <v>0</v>
      </c>
      <c r="M966" s="7" t="e">
        <f t="shared" si="519"/>
        <v>#DIV/0!</v>
      </c>
    </row>
    <row r="967" spans="1:13" ht="15.75" hidden="1">
      <c r="A967" s="31" t="s">
        <v>174</v>
      </c>
      <c r="B967" s="42" t="s">
        <v>283</v>
      </c>
      <c r="C967" s="42" t="s">
        <v>159</v>
      </c>
      <c r="D967" s="42" t="s">
        <v>672</v>
      </c>
      <c r="E967" s="42" t="s">
        <v>184</v>
      </c>
      <c r="F967" s="7" t="e">
        <f>F968</f>
        <v>#REF!</v>
      </c>
      <c r="G967" s="7" t="e">
        <f t="shared" si="546"/>
        <v>#REF!</v>
      </c>
      <c r="H967" s="7" t="e">
        <f t="shared" si="546"/>
        <v>#REF!</v>
      </c>
      <c r="I967" s="7" t="e">
        <f t="shared" si="546"/>
        <v>#REF!</v>
      </c>
      <c r="J967" s="7" t="e">
        <f t="shared" si="546"/>
        <v>#REF!</v>
      </c>
      <c r="K967" s="7">
        <f t="shared" si="546"/>
        <v>0</v>
      </c>
      <c r="L967" s="7">
        <f t="shared" si="546"/>
        <v>0</v>
      </c>
      <c r="M967" s="7" t="e">
        <f t="shared" si="519"/>
        <v>#DIV/0!</v>
      </c>
    </row>
    <row r="968" spans="1:13" ht="47.25" hidden="1">
      <c r="A968" s="31" t="s">
        <v>223</v>
      </c>
      <c r="B968" s="42" t="s">
        <v>283</v>
      </c>
      <c r="C968" s="42" t="s">
        <v>159</v>
      </c>
      <c r="D968" s="42" t="s">
        <v>672</v>
      </c>
      <c r="E968" s="42" t="s">
        <v>199</v>
      </c>
      <c r="F968" s="7" t="e">
        <f>#REF!</f>
        <v>#REF!</v>
      </c>
      <c r="G968" s="7" t="e">
        <f>#REF!</f>
        <v>#REF!</v>
      </c>
      <c r="H968" s="7" t="e">
        <f>#REF!</f>
        <v>#REF!</v>
      </c>
      <c r="I968" s="7" t="e">
        <f>#REF!</f>
        <v>#REF!</v>
      </c>
      <c r="J968" s="7" t="e">
        <f>#REF!</f>
        <v>#REF!</v>
      </c>
      <c r="K968" s="7">
        <f>'Прил.№4 ведомств.'!G1225</f>
        <v>0</v>
      </c>
      <c r="L968" s="7">
        <f>'Прил.№4 ведомств.'!H1225</f>
        <v>0</v>
      </c>
      <c r="M968" s="7" t="e">
        <f t="shared" si="519"/>
        <v>#DIV/0!</v>
      </c>
    </row>
    <row r="969" spans="1:13" ht="31.5">
      <c r="A969" s="26" t="s">
        <v>624</v>
      </c>
      <c r="B969" s="42" t="s">
        <v>283</v>
      </c>
      <c r="C969" s="42" t="s">
        <v>159</v>
      </c>
      <c r="D969" s="21" t="s">
        <v>625</v>
      </c>
      <c r="E969" s="42"/>
      <c r="F969" s="7"/>
      <c r="G969" s="7"/>
      <c r="H969" s="7"/>
      <c r="I969" s="7"/>
      <c r="J969" s="7"/>
      <c r="K969" s="7">
        <f>K970</f>
        <v>87.1</v>
      </c>
      <c r="L969" s="7">
        <f aca="true" t="shared" si="547" ref="L969:L971">L970</f>
        <v>0</v>
      </c>
      <c r="M969" s="7">
        <f t="shared" si="519"/>
        <v>0</v>
      </c>
    </row>
    <row r="970" spans="1:13" ht="15.75">
      <c r="A970" s="31" t="s">
        <v>612</v>
      </c>
      <c r="B970" s="42" t="s">
        <v>283</v>
      </c>
      <c r="C970" s="42" t="s">
        <v>159</v>
      </c>
      <c r="D970" s="21" t="s">
        <v>977</v>
      </c>
      <c r="E970" s="42"/>
      <c r="F970" s="7"/>
      <c r="G970" s="7"/>
      <c r="H970" s="7"/>
      <c r="I970" s="7"/>
      <c r="J970" s="7"/>
      <c r="K970" s="7">
        <f>K971</f>
        <v>87.1</v>
      </c>
      <c r="L970" s="7">
        <f t="shared" si="547"/>
        <v>0</v>
      </c>
      <c r="M970" s="7">
        <f t="shared" si="519"/>
        <v>0</v>
      </c>
    </row>
    <row r="971" spans="1:13" ht="31.5">
      <c r="A971" s="31" t="s">
        <v>170</v>
      </c>
      <c r="B971" s="42" t="s">
        <v>283</v>
      </c>
      <c r="C971" s="42" t="s">
        <v>159</v>
      </c>
      <c r="D971" s="21" t="s">
        <v>977</v>
      </c>
      <c r="E971" s="42" t="s">
        <v>171</v>
      </c>
      <c r="F971" s="7"/>
      <c r="G971" s="7"/>
      <c r="H971" s="7"/>
      <c r="I971" s="7"/>
      <c r="J971" s="7"/>
      <c r="K971" s="7">
        <f>K972</f>
        <v>87.1</v>
      </c>
      <c r="L971" s="7">
        <f t="shared" si="547"/>
        <v>0</v>
      </c>
      <c r="M971" s="7">
        <f t="shared" si="519"/>
        <v>0</v>
      </c>
    </row>
    <row r="972" spans="1:13" ht="47.25">
      <c r="A972" s="31" t="s">
        <v>172</v>
      </c>
      <c r="B972" s="42" t="s">
        <v>283</v>
      </c>
      <c r="C972" s="42" t="s">
        <v>159</v>
      </c>
      <c r="D972" s="21" t="s">
        <v>977</v>
      </c>
      <c r="E972" s="42" t="s">
        <v>173</v>
      </c>
      <c r="F972" s="7"/>
      <c r="G972" s="7"/>
      <c r="H972" s="7"/>
      <c r="I972" s="7"/>
      <c r="J972" s="7"/>
      <c r="K972" s="7">
        <f>'Прил.№4 ведомств.'!G1229</f>
        <v>87.1</v>
      </c>
      <c r="L972" s="7">
        <f>'Прил.№4 ведомств.'!H1229</f>
        <v>0</v>
      </c>
      <c r="M972" s="7">
        <f t="shared" si="519"/>
        <v>0</v>
      </c>
    </row>
    <row r="973" spans="1:13" ht="15.75">
      <c r="A973" s="43" t="s">
        <v>530</v>
      </c>
      <c r="B973" s="8" t="s">
        <v>531</v>
      </c>
      <c r="C973" s="42"/>
      <c r="D973" s="42"/>
      <c r="E973" s="42"/>
      <c r="F973" s="4" t="e">
        <f aca="true" t="shared" si="548" ref="F973:K973">F974+F1026</f>
        <v>#REF!</v>
      </c>
      <c r="G973" s="4" t="e">
        <f t="shared" si="548"/>
        <v>#REF!</v>
      </c>
      <c r="H973" s="4" t="e">
        <f t="shared" si="548"/>
        <v>#REF!</v>
      </c>
      <c r="I973" s="4" t="e">
        <f t="shared" si="548"/>
        <v>#REF!</v>
      </c>
      <c r="J973" s="4" t="e">
        <f t="shared" si="548"/>
        <v>#REF!</v>
      </c>
      <c r="K973" s="4">
        <f t="shared" si="548"/>
        <v>58883.3</v>
      </c>
      <c r="L973" s="4">
        <f aca="true" t="shared" si="549" ref="L973">L974+L1026</f>
        <v>42714.49999999999</v>
      </c>
      <c r="M973" s="4">
        <f t="shared" si="519"/>
        <v>72.54094114969777</v>
      </c>
    </row>
    <row r="974" spans="1:15" ht="15.75">
      <c r="A974" s="43" t="s">
        <v>532</v>
      </c>
      <c r="B974" s="8" t="s">
        <v>531</v>
      </c>
      <c r="C974" s="8" t="s">
        <v>157</v>
      </c>
      <c r="D974" s="42"/>
      <c r="E974" s="42"/>
      <c r="F974" s="4" t="e">
        <f>F975+F1006</f>
        <v>#REF!</v>
      </c>
      <c r="G974" s="4" t="e">
        <f>G975+G1006</f>
        <v>#REF!</v>
      </c>
      <c r="H974" s="4" t="e">
        <f>H975+H1006</f>
        <v>#REF!</v>
      </c>
      <c r="I974" s="4" t="e">
        <f>I975+I1006</f>
        <v>#REF!</v>
      </c>
      <c r="J974" s="4" t="e">
        <f>J975+J1006</f>
        <v>#REF!</v>
      </c>
      <c r="K974" s="4">
        <f>K975+K1006+K1002+K1011+K1015</f>
        <v>46657.7</v>
      </c>
      <c r="L974" s="4">
        <f aca="true" t="shared" si="550" ref="L974">L975+L1006+L1002+L1011+L1015</f>
        <v>34097.399999999994</v>
      </c>
      <c r="M974" s="4">
        <f t="shared" si="519"/>
        <v>73.07989892343599</v>
      </c>
      <c r="N974" s="23"/>
      <c r="O974" s="23"/>
    </row>
    <row r="975" spans="1:13" ht="47.25">
      <c r="A975" s="31" t="s">
        <v>521</v>
      </c>
      <c r="B975" s="42" t="s">
        <v>531</v>
      </c>
      <c r="C975" s="42" t="s">
        <v>157</v>
      </c>
      <c r="D975" s="42" t="s">
        <v>522</v>
      </c>
      <c r="E975" s="42"/>
      <c r="F975" s="7" t="e">
        <f aca="true" t="shared" si="551" ref="F975:L975">F976</f>
        <v>#REF!</v>
      </c>
      <c r="G975" s="7" t="e">
        <f t="shared" si="551"/>
        <v>#REF!</v>
      </c>
      <c r="H975" s="7" t="e">
        <f t="shared" si="551"/>
        <v>#REF!</v>
      </c>
      <c r="I975" s="7" t="e">
        <f t="shared" si="551"/>
        <v>#REF!</v>
      </c>
      <c r="J975" s="7" t="e">
        <f t="shared" si="551"/>
        <v>#REF!</v>
      </c>
      <c r="K975" s="7">
        <f t="shared" si="551"/>
        <v>45247.4</v>
      </c>
      <c r="L975" s="7">
        <f t="shared" si="551"/>
        <v>33099.2</v>
      </c>
      <c r="M975" s="7">
        <f aca="true" t="shared" si="552" ref="M975:M1038">L975/K975*100</f>
        <v>73.15160650114701</v>
      </c>
    </row>
    <row r="976" spans="1:13" ht="47.25">
      <c r="A976" s="47" t="s">
        <v>533</v>
      </c>
      <c r="B976" s="42" t="s">
        <v>531</v>
      </c>
      <c r="C976" s="42" t="s">
        <v>673</v>
      </c>
      <c r="D976" s="42" t="s">
        <v>534</v>
      </c>
      <c r="E976" s="42"/>
      <c r="F976" s="7" t="e">
        <f>F979+F988+F991+F997+F999</f>
        <v>#REF!</v>
      </c>
      <c r="G976" s="7" t="e">
        <f>G979+G988+G991+G997+G999</f>
        <v>#REF!</v>
      </c>
      <c r="H976" s="7" t="e">
        <f>H979+H988+H991+H997+H999</f>
        <v>#REF!</v>
      </c>
      <c r="I976" s="7" t="e">
        <f>I979+I988+I991+I997+I999</f>
        <v>#REF!</v>
      </c>
      <c r="J976" s="7" t="e">
        <f>J979+J988+J991+J997+J999</f>
        <v>#REF!</v>
      </c>
      <c r="K976" s="7">
        <f>K977+K987+K990+K996+K999+K993</f>
        <v>45247.4</v>
      </c>
      <c r="L976" s="7">
        <f aca="true" t="shared" si="553" ref="L976">L977+L987+L990+L996+L999+L993</f>
        <v>33099.2</v>
      </c>
      <c r="M976" s="7">
        <f t="shared" si="552"/>
        <v>73.15160650114701</v>
      </c>
    </row>
    <row r="977" spans="1:13" ht="31.5">
      <c r="A977" s="31" t="s">
        <v>535</v>
      </c>
      <c r="B977" s="42" t="s">
        <v>531</v>
      </c>
      <c r="C977" s="42" t="s">
        <v>157</v>
      </c>
      <c r="D977" s="42" t="s">
        <v>536</v>
      </c>
      <c r="E977" s="42"/>
      <c r="F977" s="7" t="e">
        <f>F979</f>
        <v>#REF!</v>
      </c>
      <c r="G977" s="7" t="e">
        <f>G979</f>
        <v>#REF!</v>
      </c>
      <c r="H977" s="7" t="e">
        <f>H979</f>
        <v>#REF!</v>
      </c>
      <c r="I977" s="7" t="e">
        <f>I979</f>
        <v>#REF!</v>
      </c>
      <c r="J977" s="7" t="e">
        <f>J979</f>
        <v>#REF!</v>
      </c>
      <c r="K977" s="7">
        <f>K978+K981+K984</f>
        <v>43349.4</v>
      </c>
      <c r="L977" s="7">
        <f aca="true" t="shared" si="554" ref="L977">L978+L981+L984</f>
        <v>31201.3</v>
      </c>
      <c r="M977" s="7">
        <f t="shared" si="552"/>
        <v>71.97631339764794</v>
      </c>
    </row>
    <row r="978" spans="1:13" ht="47.25">
      <c r="A978" s="26" t="s">
        <v>999</v>
      </c>
      <c r="B978" s="42" t="s">
        <v>531</v>
      </c>
      <c r="C978" s="42" t="s">
        <v>157</v>
      </c>
      <c r="D978" s="42" t="s">
        <v>994</v>
      </c>
      <c r="E978" s="42"/>
      <c r="F978" s="7"/>
      <c r="G978" s="7"/>
      <c r="H978" s="7"/>
      <c r="I978" s="7"/>
      <c r="J978" s="7"/>
      <c r="K978" s="7">
        <f>K979</f>
        <v>12403.5</v>
      </c>
      <c r="L978" s="7">
        <f aca="true" t="shared" si="555" ref="L978:L979">L979</f>
        <v>9217.8</v>
      </c>
      <c r="M978" s="7">
        <f t="shared" si="552"/>
        <v>74.31612044987301</v>
      </c>
    </row>
    <row r="979" spans="1:13" ht="47.25">
      <c r="A979" s="31" t="s">
        <v>311</v>
      </c>
      <c r="B979" s="42" t="s">
        <v>531</v>
      </c>
      <c r="C979" s="42" t="s">
        <v>157</v>
      </c>
      <c r="D979" s="42" t="s">
        <v>994</v>
      </c>
      <c r="E979" s="42" t="s">
        <v>312</v>
      </c>
      <c r="F979" s="7" t="e">
        <f>F980</f>
        <v>#REF!</v>
      </c>
      <c r="G979" s="7" t="e">
        <f>G980</f>
        <v>#REF!</v>
      </c>
      <c r="H979" s="7" t="e">
        <f>H980</f>
        <v>#REF!</v>
      </c>
      <c r="I979" s="7" t="e">
        <f>I980</f>
        <v>#REF!</v>
      </c>
      <c r="J979" s="7" t="e">
        <f>J980</f>
        <v>#REF!</v>
      </c>
      <c r="K979" s="7">
        <f>K980</f>
        <v>12403.5</v>
      </c>
      <c r="L979" s="7">
        <f t="shared" si="555"/>
        <v>9217.8</v>
      </c>
      <c r="M979" s="7">
        <f t="shared" si="552"/>
        <v>74.31612044987301</v>
      </c>
    </row>
    <row r="980" spans="1:13" ht="15.75">
      <c r="A980" s="31" t="s">
        <v>313</v>
      </c>
      <c r="B980" s="42" t="s">
        <v>531</v>
      </c>
      <c r="C980" s="42" t="s">
        <v>157</v>
      </c>
      <c r="D980" s="42" t="s">
        <v>994</v>
      </c>
      <c r="E980" s="42" t="s">
        <v>314</v>
      </c>
      <c r="F980" s="7" t="e">
        <f>#REF!</f>
        <v>#REF!</v>
      </c>
      <c r="G980" s="7" t="e">
        <f>#REF!</f>
        <v>#REF!</v>
      </c>
      <c r="H980" s="7" t="e">
        <f>#REF!</f>
        <v>#REF!</v>
      </c>
      <c r="I980" s="7" t="e">
        <f>#REF!</f>
        <v>#REF!</v>
      </c>
      <c r="J980" s="7" t="e">
        <f>#REF!</f>
        <v>#REF!</v>
      </c>
      <c r="K980" s="7">
        <f>'Прил.№4 ведомств.'!G944</f>
        <v>12403.5</v>
      </c>
      <c r="L980" s="7">
        <f>'Прил.№4 ведомств.'!H944</f>
        <v>9217.8</v>
      </c>
      <c r="M980" s="7">
        <f t="shared" si="552"/>
        <v>74.31612044987301</v>
      </c>
    </row>
    <row r="981" spans="1:13" ht="47.25">
      <c r="A981" s="26" t="s">
        <v>998</v>
      </c>
      <c r="B981" s="42" t="s">
        <v>531</v>
      </c>
      <c r="C981" s="42" t="s">
        <v>157</v>
      </c>
      <c r="D981" s="42" t="s">
        <v>995</v>
      </c>
      <c r="E981" s="42"/>
      <c r="F981" s="7"/>
      <c r="G981" s="7"/>
      <c r="H981" s="7"/>
      <c r="I981" s="7"/>
      <c r="J981" s="7"/>
      <c r="K981" s="7">
        <f>K982</f>
        <v>12697.800000000001</v>
      </c>
      <c r="L981" s="7">
        <f aca="true" t="shared" si="556" ref="L981:L982">L982</f>
        <v>9700.3</v>
      </c>
      <c r="M981" s="7">
        <f t="shared" si="552"/>
        <v>76.39354848871457</v>
      </c>
    </row>
    <row r="982" spans="1:13" ht="47.25">
      <c r="A982" s="26" t="s">
        <v>311</v>
      </c>
      <c r="B982" s="42" t="s">
        <v>531</v>
      </c>
      <c r="C982" s="42" t="s">
        <v>157</v>
      </c>
      <c r="D982" s="42" t="s">
        <v>995</v>
      </c>
      <c r="E982" s="42" t="s">
        <v>312</v>
      </c>
      <c r="F982" s="7"/>
      <c r="G982" s="7"/>
      <c r="H982" s="7"/>
      <c r="I982" s="7"/>
      <c r="J982" s="7"/>
      <c r="K982" s="7">
        <f>K983</f>
        <v>12697.800000000001</v>
      </c>
      <c r="L982" s="7">
        <f t="shared" si="556"/>
        <v>9700.3</v>
      </c>
      <c r="M982" s="7">
        <f t="shared" si="552"/>
        <v>76.39354848871457</v>
      </c>
    </row>
    <row r="983" spans="1:13" ht="15.75">
      <c r="A983" s="26" t="s">
        <v>313</v>
      </c>
      <c r="B983" s="42" t="s">
        <v>531</v>
      </c>
      <c r="C983" s="42" t="s">
        <v>157</v>
      </c>
      <c r="D983" s="42" t="s">
        <v>995</v>
      </c>
      <c r="E983" s="42" t="s">
        <v>314</v>
      </c>
      <c r="F983" s="7"/>
      <c r="G983" s="7"/>
      <c r="H983" s="7"/>
      <c r="I983" s="7"/>
      <c r="J983" s="7"/>
      <c r="K983" s="7">
        <f>'Прил.№4 ведомств.'!G947</f>
        <v>12697.800000000001</v>
      </c>
      <c r="L983" s="7">
        <f>'Прил.№4 ведомств.'!H947</f>
        <v>9700.3</v>
      </c>
      <c r="M983" s="7">
        <f t="shared" si="552"/>
        <v>76.39354848871457</v>
      </c>
    </row>
    <row r="984" spans="1:13" ht="47.25">
      <c r="A984" s="26" t="s">
        <v>997</v>
      </c>
      <c r="B984" s="42" t="s">
        <v>531</v>
      </c>
      <c r="C984" s="42" t="s">
        <v>157</v>
      </c>
      <c r="D984" s="42" t="s">
        <v>996</v>
      </c>
      <c r="E984" s="42"/>
      <c r="F984" s="7"/>
      <c r="G984" s="7"/>
      <c r="H984" s="7"/>
      <c r="I984" s="7"/>
      <c r="J984" s="7"/>
      <c r="K984" s="7">
        <f>K985</f>
        <v>18248.1</v>
      </c>
      <c r="L984" s="7">
        <f aca="true" t="shared" si="557" ref="L984:L985">L985</f>
        <v>12283.2</v>
      </c>
      <c r="M984" s="7">
        <f t="shared" si="552"/>
        <v>67.31221332631891</v>
      </c>
    </row>
    <row r="985" spans="1:13" ht="47.25">
      <c r="A985" s="26" t="s">
        <v>311</v>
      </c>
      <c r="B985" s="42" t="s">
        <v>531</v>
      </c>
      <c r="C985" s="42" t="s">
        <v>157</v>
      </c>
      <c r="D985" s="42" t="s">
        <v>996</v>
      </c>
      <c r="E985" s="42" t="s">
        <v>312</v>
      </c>
      <c r="F985" s="7"/>
      <c r="G985" s="7"/>
      <c r="H985" s="7"/>
      <c r="I985" s="7"/>
      <c r="J985" s="7"/>
      <c r="K985" s="7">
        <f>K986</f>
        <v>18248.1</v>
      </c>
      <c r="L985" s="7">
        <f t="shared" si="557"/>
        <v>12283.2</v>
      </c>
      <c r="M985" s="7">
        <f t="shared" si="552"/>
        <v>67.31221332631891</v>
      </c>
    </row>
    <row r="986" spans="1:13" ht="15.75">
      <c r="A986" s="26" t="s">
        <v>313</v>
      </c>
      <c r="B986" s="42" t="s">
        <v>531</v>
      </c>
      <c r="C986" s="42" t="s">
        <v>157</v>
      </c>
      <c r="D986" s="42" t="s">
        <v>996</v>
      </c>
      <c r="E986" s="42" t="s">
        <v>314</v>
      </c>
      <c r="F986" s="7"/>
      <c r="G986" s="7"/>
      <c r="H986" s="7"/>
      <c r="I986" s="7"/>
      <c r="J986" s="7"/>
      <c r="K986" s="7">
        <f>'Прил.№4 ведомств.'!G950</f>
        <v>18248.1</v>
      </c>
      <c r="L986" s="7">
        <f>'Прил.№4 ведомств.'!H950</f>
        <v>12283.2</v>
      </c>
      <c r="M986" s="7">
        <f t="shared" si="552"/>
        <v>67.31221332631891</v>
      </c>
    </row>
    <row r="987" spans="1:13" ht="31.5">
      <c r="A987" s="31" t="s">
        <v>317</v>
      </c>
      <c r="B987" s="42" t="s">
        <v>531</v>
      </c>
      <c r="C987" s="42" t="s">
        <v>157</v>
      </c>
      <c r="D987" s="42" t="s">
        <v>537</v>
      </c>
      <c r="E987" s="42"/>
      <c r="F987" s="7" t="e">
        <f>F988</f>
        <v>#REF!</v>
      </c>
      <c r="G987" s="7" t="e">
        <f aca="true" t="shared" si="558" ref="G987:L988">G988</f>
        <v>#REF!</v>
      </c>
      <c r="H987" s="7" t="e">
        <f t="shared" si="558"/>
        <v>#REF!</v>
      </c>
      <c r="I987" s="7" t="e">
        <f t="shared" si="558"/>
        <v>#REF!</v>
      </c>
      <c r="J987" s="7" t="e">
        <f t="shared" si="558"/>
        <v>#REF!</v>
      </c>
      <c r="K987" s="7">
        <f t="shared" si="558"/>
        <v>429.6</v>
      </c>
      <c r="L987" s="7">
        <f t="shared" si="558"/>
        <v>429.6</v>
      </c>
      <c r="M987" s="7">
        <f t="shared" si="552"/>
        <v>100</v>
      </c>
    </row>
    <row r="988" spans="1:13" ht="47.25">
      <c r="A988" s="31" t="s">
        <v>311</v>
      </c>
      <c r="B988" s="42" t="s">
        <v>531</v>
      </c>
      <c r="C988" s="42" t="s">
        <v>157</v>
      </c>
      <c r="D988" s="42" t="s">
        <v>537</v>
      </c>
      <c r="E988" s="42" t="s">
        <v>312</v>
      </c>
      <c r="F988" s="7" t="e">
        <f>F989</f>
        <v>#REF!</v>
      </c>
      <c r="G988" s="7" t="e">
        <f t="shared" si="558"/>
        <v>#REF!</v>
      </c>
      <c r="H988" s="7" t="e">
        <f t="shared" si="558"/>
        <v>#REF!</v>
      </c>
      <c r="I988" s="7" t="e">
        <f t="shared" si="558"/>
        <v>#REF!</v>
      </c>
      <c r="J988" s="7" t="e">
        <f t="shared" si="558"/>
        <v>#REF!</v>
      </c>
      <c r="K988" s="7">
        <f t="shared" si="558"/>
        <v>429.6</v>
      </c>
      <c r="L988" s="7">
        <f t="shared" si="558"/>
        <v>429.6</v>
      </c>
      <c r="M988" s="7">
        <f t="shared" si="552"/>
        <v>100</v>
      </c>
    </row>
    <row r="989" spans="1:13" ht="15.75">
      <c r="A989" s="31" t="s">
        <v>313</v>
      </c>
      <c r="B989" s="42" t="s">
        <v>531</v>
      </c>
      <c r="C989" s="42" t="s">
        <v>157</v>
      </c>
      <c r="D989" s="42" t="s">
        <v>537</v>
      </c>
      <c r="E989" s="42" t="s">
        <v>314</v>
      </c>
      <c r="F989" s="7" t="e">
        <f>#REF!</f>
        <v>#REF!</v>
      </c>
      <c r="G989" s="7" t="e">
        <f>#REF!</f>
        <v>#REF!</v>
      </c>
      <c r="H989" s="7" t="e">
        <f>#REF!</f>
        <v>#REF!</v>
      </c>
      <c r="I989" s="7" t="e">
        <f>#REF!</f>
        <v>#REF!</v>
      </c>
      <c r="J989" s="7" t="e">
        <f>#REF!</f>
        <v>#REF!</v>
      </c>
      <c r="K989" s="7">
        <f>'Прил.№4 ведомств.'!G953</f>
        <v>429.6</v>
      </c>
      <c r="L989" s="7">
        <f>'Прил.№4 ведомств.'!H953</f>
        <v>429.6</v>
      </c>
      <c r="M989" s="7">
        <f t="shared" si="552"/>
        <v>100</v>
      </c>
    </row>
    <row r="990" spans="1:13" ht="31.5" customHeight="1">
      <c r="A990" s="31" t="s">
        <v>319</v>
      </c>
      <c r="B990" s="42" t="s">
        <v>531</v>
      </c>
      <c r="C990" s="42" t="s">
        <v>157</v>
      </c>
      <c r="D990" s="42" t="s">
        <v>538</v>
      </c>
      <c r="E990" s="42"/>
      <c r="F990" s="7" t="e">
        <f>F991</f>
        <v>#REF!</v>
      </c>
      <c r="G990" s="7" t="e">
        <f aca="true" t="shared" si="559" ref="G990:L991">G991</f>
        <v>#REF!</v>
      </c>
      <c r="H990" s="7" t="e">
        <f t="shared" si="559"/>
        <v>#REF!</v>
      </c>
      <c r="I990" s="7" t="e">
        <f t="shared" si="559"/>
        <v>#REF!</v>
      </c>
      <c r="J990" s="7" t="e">
        <f t="shared" si="559"/>
        <v>#REF!</v>
      </c>
      <c r="K990" s="7">
        <f t="shared" si="559"/>
        <v>185.4</v>
      </c>
      <c r="L990" s="7">
        <f t="shared" si="559"/>
        <v>185.3</v>
      </c>
      <c r="M990" s="7">
        <f t="shared" si="552"/>
        <v>99.94606256742179</v>
      </c>
    </row>
    <row r="991" spans="1:13" ht="47.25" customHeight="1">
      <c r="A991" s="31" t="s">
        <v>311</v>
      </c>
      <c r="B991" s="42" t="s">
        <v>531</v>
      </c>
      <c r="C991" s="42" t="s">
        <v>157</v>
      </c>
      <c r="D991" s="42" t="s">
        <v>538</v>
      </c>
      <c r="E991" s="42" t="s">
        <v>312</v>
      </c>
      <c r="F991" s="7" t="e">
        <f>F992</f>
        <v>#REF!</v>
      </c>
      <c r="G991" s="7" t="e">
        <f t="shared" si="559"/>
        <v>#REF!</v>
      </c>
      <c r="H991" s="7" t="e">
        <f t="shared" si="559"/>
        <v>#REF!</v>
      </c>
      <c r="I991" s="7" t="e">
        <f t="shared" si="559"/>
        <v>#REF!</v>
      </c>
      <c r="J991" s="7" t="e">
        <f t="shared" si="559"/>
        <v>#REF!</v>
      </c>
      <c r="K991" s="7">
        <f t="shared" si="559"/>
        <v>185.4</v>
      </c>
      <c r="L991" s="7">
        <f t="shared" si="559"/>
        <v>185.3</v>
      </c>
      <c r="M991" s="7">
        <f t="shared" si="552"/>
        <v>99.94606256742179</v>
      </c>
    </row>
    <row r="992" spans="1:13" ht="15.75" customHeight="1">
      <c r="A992" s="31" t="s">
        <v>313</v>
      </c>
      <c r="B992" s="42" t="s">
        <v>531</v>
      </c>
      <c r="C992" s="42" t="s">
        <v>157</v>
      </c>
      <c r="D992" s="42" t="s">
        <v>538</v>
      </c>
      <c r="E992" s="42" t="s">
        <v>314</v>
      </c>
      <c r="F992" s="7" t="e">
        <f>#REF!</f>
        <v>#REF!</v>
      </c>
      <c r="G992" s="7" t="e">
        <f>#REF!</f>
        <v>#REF!</v>
      </c>
      <c r="H992" s="7" t="e">
        <f>#REF!</f>
        <v>#REF!</v>
      </c>
      <c r="I992" s="7" t="e">
        <f>#REF!</f>
        <v>#REF!</v>
      </c>
      <c r="J992" s="7" t="e">
        <f>#REF!</f>
        <v>#REF!</v>
      </c>
      <c r="K992" s="7">
        <f>'Прил.№4 ведомств.'!G956</f>
        <v>185.4</v>
      </c>
      <c r="L992" s="7">
        <f>'Прил.№4 ведомств.'!H956</f>
        <v>185.3</v>
      </c>
      <c r="M992" s="7">
        <f t="shared" si="552"/>
        <v>99.94606256742179</v>
      </c>
    </row>
    <row r="993" spans="1:13" s="299" customFormat="1" ht="15.75" customHeight="1">
      <c r="A993" s="26" t="s">
        <v>1060</v>
      </c>
      <c r="B993" s="42" t="s">
        <v>531</v>
      </c>
      <c r="C993" s="42" t="s">
        <v>157</v>
      </c>
      <c r="D993" s="42" t="s">
        <v>1061</v>
      </c>
      <c r="E993" s="42"/>
      <c r="F993" s="7"/>
      <c r="G993" s="7"/>
      <c r="H993" s="7"/>
      <c r="I993" s="7"/>
      <c r="J993" s="7"/>
      <c r="K993" s="7">
        <f>K994</f>
        <v>36</v>
      </c>
      <c r="L993" s="7">
        <f aca="true" t="shared" si="560" ref="L993:L994">L994</f>
        <v>36</v>
      </c>
      <c r="M993" s="7">
        <f t="shared" si="552"/>
        <v>100</v>
      </c>
    </row>
    <row r="994" spans="1:13" s="299" customFormat="1" ht="15.75" customHeight="1">
      <c r="A994" s="26" t="s">
        <v>311</v>
      </c>
      <c r="B994" s="42" t="s">
        <v>531</v>
      </c>
      <c r="C994" s="42" t="s">
        <v>157</v>
      </c>
      <c r="D994" s="42" t="s">
        <v>1061</v>
      </c>
      <c r="E994" s="42" t="s">
        <v>312</v>
      </c>
      <c r="F994" s="7"/>
      <c r="G994" s="7"/>
      <c r="H994" s="7"/>
      <c r="I994" s="7"/>
      <c r="J994" s="7"/>
      <c r="K994" s="7">
        <f>K995</f>
        <v>36</v>
      </c>
      <c r="L994" s="7">
        <f t="shared" si="560"/>
        <v>36</v>
      </c>
      <c r="M994" s="7">
        <f t="shared" si="552"/>
        <v>100</v>
      </c>
    </row>
    <row r="995" spans="1:13" s="299" customFormat="1" ht="16.5" customHeight="1">
      <c r="A995" s="26" t="s">
        <v>313</v>
      </c>
      <c r="B995" s="42" t="s">
        <v>531</v>
      </c>
      <c r="C995" s="42" t="s">
        <v>157</v>
      </c>
      <c r="D995" s="42" t="s">
        <v>1061</v>
      </c>
      <c r="E995" s="42" t="s">
        <v>314</v>
      </c>
      <c r="F995" s="7"/>
      <c r="G995" s="7"/>
      <c r="H995" s="7"/>
      <c r="I995" s="7"/>
      <c r="J995" s="7"/>
      <c r="K995" s="7">
        <f>'Прил.№4 ведомств.'!G959</f>
        <v>36</v>
      </c>
      <c r="L995" s="7">
        <f>'Прил.№4 ведомств.'!H959</f>
        <v>36</v>
      </c>
      <c r="M995" s="7">
        <f t="shared" si="552"/>
        <v>100</v>
      </c>
    </row>
    <row r="996" spans="1:13" ht="31.5" customHeight="1">
      <c r="A996" s="31" t="s">
        <v>323</v>
      </c>
      <c r="B996" s="42" t="s">
        <v>531</v>
      </c>
      <c r="C996" s="42" t="s">
        <v>157</v>
      </c>
      <c r="D996" s="42" t="s">
        <v>539</v>
      </c>
      <c r="E996" s="42"/>
      <c r="F996" s="7" t="e">
        <f>F997</f>
        <v>#REF!</v>
      </c>
      <c r="G996" s="7" t="e">
        <f aca="true" t="shared" si="561" ref="G996:L997">G997</f>
        <v>#REF!</v>
      </c>
      <c r="H996" s="7" t="e">
        <f t="shared" si="561"/>
        <v>#REF!</v>
      </c>
      <c r="I996" s="7" t="e">
        <f t="shared" si="561"/>
        <v>#REF!</v>
      </c>
      <c r="J996" s="7" t="e">
        <f t="shared" si="561"/>
        <v>#REF!</v>
      </c>
      <c r="K996" s="7">
        <f t="shared" si="561"/>
        <v>53.7</v>
      </c>
      <c r="L996" s="7">
        <f t="shared" si="561"/>
        <v>53.7</v>
      </c>
      <c r="M996" s="7">
        <f t="shared" si="552"/>
        <v>100</v>
      </c>
    </row>
    <row r="997" spans="1:13" ht="47.25" customHeight="1">
      <c r="A997" s="31" t="s">
        <v>311</v>
      </c>
      <c r="B997" s="42" t="s">
        <v>531</v>
      </c>
      <c r="C997" s="42" t="s">
        <v>157</v>
      </c>
      <c r="D997" s="42" t="s">
        <v>539</v>
      </c>
      <c r="E997" s="42" t="s">
        <v>312</v>
      </c>
      <c r="F997" s="7" t="e">
        <f>F998</f>
        <v>#REF!</v>
      </c>
      <c r="G997" s="7" t="e">
        <f t="shared" si="561"/>
        <v>#REF!</v>
      </c>
      <c r="H997" s="7" t="e">
        <f t="shared" si="561"/>
        <v>#REF!</v>
      </c>
      <c r="I997" s="7" t="e">
        <f t="shared" si="561"/>
        <v>#REF!</v>
      </c>
      <c r="J997" s="7" t="e">
        <f t="shared" si="561"/>
        <v>#REF!</v>
      </c>
      <c r="K997" s="7">
        <f t="shared" si="561"/>
        <v>53.7</v>
      </c>
      <c r="L997" s="7">
        <f t="shared" si="561"/>
        <v>53.7</v>
      </c>
      <c r="M997" s="7">
        <f t="shared" si="552"/>
        <v>100</v>
      </c>
    </row>
    <row r="998" spans="1:13" ht="15.75" customHeight="1">
      <c r="A998" s="31" t="s">
        <v>313</v>
      </c>
      <c r="B998" s="42" t="s">
        <v>531</v>
      </c>
      <c r="C998" s="42" t="s">
        <v>157</v>
      </c>
      <c r="D998" s="42" t="s">
        <v>539</v>
      </c>
      <c r="E998" s="42" t="s">
        <v>314</v>
      </c>
      <c r="F998" s="7" t="e">
        <f>#REF!</f>
        <v>#REF!</v>
      </c>
      <c r="G998" s="7" t="e">
        <f>#REF!</f>
        <v>#REF!</v>
      </c>
      <c r="H998" s="7" t="e">
        <f>#REF!</f>
        <v>#REF!</v>
      </c>
      <c r="I998" s="7" t="e">
        <f>#REF!</f>
        <v>#REF!</v>
      </c>
      <c r="J998" s="7" t="e">
        <f>#REF!</f>
        <v>#REF!</v>
      </c>
      <c r="K998" s="7">
        <f>'Прил.№4 ведомств.'!G962</f>
        <v>53.7</v>
      </c>
      <c r="L998" s="7">
        <f>'Прил.№4 ведомств.'!H962</f>
        <v>53.7</v>
      </c>
      <c r="M998" s="7">
        <f t="shared" si="552"/>
        <v>100</v>
      </c>
    </row>
    <row r="999" spans="1:13" ht="15.75" customHeight="1">
      <c r="A999" s="47" t="s">
        <v>837</v>
      </c>
      <c r="B999" s="21" t="s">
        <v>531</v>
      </c>
      <c r="C999" s="21" t="s">
        <v>157</v>
      </c>
      <c r="D999" s="21" t="s">
        <v>845</v>
      </c>
      <c r="E999" s="21"/>
      <c r="F999" s="7" t="e">
        <f>F1000</f>
        <v>#REF!</v>
      </c>
      <c r="G999" s="7" t="e">
        <f aca="true" t="shared" si="562" ref="G999:L1000">G1000</f>
        <v>#REF!</v>
      </c>
      <c r="H999" s="7" t="e">
        <f t="shared" si="562"/>
        <v>#REF!</v>
      </c>
      <c r="I999" s="7" t="e">
        <f t="shared" si="562"/>
        <v>#REF!</v>
      </c>
      <c r="J999" s="7" t="e">
        <f t="shared" si="562"/>
        <v>#REF!</v>
      </c>
      <c r="K999" s="7">
        <f t="shared" si="562"/>
        <v>1193.3</v>
      </c>
      <c r="L999" s="7">
        <f t="shared" si="562"/>
        <v>1193.3</v>
      </c>
      <c r="M999" s="7">
        <f t="shared" si="552"/>
        <v>100</v>
      </c>
    </row>
    <row r="1000" spans="1:13" ht="15.75" customHeight="1">
      <c r="A1000" s="33" t="s">
        <v>311</v>
      </c>
      <c r="B1000" s="21" t="s">
        <v>531</v>
      </c>
      <c r="C1000" s="21" t="s">
        <v>157</v>
      </c>
      <c r="D1000" s="21" t="s">
        <v>845</v>
      </c>
      <c r="E1000" s="21" t="s">
        <v>312</v>
      </c>
      <c r="F1000" s="7" t="e">
        <f>F1001</f>
        <v>#REF!</v>
      </c>
      <c r="G1000" s="7" t="e">
        <f t="shared" si="562"/>
        <v>#REF!</v>
      </c>
      <c r="H1000" s="7" t="e">
        <f t="shared" si="562"/>
        <v>#REF!</v>
      </c>
      <c r="I1000" s="7" t="e">
        <f t="shared" si="562"/>
        <v>#REF!</v>
      </c>
      <c r="J1000" s="7" t="e">
        <f t="shared" si="562"/>
        <v>#REF!</v>
      </c>
      <c r="K1000" s="7">
        <f t="shared" si="562"/>
        <v>1193.3</v>
      </c>
      <c r="L1000" s="7">
        <f t="shared" si="562"/>
        <v>1193.3</v>
      </c>
      <c r="M1000" s="7">
        <f t="shared" si="552"/>
        <v>100</v>
      </c>
    </row>
    <row r="1001" spans="1:13" ht="15.75" customHeight="1">
      <c r="A1001" s="33" t="s">
        <v>313</v>
      </c>
      <c r="B1001" s="21" t="s">
        <v>531</v>
      </c>
      <c r="C1001" s="21" t="s">
        <v>157</v>
      </c>
      <c r="D1001" s="21" t="s">
        <v>845</v>
      </c>
      <c r="E1001" s="21" t="s">
        <v>314</v>
      </c>
      <c r="F1001" s="7" t="e">
        <f>#REF!</f>
        <v>#REF!</v>
      </c>
      <c r="G1001" s="7" t="e">
        <f>#REF!</f>
        <v>#REF!</v>
      </c>
      <c r="H1001" s="7" t="e">
        <f>#REF!</f>
        <v>#REF!</v>
      </c>
      <c r="I1001" s="7" t="e">
        <f>#REF!</f>
        <v>#REF!</v>
      </c>
      <c r="J1001" s="7" t="e">
        <f>#REF!</f>
        <v>#REF!</v>
      </c>
      <c r="K1001" s="7">
        <f>'Прил.№4 ведомств.'!G965</f>
        <v>1193.3</v>
      </c>
      <c r="L1001" s="7">
        <f>'Прил.№4 ведомств.'!H965</f>
        <v>1193.3</v>
      </c>
      <c r="M1001" s="7">
        <f t="shared" si="552"/>
        <v>100</v>
      </c>
    </row>
    <row r="1002" spans="1:13" ht="47.25" customHeight="1" hidden="1">
      <c r="A1002" s="33" t="s">
        <v>920</v>
      </c>
      <c r="B1002" s="21" t="s">
        <v>531</v>
      </c>
      <c r="C1002" s="21" t="s">
        <v>157</v>
      </c>
      <c r="D1002" s="21" t="s">
        <v>363</v>
      </c>
      <c r="E1002" s="21"/>
      <c r="F1002" s="7"/>
      <c r="G1002" s="7"/>
      <c r="H1002" s="7"/>
      <c r="I1002" s="7"/>
      <c r="J1002" s="7"/>
      <c r="K1002" s="7">
        <f>K1003</f>
        <v>0</v>
      </c>
      <c r="L1002" s="7">
        <f aca="true" t="shared" si="563" ref="L1002:L1004">L1003</f>
        <v>0</v>
      </c>
      <c r="M1002" s="7" t="e">
        <f t="shared" si="552"/>
        <v>#DIV/0!</v>
      </c>
    </row>
    <row r="1003" spans="1:13" ht="47.25" hidden="1">
      <c r="A1003" s="33" t="s">
        <v>364</v>
      </c>
      <c r="B1003" s="21" t="s">
        <v>531</v>
      </c>
      <c r="C1003" s="21" t="s">
        <v>157</v>
      </c>
      <c r="D1003" s="21" t="s">
        <v>365</v>
      </c>
      <c r="E1003" s="21"/>
      <c r="F1003" s="7"/>
      <c r="G1003" s="7"/>
      <c r="H1003" s="7"/>
      <c r="I1003" s="7"/>
      <c r="J1003" s="7"/>
      <c r="K1003" s="7">
        <f>K1004</f>
        <v>0</v>
      </c>
      <c r="L1003" s="7">
        <f t="shared" si="563"/>
        <v>0</v>
      </c>
      <c r="M1003" s="7" t="e">
        <f t="shared" si="552"/>
        <v>#DIV/0!</v>
      </c>
    </row>
    <row r="1004" spans="1:13" ht="47.25" hidden="1">
      <c r="A1004" s="33" t="s">
        <v>311</v>
      </c>
      <c r="B1004" s="21" t="s">
        <v>531</v>
      </c>
      <c r="C1004" s="21" t="s">
        <v>157</v>
      </c>
      <c r="D1004" s="21" t="s">
        <v>365</v>
      </c>
      <c r="E1004" s="21" t="s">
        <v>312</v>
      </c>
      <c r="F1004" s="7"/>
      <c r="G1004" s="7"/>
      <c r="H1004" s="7"/>
      <c r="I1004" s="7"/>
      <c r="J1004" s="7"/>
      <c r="K1004" s="7">
        <f>K1005</f>
        <v>0</v>
      </c>
      <c r="L1004" s="7">
        <f t="shared" si="563"/>
        <v>0</v>
      </c>
      <c r="M1004" s="7" t="e">
        <f t="shared" si="552"/>
        <v>#DIV/0!</v>
      </c>
    </row>
    <row r="1005" spans="1:13" ht="15.75" customHeight="1" hidden="1">
      <c r="A1005" s="33" t="s">
        <v>313</v>
      </c>
      <c r="B1005" s="21" t="s">
        <v>531</v>
      </c>
      <c r="C1005" s="21" t="s">
        <v>157</v>
      </c>
      <c r="D1005" s="21" t="s">
        <v>365</v>
      </c>
      <c r="E1005" s="21" t="s">
        <v>314</v>
      </c>
      <c r="F1005" s="7"/>
      <c r="G1005" s="7"/>
      <c r="H1005" s="7"/>
      <c r="I1005" s="7"/>
      <c r="J1005" s="7"/>
      <c r="K1005" s="7">
        <f>'Прил.№4 ведомств.'!G969</f>
        <v>0</v>
      </c>
      <c r="L1005" s="7">
        <f>'Прил.№4 ведомств.'!H969</f>
        <v>0</v>
      </c>
      <c r="M1005" s="7" t="e">
        <f t="shared" si="552"/>
        <v>#DIV/0!</v>
      </c>
    </row>
    <row r="1006" spans="1:13" ht="15.75" hidden="1">
      <c r="A1006" s="26" t="s">
        <v>160</v>
      </c>
      <c r="B1006" s="21" t="s">
        <v>531</v>
      </c>
      <c r="C1006" s="21" t="s">
        <v>157</v>
      </c>
      <c r="D1006" s="21" t="s">
        <v>161</v>
      </c>
      <c r="E1006" s="21"/>
      <c r="F1006" s="7" t="e">
        <f>F1007</f>
        <v>#REF!</v>
      </c>
      <c r="G1006" s="7" t="e">
        <f aca="true" t="shared" si="564" ref="G1006:L1009">G1007</f>
        <v>#REF!</v>
      </c>
      <c r="H1006" s="7" t="e">
        <f t="shared" si="564"/>
        <v>#REF!</v>
      </c>
      <c r="I1006" s="7" t="e">
        <f t="shared" si="564"/>
        <v>#REF!</v>
      </c>
      <c r="J1006" s="7" t="e">
        <f t="shared" si="564"/>
        <v>#REF!</v>
      </c>
      <c r="K1006" s="7">
        <f t="shared" si="564"/>
        <v>0</v>
      </c>
      <c r="L1006" s="7">
        <f t="shared" si="564"/>
        <v>0</v>
      </c>
      <c r="M1006" s="7" t="e">
        <f t="shared" si="552"/>
        <v>#DIV/0!</v>
      </c>
    </row>
    <row r="1007" spans="1:13" ht="31.5" hidden="1">
      <c r="A1007" s="26" t="s">
        <v>224</v>
      </c>
      <c r="B1007" s="21" t="s">
        <v>531</v>
      </c>
      <c r="C1007" s="21" t="s">
        <v>157</v>
      </c>
      <c r="D1007" s="21" t="s">
        <v>225</v>
      </c>
      <c r="E1007" s="21"/>
      <c r="F1007" s="7" t="e">
        <f>F1008</f>
        <v>#REF!</v>
      </c>
      <c r="G1007" s="7" t="e">
        <f t="shared" si="564"/>
        <v>#REF!</v>
      </c>
      <c r="H1007" s="7" t="e">
        <f t="shared" si="564"/>
        <v>#REF!</v>
      </c>
      <c r="I1007" s="7" t="e">
        <f t="shared" si="564"/>
        <v>#REF!</v>
      </c>
      <c r="J1007" s="7" t="e">
        <f t="shared" si="564"/>
        <v>#REF!</v>
      </c>
      <c r="K1007" s="7">
        <f t="shared" si="564"/>
        <v>0</v>
      </c>
      <c r="L1007" s="7">
        <f t="shared" si="564"/>
        <v>0</v>
      </c>
      <c r="M1007" s="7" t="e">
        <f t="shared" si="552"/>
        <v>#DIV/0!</v>
      </c>
    </row>
    <row r="1008" spans="1:13" ht="47.25" hidden="1">
      <c r="A1008" s="26" t="s">
        <v>966</v>
      </c>
      <c r="B1008" s="21" t="s">
        <v>531</v>
      </c>
      <c r="C1008" s="21" t="s">
        <v>157</v>
      </c>
      <c r="D1008" s="21" t="s">
        <v>967</v>
      </c>
      <c r="E1008" s="21"/>
      <c r="F1008" s="7" t="e">
        <f>F1009</f>
        <v>#REF!</v>
      </c>
      <c r="G1008" s="7" t="e">
        <f t="shared" si="564"/>
        <v>#REF!</v>
      </c>
      <c r="H1008" s="7" t="e">
        <f t="shared" si="564"/>
        <v>#REF!</v>
      </c>
      <c r="I1008" s="7" t="e">
        <f t="shared" si="564"/>
        <v>#REF!</v>
      </c>
      <c r="J1008" s="7" t="e">
        <f t="shared" si="564"/>
        <v>#REF!</v>
      </c>
      <c r="K1008" s="7">
        <f t="shared" si="564"/>
        <v>0</v>
      </c>
      <c r="L1008" s="7">
        <f t="shared" si="564"/>
        <v>0</v>
      </c>
      <c r="M1008" s="7" t="e">
        <f t="shared" si="552"/>
        <v>#DIV/0!</v>
      </c>
    </row>
    <row r="1009" spans="1:13" ht="47.25" hidden="1">
      <c r="A1009" s="26" t="s">
        <v>311</v>
      </c>
      <c r="B1009" s="21" t="s">
        <v>531</v>
      </c>
      <c r="C1009" s="21" t="s">
        <v>157</v>
      </c>
      <c r="D1009" s="21" t="s">
        <v>967</v>
      </c>
      <c r="E1009" s="21" t="s">
        <v>312</v>
      </c>
      <c r="F1009" s="7" t="e">
        <f>F1010</f>
        <v>#REF!</v>
      </c>
      <c r="G1009" s="7" t="e">
        <f t="shared" si="564"/>
        <v>#REF!</v>
      </c>
      <c r="H1009" s="7" t="e">
        <f t="shared" si="564"/>
        <v>#REF!</v>
      </c>
      <c r="I1009" s="7" t="e">
        <f t="shared" si="564"/>
        <v>#REF!</v>
      </c>
      <c r="J1009" s="7" t="e">
        <f t="shared" si="564"/>
        <v>#REF!</v>
      </c>
      <c r="K1009" s="7">
        <f t="shared" si="564"/>
        <v>0</v>
      </c>
      <c r="L1009" s="7">
        <f t="shared" si="564"/>
        <v>0</v>
      </c>
      <c r="M1009" s="7" t="e">
        <f t="shared" si="552"/>
        <v>#DIV/0!</v>
      </c>
    </row>
    <row r="1010" spans="1:13" ht="15.75" hidden="1">
      <c r="A1010" s="26" t="s">
        <v>313</v>
      </c>
      <c r="B1010" s="21" t="s">
        <v>531</v>
      </c>
      <c r="C1010" s="21" t="s">
        <v>157</v>
      </c>
      <c r="D1010" s="21" t="s">
        <v>967</v>
      </c>
      <c r="E1010" s="21" t="s">
        <v>314</v>
      </c>
      <c r="F1010" s="7" t="e">
        <f>#REF!</f>
        <v>#REF!</v>
      </c>
      <c r="G1010" s="7" t="e">
        <f>#REF!</f>
        <v>#REF!</v>
      </c>
      <c r="H1010" s="7" t="e">
        <f>#REF!</f>
        <v>#REF!</v>
      </c>
      <c r="I1010" s="7" t="e">
        <f>#REF!</f>
        <v>#REF!</v>
      </c>
      <c r="J1010" s="7" t="e">
        <f>#REF!</f>
        <v>#REF!</v>
      </c>
      <c r="K1010" s="7">
        <f>'Прил.№4 ведомств.'!G974</f>
        <v>0</v>
      </c>
      <c r="L1010" s="7">
        <f>'Прил.№4 ведомств.'!H974</f>
        <v>0</v>
      </c>
      <c r="M1010" s="7" t="e">
        <f t="shared" si="552"/>
        <v>#DIV/0!</v>
      </c>
    </row>
    <row r="1011" spans="1:13" ht="63">
      <c r="A1011" s="31" t="s">
        <v>777</v>
      </c>
      <c r="B1011" s="21" t="s">
        <v>531</v>
      </c>
      <c r="C1011" s="21" t="s">
        <v>157</v>
      </c>
      <c r="D1011" s="21" t="s">
        <v>775</v>
      </c>
      <c r="E1011" s="34"/>
      <c r="F1011" s="7"/>
      <c r="G1011" s="7"/>
      <c r="H1011" s="7"/>
      <c r="I1011" s="7"/>
      <c r="J1011" s="7"/>
      <c r="K1011" s="7">
        <f>K1012</f>
        <v>540.1</v>
      </c>
      <c r="L1011" s="7">
        <f aca="true" t="shared" si="565" ref="L1011:L1013">L1012</f>
        <v>411.5</v>
      </c>
      <c r="M1011" s="7">
        <f t="shared" si="552"/>
        <v>76.18959451953341</v>
      </c>
    </row>
    <row r="1012" spans="1:13" ht="47.25">
      <c r="A1012" s="119" t="s">
        <v>915</v>
      </c>
      <c r="B1012" s="21" t="s">
        <v>531</v>
      </c>
      <c r="C1012" s="21" t="s">
        <v>157</v>
      </c>
      <c r="D1012" s="21" t="s">
        <v>916</v>
      </c>
      <c r="E1012" s="34"/>
      <c r="F1012" s="7"/>
      <c r="G1012" s="7"/>
      <c r="H1012" s="7"/>
      <c r="I1012" s="7"/>
      <c r="J1012" s="7"/>
      <c r="K1012" s="7">
        <f>K1013</f>
        <v>540.1</v>
      </c>
      <c r="L1012" s="7">
        <f t="shared" si="565"/>
        <v>411.5</v>
      </c>
      <c r="M1012" s="7">
        <f t="shared" si="552"/>
        <v>76.18959451953341</v>
      </c>
    </row>
    <row r="1013" spans="1:13" ht="47.25">
      <c r="A1013" s="31" t="s">
        <v>311</v>
      </c>
      <c r="B1013" s="21" t="s">
        <v>531</v>
      </c>
      <c r="C1013" s="21" t="s">
        <v>157</v>
      </c>
      <c r="D1013" s="21" t="s">
        <v>916</v>
      </c>
      <c r="E1013" s="34" t="s">
        <v>312</v>
      </c>
      <c r="F1013" s="7"/>
      <c r="G1013" s="7"/>
      <c r="H1013" s="7"/>
      <c r="I1013" s="7"/>
      <c r="J1013" s="7"/>
      <c r="K1013" s="7">
        <f>K1014</f>
        <v>540.1</v>
      </c>
      <c r="L1013" s="7">
        <f t="shared" si="565"/>
        <v>411.5</v>
      </c>
      <c r="M1013" s="7">
        <f t="shared" si="552"/>
        <v>76.18959451953341</v>
      </c>
    </row>
    <row r="1014" spans="1:13" ht="15.75">
      <c r="A1014" s="242" t="s">
        <v>313</v>
      </c>
      <c r="B1014" s="21" t="s">
        <v>531</v>
      </c>
      <c r="C1014" s="21" t="s">
        <v>157</v>
      </c>
      <c r="D1014" s="21" t="s">
        <v>916</v>
      </c>
      <c r="E1014" s="34" t="s">
        <v>314</v>
      </c>
      <c r="F1014" s="7"/>
      <c r="G1014" s="7"/>
      <c r="H1014" s="7"/>
      <c r="I1014" s="7"/>
      <c r="J1014" s="7"/>
      <c r="K1014" s="7">
        <f>'Прил.№4 ведомств.'!G978</f>
        <v>540.1</v>
      </c>
      <c r="L1014" s="7">
        <f>'Прил.№4 ведомств.'!H978</f>
        <v>411.5</v>
      </c>
      <c r="M1014" s="7">
        <f t="shared" si="552"/>
        <v>76.18959451953341</v>
      </c>
    </row>
    <row r="1015" spans="1:13" ht="15.75">
      <c r="A1015" s="26" t="s">
        <v>160</v>
      </c>
      <c r="B1015" s="21" t="s">
        <v>531</v>
      </c>
      <c r="C1015" s="21" t="s">
        <v>157</v>
      </c>
      <c r="D1015" s="21" t="s">
        <v>161</v>
      </c>
      <c r="E1015" s="21"/>
      <c r="F1015" s="7"/>
      <c r="G1015" s="7"/>
      <c r="H1015" s="7"/>
      <c r="I1015" s="7"/>
      <c r="J1015" s="7"/>
      <c r="K1015" s="7">
        <f>K1016</f>
        <v>870.2</v>
      </c>
      <c r="L1015" s="7">
        <f aca="true" t="shared" si="566" ref="L1015">L1016</f>
        <v>586.7</v>
      </c>
      <c r="M1015" s="7">
        <f t="shared" si="552"/>
        <v>67.42128246380142</v>
      </c>
    </row>
    <row r="1016" spans="1:13" ht="31.5">
      <c r="A1016" s="26" t="s">
        <v>224</v>
      </c>
      <c r="B1016" s="21" t="s">
        <v>531</v>
      </c>
      <c r="C1016" s="21" t="s">
        <v>157</v>
      </c>
      <c r="D1016" s="21" t="s">
        <v>225</v>
      </c>
      <c r="E1016" s="21"/>
      <c r="F1016" s="7"/>
      <c r="G1016" s="7"/>
      <c r="H1016" s="7"/>
      <c r="I1016" s="7"/>
      <c r="J1016" s="7"/>
      <c r="K1016" s="7">
        <f>K1017+K1020+K1023</f>
        <v>870.2</v>
      </c>
      <c r="L1016" s="7">
        <f aca="true" t="shared" si="567" ref="L1016">L1017+L1020+L1023</f>
        <v>586.7</v>
      </c>
      <c r="M1016" s="7">
        <f t="shared" si="552"/>
        <v>67.42128246380142</v>
      </c>
    </row>
    <row r="1017" spans="1:13" ht="63" hidden="1">
      <c r="A1017" s="33" t="s">
        <v>328</v>
      </c>
      <c r="B1017" s="21" t="s">
        <v>531</v>
      </c>
      <c r="C1017" s="21" t="s">
        <v>157</v>
      </c>
      <c r="D1017" s="21" t="s">
        <v>329</v>
      </c>
      <c r="E1017" s="21"/>
      <c r="F1017" s="7"/>
      <c r="G1017" s="7"/>
      <c r="H1017" s="7"/>
      <c r="I1017" s="7"/>
      <c r="J1017" s="7"/>
      <c r="K1017" s="7">
        <f>K1018</f>
        <v>0</v>
      </c>
      <c r="L1017" s="7">
        <f aca="true" t="shared" si="568" ref="L1017:L1018">L1018</f>
        <v>0</v>
      </c>
      <c r="M1017" s="7" t="e">
        <f t="shared" si="552"/>
        <v>#DIV/0!</v>
      </c>
    </row>
    <row r="1018" spans="1:13" ht="47.25" hidden="1">
      <c r="A1018" s="26" t="s">
        <v>311</v>
      </c>
      <c r="B1018" s="21" t="s">
        <v>531</v>
      </c>
      <c r="C1018" s="21" t="s">
        <v>157</v>
      </c>
      <c r="D1018" s="21" t="s">
        <v>329</v>
      </c>
      <c r="E1018" s="21" t="s">
        <v>312</v>
      </c>
      <c r="F1018" s="7"/>
      <c r="G1018" s="7"/>
      <c r="H1018" s="7"/>
      <c r="I1018" s="7"/>
      <c r="J1018" s="7"/>
      <c r="K1018" s="7">
        <f>K1019</f>
        <v>0</v>
      </c>
      <c r="L1018" s="7">
        <f t="shared" si="568"/>
        <v>0</v>
      </c>
      <c r="M1018" s="7" t="e">
        <f t="shared" si="552"/>
        <v>#DIV/0!</v>
      </c>
    </row>
    <row r="1019" spans="1:13" ht="15.75" hidden="1">
      <c r="A1019" s="26" t="s">
        <v>313</v>
      </c>
      <c r="B1019" s="21" t="s">
        <v>531</v>
      </c>
      <c r="C1019" s="21" t="s">
        <v>157</v>
      </c>
      <c r="D1019" s="21" t="s">
        <v>329</v>
      </c>
      <c r="E1019" s="21" t="s">
        <v>314</v>
      </c>
      <c r="F1019" s="7"/>
      <c r="G1019" s="7"/>
      <c r="H1019" s="7"/>
      <c r="I1019" s="7"/>
      <c r="J1019" s="7"/>
      <c r="K1019" s="7">
        <f>'Прил.№4 ведомств.'!G983</f>
        <v>0</v>
      </c>
      <c r="L1019" s="7">
        <f>'Прил.№4 ведомств.'!H983</f>
        <v>0</v>
      </c>
      <c r="M1019" s="7" t="e">
        <f t="shared" si="552"/>
        <v>#DIV/0!</v>
      </c>
    </row>
    <row r="1020" spans="1:13" ht="63" hidden="1">
      <c r="A1020" s="33" t="s">
        <v>330</v>
      </c>
      <c r="B1020" s="21" t="s">
        <v>531</v>
      </c>
      <c r="C1020" s="21" t="s">
        <v>157</v>
      </c>
      <c r="D1020" s="21" t="s">
        <v>331</v>
      </c>
      <c r="E1020" s="21"/>
      <c r="F1020" s="7"/>
      <c r="G1020" s="7"/>
      <c r="H1020" s="7"/>
      <c r="I1020" s="7"/>
      <c r="J1020" s="7"/>
      <c r="K1020" s="7">
        <f>K1021</f>
        <v>0</v>
      </c>
      <c r="L1020" s="7">
        <f aca="true" t="shared" si="569" ref="L1020:L1021">L1021</f>
        <v>0</v>
      </c>
      <c r="M1020" s="7" t="e">
        <f t="shared" si="552"/>
        <v>#DIV/0!</v>
      </c>
    </row>
    <row r="1021" spans="1:13" ht="47.25" hidden="1">
      <c r="A1021" s="26" t="s">
        <v>311</v>
      </c>
      <c r="B1021" s="21" t="s">
        <v>531</v>
      </c>
      <c r="C1021" s="21" t="s">
        <v>157</v>
      </c>
      <c r="D1021" s="21" t="s">
        <v>331</v>
      </c>
      <c r="E1021" s="21" t="s">
        <v>312</v>
      </c>
      <c r="F1021" s="7"/>
      <c r="G1021" s="7"/>
      <c r="H1021" s="7"/>
      <c r="I1021" s="7"/>
      <c r="J1021" s="7"/>
      <c r="K1021" s="7">
        <f>K1022</f>
        <v>0</v>
      </c>
      <c r="L1021" s="7">
        <f t="shared" si="569"/>
        <v>0</v>
      </c>
      <c r="M1021" s="7" t="e">
        <f t="shared" si="552"/>
        <v>#DIV/0!</v>
      </c>
    </row>
    <row r="1022" spans="1:13" ht="15.75" hidden="1">
      <c r="A1022" s="26" t="s">
        <v>313</v>
      </c>
      <c r="B1022" s="21" t="s">
        <v>531</v>
      </c>
      <c r="C1022" s="21" t="s">
        <v>157</v>
      </c>
      <c r="D1022" s="21" t="s">
        <v>331</v>
      </c>
      <c r="E1022" s="21" t="s">
        <v>314</v>
      </c>
      <c r="F1022" s="7"/>
      <c r="G1022" s="7"/>
      <c r="H1022" s="7"/>
      <c r="I1022" s="7"/>
      <c r="J1022" s="7"/>
      <c r="K1022" s="7">
        <f>'Прил.№4 ведомств.'!G986</f>
        <v>0</v>
      </c>
      <c r="L1022" s="7">
        <f>'Прил.№4 ведомств.'!H986</f>
        <v>0</v>
      </c>
      <c r="M1022" s="7" t="e">
        <f t="shared" si="552"/>
        <v>#DIV/0!</v>
      </c>
    </row>
    <row r="1023" spans="1:13" ht="94.5">
      <c r="A1023" s="33" t="s">
        <v>504</v>
      </c>
      <c r="B1023" s="21" t="s">
        <v>531</v>
      </c>
      <c r="C1023" s="21" t="s">
        <v>157</v>
      </c>
      <c r="D1023" s="21" t="s">
        <v>333</v>
      </c>
      <c r="E1023" s="21"/>
      <c r="F1023" s="7"/>
      <c r="G1023" s="7"/>
      <c r="H1023" s="7"/>
      <c r="I1023" s="7"/>
      <c r="J1023" s="7"/>
      <c r="K1023" s="7">
        <f>K1024</f>
        <v>870.2</v>
      </c>
      <c r="L1023" s="7">
        <f aca="true" t="shared" si="570" ref="L1023:L1024">L1024</f>
        <v>586.7</v>
      </c>
      <c r="M1023" s="7">
        <f t="shared" si="552"/>
        <v>67.42128246380142</v>
      </c>
    </row>
    <row r="1024" spans="1:13" ht="47.25">
      <c r="A1024" s="26" t="s">
        <v>311</v>
      </c>
      <c r="B1024" s="21" t="s">
        <v>531</v>
      </c>
      <c r="C1024" s="21" t="s">
        <v>157</v>
      </c>
      <c r="D1024" s="21" t="s">
        <v>333</v>
      </c>
      <c r="E1024" s="21" t="s">
        <v>312</v>
      </c>
      <c r="F1024" s="7"/>
      <c r="G1024" s="7"/>
      <c r="H1024" s="7"/>
      <c r="I1024" s="7"/>
      <c r="J1024" s="7"/>
      <c r="K1024" s="7">
        <f>K1025</f>
        <v>870.2</v>
      </c>
      <c r="L1024" s="7">
        <f t="shared" si="570"/>
        <v>586.7</v>
      </c>
      <c r="M1024" s="7">
        <f t="shared" si="552"/>
        <v>67.42128246380142</v>
      </c>
    </row>
    <row r="1025" spans="1:13" ht="15.75">
      <c r="A1025" s="26" t="s">
        <v>313</v>
      </c>
      <c r="B1025" s="21" t="s">
        <v>531</v>
      </c>
      <c r="C1025" s="21" t="s">
        <v>157</v>
      </c>
      <c r="D1025" s="21" t="s">
        <v>333</v>
      </c>
      <c r="E1025" s="21" t="s">
        <v>314</v>
      </c>
      <c r="F1025" s="7"/>
      <c r="G1025" s="7"/>
      <c r="H1025" s="7"/>
      <c r="I1025" s="7"/>
      <c r="J1025" s="7"/>
      <c r="K1025" s="7">
        <f>'Прил.№4 ведомств.'!G989</f>
        <v>870.2</v>
      </c>
      <c r="L1025" s="7">
        <f>'Прил.№4 ведомств.'!H989</f>
        <v>586.7</v>
      </c>
      <c r="M1025" s="7">
        <f t="shared" si="552"/>
        <v>67.42128246380142</v>
      </c>
    </row>
    <row r="1026" spans="1:13" ht="31.5">
      <c r="A1026" s="43" t="s">
        <v>540</v>
      </c>
      <c r="B1026" s="8" t="s">
        <v>531</v>
      </c>
      <c r="C1026" s="8" t="s">
        <v>273</v>
      </c>
      <c r="D1026" s="8"/>
      <c r="E1026" s="8"/>
      <c r="F1026" s="4" t="e">
        <f aca="true" t="shared" si="571" ref="F1026:K1026">F1034+F1027</f>
        <v>#REF!</v>
      </c>
      <c r="G1026" s="4" t="e">
        <f t="shared" si="571"/>
        <v>#REF!</v>
      </c>
      <c r="H1026" s="4" t="e">
        <f t="shared" si="571"/>
        <v>#REF!</v>
      </c>
      <c r="I1026" s="4" t="e">
        <f t="shared" si="571"/>
        <v>#REF!</v>
      </c>
      <c r="J1026" s="4" t="e">
        <f t="shared" si="571"/>
        <v>#REF!</v>
      </c>
      <c r="K1026" s="4">
        <f t="shared" si="571"/>
        <v>12225.600000000002</v>
      </c>
      <c r="L1026" s="4">
        <f aca="true" t="shared" si="572" ref="L1026">L1034+L1027</f>
        <v>8617.1</v>
      </c>
      <c r="M1026" s="4">
        <f t="shared" si="552"/>
        <v>70.48406622169871</v>
      </c>
    </row>
    <row r="1027" spans="1:13" ht="47.25">
      <c r="A1027" s="31" t="s">
        <v>521</v>
      </c>
      <c r="B1027" s="42" t="s">
        <v>531</v>
      </c>
      <c r="C1027" s="42" t="s">
        <v>273</v>
      </c>
      <c r="D1027" s="42" t="s">
        <v>522</v>
      </c>
      <c r="E1027" s="42"/>
      <c r="F1027" s="7" t="e">
        <f>F1028</f>
        <v>#REF!</v>
      </c>
      <c r="G1027" s="7" t="e">
        <f aca="true" t="shared" si="573" ref="G1027:L1028">G1028</f>
        <v>#REF!</v>
      </c>
      <c r="H1027" s="7" t="e">
        <f t="shared" si="573"/>
        <v>#REF!</v>
      </c>
      <c r="I1027" s="7" t="e">
        <f t="shared" si="573"/>
        <v>#REF!</v>
      </c>
      <c r="J1027" s="7" t="e">
        <f t="shared" si="573"/>
        <v>#REF!</v>
      </c>
      <c r="K1027" s="7">
        <f t="shared" si="573"/>
        <v>2497.2</v>
      </c>
      <c r="L1027" s="7">
        <f t="shared" si="573"/>
        <v>2013.1999999999998</v>
      </c>
      <c r="M1027" s="7">
        <f t="shared" si="552"/>
        <v>80.6182924875861</v>
      </c>
    </row>
    <row r="1028" spans="1:13" ht="47.25">
      <c r="A1028" s="47" t="s">
        <v>541</v>
      </c>
      <c r="B1028" s="42" t="s">
        <v>531</v>
      </c>
      <c r="C1028" s="42" t="s">
        <v>273</v>
      </c>
      <c r="D1028" s="42" t="s">
        <v>542</v>
      </c>
      <c r="E1028" s="8"/>
      <c r="F1028" s="7" t="e">
        <f>F1029</f>
        <v>#REF!</v>
      </c>
      <c r="G1028" s="7" t="e">
        <f t="shared" si="573"/>
        <v>#REF!</v>
      </c>
      <c r="H1028" s="7" t="e">
        <f t="shared" si="573"/>
        <v>#REF!</v>
      </c>
      <c r="I1028" s="7" t="e">
        <f t="shared" si="573"/>
        <v>#REF!</v>
      </c>
      <c r="J1028" s="7" t="e">
        <f t="shared" si="573"/>
        <v>#REF!</v>
      </c>
      <c r="K1028" s="7">
        <f t="shared" si="573"/>
        <v>2497.2</v>
      </c>
      <c r="L1028" s="7">
        <f t="shared" si="573"/>
        <v>2013.1999999999998</v>
      </c>
      <c r="M1028" s="7">
        <f t="shared" si="552"/>
        <v>80.6182924875861</v>
      </c>
    </row>
    <row r="1029" spans="1:13" ht="31.5">
      <c r="A1029" s="31" t="s">
        <v>196</v>
      </c>
      <c r="B1029" s="42" t="s">
        <v>531</v>
      </c>
      <c r="C1029" s="42" t="s">
        <v>273</v>
      </c>
      <c r="D1029" s="42" t="s">
        <v>543</v>
      </c>
      <c r="E1029" s="8"/>
      <c r="F1029" s="7" t="e">
        <f aca="true" t="shared" si="574" ref="F1029:K1029">F1032+F1030</f>
        <v>#REF!</v>
      </c>
      <c r="G1029" s="7" t="e">
        <f t="shared" si="574"/>
        <v>#REF!</v>
      </c>
      <c r="H1029" s="7" t="e">
        <f t="shared" si="574"/>
        <v>#REF!</v>
      </c>
      <c r="I1029" s="7" t="e">
        <f t="shared" si="574"/>
        <v>#REF!</v>
      </c>
      <c r="J1029" s="7" t="e">
        <f t="shared" si="574"/>
        <v>#REF!</v>
      </c>
      <c r="K1029" s="7">
        <f t="shared" si="574"/>
        <v>2497.2</v>
      </c>
      <c r="L1029" s="7">
        <f aca="true" t="shared" si="575" ref="L1029">L1032+L1030</f>
        <v>2013.1999999999998</v>
      </c>
      <c r="M1029" s="7">
        <f t="shared" si="552"/>
        <v>80.6182924875861</v>
      </c>
    </row>
    <row r="1030" spans="1:13" ht="78.75">
      <c r="A1030" s="26" t="s">
        <v>166</v>
      </c>
      <c r="B1030" s="42" t="s">
        <v>531</v>
      </c>
      <c r="C1030" s="42" t="s">
        <v>273</v>
      </c>
      <c r="D1030" s="42" t="s">
        <v>543</v>
      </c>
      <c r="E1030" s="42" t="s">
        <v>167</v>
      </c>
      <c r="F1030" s="7" t="e">
        <f aca="true" t="shared" si="576" ref="F1030:L1030">F1031</f>
        <v>#REF!</v>
      </c>
      <c r="G1030" s="7" t="e">
        <f t="shared" si="576"/>
        <v>#REF!</v>
      </c>
      <c r="H1030" s="7" t="e">
        <f t="shared" si="576"/>
        <v>#REF!</v>
      </c>
      <c r="I1030" s="7" t="e">
        <f t="shared" si="576"/>
        <v>#REF!</v>
      </c>
      <c r="J1030" s="7" t="e">
        <f t="shared" si="576"/>
        <v>#REF!</v>
      </c>
      <c r="K1030" s="7">
        <f t="shared" si="576"/>
        <v>1611</v>
      </c>
      <c r="L1030" s="7">
        <f t="shared" si="576"/>
        <v>1469.8</v>
      </c>
      <c r="M1030" s="7">
        <f t="shared" si="552"/>
        <v>91.23525760397268</v>
      </c>
    </row>
    <row r="1031" spans="1:13" ht="31.5">
      <c r="A1031" s="26" t="s">
        <v>168</v>
      </c>
      <c r="B1031" s="42" t="s">
        <v>531</v>
      </c>
      <c r="C1031" s="42" t="s">
        <v>273</v>
      </c>
      <c r="D1031" s="42" t="s">
        <v>543</v>
      </c>
      <c r="E1031" s="42" t="s">
        <v>169</v>
      </c>
      <c r="F1031" s="7" t="e">
        <f>#REF!</f>
        <v>#REF!</v>
      </c>
      <c r="G1031" s="7" t="e">
        <f>#REF!</f>
        <v>#REF!</v>
      </c>
      <c r="H1031" s="7" t="e">
        <f>#REF!</f>
        <v>#REF!</v>
      </c>
      <c r="I1031" s="7" t="e">
        <f>#REF!</f>
        <v>#REF!</v>
      </c>
      <c r="J1031" s="7" t="e">
        <f>#REF!</f>
        <v>#REF!</v>
      </c>
      <c r="K1031" s="7">
        <f>'Прил.№4 ведомств.'!G995</f>
        <v>1611</v>
      </c>
      <c r="L1031" s="7">
        <f>'Прил.№4 ведомств.'!H995</f>
        <v>1469.8</v>
      </c>
      <c r="M1031" s="7">
        <f t="shared" si="552"/>
        <v>91.23525760397268</v>
      </c>
    </row>
    <row r="1032" spans="1:13" ht="31.5">
      <c r="A1032" s="31" t="s">
        <v>170</v>
      </c>
      <c r="B1032" s="42" t="s">
        <v>531</v>
      </c>
      <c r="C1032" s="42" t="s">
        <v>273</v>
      </c>
      <c r="D1032" s="42" t="s">
        <v>543</v>
      </c>
      <c r="E1032" s="42" t="s">
        <v>171</v>
      </c>
      <c r="F1032" s="7" t="e">
        <f aca="true" t="shared" si="577" ref="F1032:L1032">F1033</f>
        <v>#REF!</v>
      </c>
      <c r="G1032" s="7" t="e">
        <f t="shared" si="577"/>
        <v>#REF!</v>
      </c>
      <c r="H1032" s="7" t="e">
        <f t="shared" si="577"/>
        <v>#REF!</v>
      </c>
      <c r="I1032" s="7" t="e">
        <f t="shared" si="577"/>
        <v>#REF!</v>
      </c>
      <c r="J1032" s="7" t="e">
        <f t="shared" si="577"/>
        <v>#REF!</v>
      </c>
      <c r="K1032" s="7">
        <f t="shared" si="577"/>
        <v>886.2</v>
      </c>
      <c r="L1032" s="7">
        <f t="shared" si="577"/>
        <v>543.4</v>
      </c>
      <c r="M1032" s="7">
        <f t="shared" si="552"/>
        <v>61.31798691040397</v>
      </c>
    </row>
    <row r="1033" spans="1:13" ht="47.25">
      <c r="A1033" s="31" t="s">
        <v>172</v>
      </c>
      <c r="B1033" s="42" t="s">
        <v>531</v>
      </c>
      <c r="C1033" s="42" t="s">
        <v>273</v>
      </c>
      <c r="D1033" s="42" t="s">
        <v>543</v>
      </c>
      <c r="E1033" s="42" t="s">
        <v>173</v>
      </c>
      <c r="F1033" s="7" t="e">
        <f>#REF!</f>
        <v>#REF!</v>
      </c>
      <c r="G1033" s="7" t="e">
        <f>#REF!</f>
        <v>#REF!</v>
      </c>
      <c r="H1033" s="7" t="e">
        <f>#REF!</f>
        <v>#REF!</v>
      </c>
      <c r="I1033" s="7" t="e">
        <f>#REF!</f>
        <v>#REF!</v>
      </c>
      <c r="J1033" s="7" t="e">
        <f>#REF!</f>
        <v>#REF!</v>
      </c>
      <c r="K1033" s="7">
        <f>'Прил.№4 ведомств.'!G997</f>
        <v>886.2</v>
      </c>
      <c r="L1033" s="7">
        <f>'Прил.№4 ведомств.'!H997</f>
        <v>543.4</v>
      </c>
      <c r="M1033" s="7">
        <f t="shared" si="552"/>
        <v>61.31798691040397</v>
      </c>
    </row>
    <row r="1034" spans="1:13" ht="15.75">
      <c r="A1034" s="31" t="s">
        <v>160</v>
      </c>
      <c r="B1034" s="42" t="s">
        <v>531</v>
      </c>
      <c r="C1034" s="42" t="s">
        <v>273</v>
      </c>
      <c r="D1034" s="42" t="s">
        <v>161</v>
      </c>
      <c r="E1034" s="42"/>
      <c r="F1034" s="7" t="e">
        <f aca="true" t="shared" si="578" ref="F1034:K1034">F1041+F1035</f>
        <v>#REF!</v>
      </c>
      <c r="G1034" s="7" t="e">
        <f t="shared" si="578"/>
        <v>#REF!</v>
      </c>
      <c r="H1034" s="7" t="e">
        <f t="shared" si="578"/>
        <v>#REF!</v>
      </c>
      <c r="I1034" s="7" t="e">
        <f t="shared" si="578"/>
        <v>#REF!</v>
      </c>
      <c r="J1034" s="7" t="e">
        <f t="shared" si="578"/>
        <v>#REF!</v>
      </c>
      <c r="K1034" s="7">
        <f t="shared" si="578"/>
        <v>9728.400000000001</v>
      </c>
      <c r="L1034" s="7">
        <f aca="true" t="shared" si="579" ref="L1034">L1041+L1035</f>
        <v>6603.900000000001</v>
      </c>
      <c r="M1034" s="7">
        <f t="shared" si="552"/>
        <v>67.88269396817564</v>
      </c>
    </row>
    <row r="1035" spans="1:13" ht="31.5">
      <c r="A1035" s="31" t="s">
        <v>162</v>
      </c>
      <c r="B1035" s="42" t="s">
        <v>531</v>
      </c>
      <c r="C1035" s="42" t="s">
        <v>273</v>
      </c>
      <c r="D1035" s="42" t="s">
        <v>163</v>
      </c>
      <c r="E1035" s="42"/>
      <c r="F1035" s="7" t="e">
        <f aca="true" t="shared" si="580" ref="F1035:L1035">F1036</f>
        <v>#REF!</v>
      </c>
      <c r="G1035" s="7" t="e">
        <f t="shared" si="580"/>
        <v>#REF!</v>
      </c>
      <c r="H1035" s="7" t="e">
        <f t="shared" si="580"/>
        <v>#REF!</v>
      </c>
      <c r="I1035" s="7" t="e">
        <f t="shared" si="580"/>
        <v>#REF!</v>
      </c>
      <c r="J1035" s="7" t="e">
        <f t="shared" si="580"/>
        <v>#REF!</v>
      </c>
      <c r="K1035" s="7">
        <f t="shared" si="580"/>
        <v>4537.200000000001</v>
      </c>
      <c r="L1035" s="7">
        <f t="shared" si="580"/>
        <v>3212.3</v>
      </c>
      <c r="M1035" s="7">
        <f t="shared" si="552"/>
        <v>70.79917129507184</v>
      </c>
    </row>
    <row r="1036" spans="1:13" ht="33.75" customHeight="1">
      <c r="A1036" s="31" t="s">
        <v>164</v>
      </c>
      <c r="B1036" s="42" t="s">
        <v>531</v>
      </c>
      <c r="C1036" s="42" t="s">
        <v>273</v>
      </c>
      <c r="D1036" s="42" t="s">
        <v>165</v>
      </c>
      <c r="E1036" s="42"/>
      <c r="F1036" s="7" t="e">
        <f aca="true" t="shared" si="581" ref="F1036:K1036">F1037+F1039</f>
        <v>#REF!</v>
      </c>
      <c r="G1036" s="7" t="e">
        <f t="shared" si="581"/>
        <v>#REF!</v>
      </c>
      <c r="H1036" s="7" t="e">
        <f t="shared" si="581"/>
        <v>#REF!</v>
      </c>
      <c r="I1036" s="7" t="e">
        <f t="shared" si="581"/>
        <v>#REF!</v>
      </c>
      <c r="J1036" s="7" t="e">
        <f t="shared" si="581"/>
        <v>#REF!</v>
      </c>
      <c r="K1036" s="7">
        <f t="shared" si="581"/>
        <v>4537.200000000001</v>
      </c>
      <c r="L1036" s="7">
        <f aca="true" t="shared" si="582" ref="L1036">L1037+L1039</f>
        <v>3212.3</v>
      </c>
      <c r="M1036" s="7">
        <f t="shared" si="552"/>
        <v>70.79917129507184</v>
      </c>
    </row>
    <row r="1037" spans="1:13" ht="78.75">
      <c r="A1037" s="31" t="s">
        <v>166</v>
      </c>
      <c r="B1037" s="42" t="s">
        <v>531</v>
      </c>
      <c r="C1037" s="42" t="s">
        <v>273</v>
      </c>
      <c r="D1037" s="42" t="s">
        <v>165</v>
      </c>
      <c r="E1037" s="42" t="s">
        <v>167</v>
      </c>
      <c r="F1037" s="63" t="e">
        <f aca="true" t="shared" si="583" ref="F1037:L1037">F1038</f>
        <v>#REF!</v>
      </c>
      <c r="G1037" s="63" t="e">
        <f t="shared" si="583"/>
        <v>#REF!</v>
      </c>
      <c r="H1037" s="63" t="e">
        <f t="shared" si="583"/>
        <v>#REF!</v>
      </c>
      <c r="I1037" s="63" t="e">
        <f t="shared" si="583"/>
        <v>#REF!</v>
      </c>
      <c r="J1037" s="63" t="e">
        <f t="shared" si="583"/>
        <v>#REF!</v>
      </c>
      <c r="K1037" s="63">
        <f t="shared" si="583"/>
        <v>4537.200000000001</v>
      </c>
      <c r="L1037" s="63">
        <f t="shared" si="583"/>
        <v>3212.3</v>
      </c>
      <c r="M1037" s="7">
        <f t="shared" si="552"/>
        <v>70.79917129507184</v>
      </c>
    </row>
    <row r="1038" spans="1:13" ht="31.5">
      <c r="A1038" s="31" t="s">
        <v>168</v>
      </c>
      <c r="B1038" s="42" t="s">
        <v>531</v>
      </c>
      <c r="C1038" s="42" t="s">
        <v>273</v>
      </c>
      <c r="D1038" s="42" t="s">
        <v>165</v>
      </c>
      <c r="E1038" s="42" t="s">
        <v>169</v>
      </c>
      <c r="F1038" s="63" t="e">
        <f>#REF!</f>
        <v>#REF!</v>
      </c>
      <c r="G1038" s="63" t="e">
        <f>#REF!</f>
        <v>#REF!</v>
      </c>
      <c r="H1038" s="63" t="e">
        <f>#REF!</f>
        <v>#REF!</v>
      </c>
      <c r="I1038" s="63" t="e">
        <f>#REF!</f>
        <v>#REF!</v>
      </c>
      <c r="J1038" s="63" t="e">
        <f>#REF!</f>
        <v>#REF!</v>
      </c>
      <c r="K1038" s="63">
        <f>'Прил.№4 ведомств.'!G1002</f>
        <v>4537.200000000001</v>
      </c>
      <c r="L1038" s="63">
        <f>'Прил.№4 ведомств.'!H1002</f>
        <v>3212.3</v>
      </c>
      <c r="M1038" s="7">
        <f t="shared" si="552"/>
        <v>70.79917129507184</v>
      </c>
    </row>
    <row r="1039" spans="1:13" ht="31.5" customHeight="1" hidden="1">
      <c r="A1039" s="31" t="s">
        <v>170</v>
      </c>
      <c r="B1039" s="42" t="s">
        <v>531</v>
      </c>
      <c r="C1039" s="42" t="s">
        <v>273</v>
      </c>
      <c r="D1039" s="42" t="s">
        <v>165</v>
      </c>
      <c r="E1039" s="42" t="s">
        <v>171</v>
      </c>
      <c r="F1039" s="63">
        <f aca="true" t="shared" si="584" ref="F1039:L1039">F1040</f>
        <v>0</v>
      </c>
      <c r="G1039" s="63">
        <f t="shared" si="584"/>
        <v>0</v>
      </c>
      <c r="H1039" s="63" t="e">
        <f t="shared" si="584"/>
        <v>#REF!</v>
      </c>
      <c r="I1039" s="63" t="e">
        <f t="shared" si="584"/>
        <v>#REF!</v>
      </c>
      <c r="J1039" s="63" t="e">
        <f t="shared" si="584"/>
        <v>#REF!</v>
      </c>
      <c r="K1039" s="63">
        <f t="shared" si="584"/>
        <v>0</v>
      </c>
      <c r="L1039" s="63">
        <f t="shared" si="584"/>
        <v>0</v>
      </c>
      <c r="M1039" s="7" t="e">
        <f aca="true" t="shared" si="585" ref="M1039:M1064">L1039/K1039*100</f>
        <v>#DIV/0!</v>
      </c>
    </row>
    <row r="1040" spans="1:13" ht="47.25" customHeight="1" hidden="1">
      <c r="A1040" s="31" t="s">
        <v>172</v>
      </c>
      <c r="B1040" s="42" t="s">
        <v>531</v>
      </c>
      <c r="C1040" s="42" t="s">
        <v>273</v>
      </c>
      <c r="D1040" s="42" t="s">
        <v>165</v>
      </c>
      <c r="E1040" s="42" t="s">
        <v>173</v>
      </c>
      <c r="F1040" s="63">
        <v>0</v>
      </c>
      <c r="G1040" s="63">
        <v>0</v>
      </c>
      <c r="H1040" s="63" t="e">
        <f>#REF!</f>
        <v>#REF!</v>
      </c>
      <c r="I1040" s="63" t="e">
        <f>#REF!</f>
        <v>#REF!</v>
      </c>
      <c r="J1040" s="63" t="e">
        <f>#REF!</f>
        <v>#REF!</v>
      </c>
      <c r="K1040" s="63">
        <f>'Прил.№4 ведомств.'!G1004</f>
        <v>0</v>
      </c>
      <c r="L1040" s="63">
        <f>'Прил.№4 ведомств.'!H1004</f>
        <v>0</v>
      </c>
      <c r="M1040" s="7" t="e">
        <f t="shared" si="585"/>
        <v>#DIV/0!</v>
      </c>
    </row>
    <row r="1041" spans="1:13" ht="15.75">
      <c r="A1041" s="31" t="s">
        <v>180</v>
      </c>
      <c r="B1041" s="42" t="s">
        <v>531</v>
      </c>
      <c r="C1041" s="42" t="s">
        <v>273</v>
      </c>
      <c r="D1041" s="42" t="s">
        <v>181</v>
      </c>
      <c r="E1041" s="42"/>
      <c r="F1041" s="7" t="e">
        <f aca="true" t="shared" si="586" ref="F1041:L1041">F1042</f>
        <v>#REF!</v>
      </c>
      <c r="G1041" s="7" t="e">
        <f t="shared" si="586"/>
        <v>#REF!</v>
      </c>
      <c r="H1041" s="7" t="e">
        <f t="shared" si="586"/>
        <v>#REF!</v>
      </c>
      <c r="I1041" s="7" t="e">
        <f t="shared" si="586"/>
        <v>#REF!</v>
      </c>
      <c r="J1041" s="7" t="e">
        <f t="shared" si="586"/>
        <v>#REF!</v>
      </c>
      <c r="K1041" s="7">
        <f t="shared" si="586"/>
        <v>5191.2</v>
      </c>
      <c r="L1041" s="7">
        <f t="shared" si="586"/>
        <v>3391.6000000000004</v>
      </c>
      <c r="M1041" s="7">
        <f t="shared" si="585"/>
        <v>65.3336415472338</v>
      </c>
    </row>
    <row r="1042" spans="1:13" ht="31.5">
      <c r="A1042" s="26" t="s">
        <v>379</v>
      </c>
      <c r="B1042" s="42" t="s">
        <v>531</v>
      </c>
      <c r="C1042" s="42" t="s">
        <v>273</v>
      </c>
      <c r="D1042" s="42" t="s">
        <v>380</v>
      </c>
      <c r="E1042" s="42"/>
      <c r="F1042" s="7" t="e">
        <f aca="true" t="shared" si="587" ref="F1042:K1042">F1043+F1045+F1047</f>
        <v>#REF!</v>
      </c>
      <c r="G1042" s="7" t="e">
        <f t="shared" si="587"/>
        <v>#REF!</v>
      </c>
      <c r="H1042" s="7" t="e">
        <f t="shared" si="587"/>
        <v>#REF!</v>
      </c>
      <c r="I1042" s="7" t="e">
        <f t="shared" si="587"/>
        <v>#REF!</v>
      </c>
      <c r="J1042" s="7" t="e">
        <f t="shared" si="587"/>
        <v>#REF!</v>
      </c>
      <c r="K1042" s="7">
        <f t="shared" si="587"/>
        <v>5191.2</v>
      </c>
      <c r="L1042" s="7">
        <f aca="true" t="shared" si="588" ref="L1042">L1043+L1045+L1047</f>
        <v>3391.6000000000004</v>
      </c>
      <c r="M1042" s="7">
        <f t="shared" si="585"/>
        <v>65.3336415472338</v>
      </c>
    </row>
    <row r="1043" spans="1:13" ht="78.75">
      <c r="A1043" s="31" t="s">
        <v>166</v>
      </c>
      <c r="B1043" s="42" t="s">
        <v>531</v>
      </c>
      <c r="C1043" s="42" t="s">
        <v>273</v>
      </c>
      <c r="D1043" s="42" t="s">
        <v>380</v>
      </c>
      <c r="E1043" s="42" t="s">
        <v>167</v>
      </c>
      <c r="F1043" s="63" t="e">
        <f aca="true" t="shared" si="589" ref="F1043:L1043">F1044</f>
        <v>#REF!</v>
      </c>
      <c r="G1043" s="63" t="e">
        <f t="shared" si="589"/>
        <v>#REF!</v>
      </c>
      <c r="H1043" s="63" t="e">
        <f t="shared" si="589"/>
        <v>#REF!</v>
      </c>
      <c r="I1043" s="63" t="e">
        <f t="shared" si="589"/>
        <v>#REF!</v>
      </c>
      <c r="J1043" s="63" t="e">
        <f t="shared" si="589"/>
        <v>#REF!</v>
      </c>
      <c r="K1043" s="63">
        <f t="shared" si="589"/>
        <v>4542.6</v>
      </c>
      <c r="L1043" s="63">
        <f t="shared" si="589"/>
        <v>3191.3</v>
      </c>
      <c r="M1043" s="7">
        <f t="shared" si="585"/>
        <v>70.25271870734822</v>
      </c>
    </row>
    <row r="1044" spans="1:13" ht="31.5">
      <c r="A1044" s="31" t="s">
        <v>381</v>
      </c>
      <c r="B1044" s="42" t="s">
        <v>531</v>
      </c>
      <c r="C1044" s="42" t="s">
        <v>273</v>
      </c>
      <c r="D1044" s="42" t="s">
        <v>380</v>
      </c>
      <c r="E1044" s="42" t="s">
        <v>248</v>
      </c>
      <c r="F1044" s="63" t="e">
        <f>#REF!</f>
        <v>#REF!</v>
      </c>
      <c r="G1044" s="63" t="e">
        <f>#REF!</f>
        <v>#REF!</v>
      </c>
      <c r="H1044" s="63" t="e">
        <f>#REF!</f>
        <v>#REF!</v>
      </c>
      <c r="I1044" s="63" t="e">
        <f>#REF!</f>
        <v>#REF!</v>
      </c>
      <c r="J1044" s="63" t="e">
        <f>#REF!</f>
        <v>#REF!</v>
      </c>
      <c r="K1044" s="63">
        <f>'Прил.№4 ведомств.'!G1008</f>
        <v>4542.6</v>
      </c>
      <c r="L1044" s="63">
        <f>'Прил.№4 ведомств.'!H1008</f>
        <v>3191.3</v>
      </c>
      <c r="M1044" s="7">
        <f t="shared" si="585"/>
        <v>70.25271870734822</v>
      </c>
    </row>
    <row r="1045" spans="1:13" ht="31.5">
      <c r="A1045" s="31" t="s">
        <v>170</v>
      </c>
      <c r="B1045" s="42" t="s">
        <v>531</v>
      </c>
      <c r="C1045" s="42" t="s">
        <v>273</v>
      </c>
      <c r="D1045" s="42" t="s">
        <v>380</v>
      </c>
      <c r="E1045" s="42" t="s">
        <v>171</v>
      </c>
      <c r="F1045" s="63" t="e">
        <f aca="true" t="shared" si="590" ref="F1045:L1045">F1046</f>
        <v>#REF!</v>
      </c>
      <c r="G1045" s="63" t="e">
        <f t="shared" si="590"/>
        <v>#REF!</v>
      </c>
      <c r="H1045" s="63" t="e">
        <f t="shared" si="590"/>
        <v>#REF!</v>
      </c>
      <c r="I1045" s="63" t="e">
        <f t="shared" si="590"/>
        <v>#REF!</v>
      </c>
      <c r="J1045" s="63" t="e">
        <f t="shared" si="590"/>
        <v>#REF!</v>
      </c>
      <c r="K1045" s="63">
        <f t="shared" si="590"/>
        <v>597.4000000000001</v>
      </c>
      <c r="L1045" s="63">
        <f t="shared" si="590"/>
        <v>199.5</v>
      </c>
      <c r="M1045" s="7">
        <f t="shared" si="585"/>
        <v>33.394710411784395</v>
      </c>
    </row>
    <row r="1046" spans="1:13" ht="47.25">
      <c r="A1046" s="31" t="s">
        <v>172</v>
      </c>
      <c r="B1046" s="42" t="s">
        <v>531</v>
      </c>
      <c r="C1046" s="42" t="s">
        <v>273</v>
      </c>
      <c r="D1046" s="42" t="s">
        <v>380</v>
      </c>
      <c r="E1046" s="42" t="s">
        <v>173</v>
      </c>
      <c r="F1046" s="63" t="e">
        <f>#REF!</f>
        <v>#REF!</v>
      </c>
      <c r="G1046" s="63" t="e">
        <f>#REF!</f>
        <v>#REF!</v>
      </c>
      <c r="H1046" s="63" t="e">
        <f>#REF!</f>
        <v>#REF!</v>
      </c>
      <c r="I1046" s="63" t="e">
        <f>#REF!</f>
        <v>#REF!</v>
      </c>
      <c r="J1046" s="63" t="e">
        <f>#REF!</f>
        <v>#REF!</v>
      </c>
      <c r="K1046" s="63">
        <f>'Прил.№4 ведомств.'!G1010</f>
        <v>597.4000000000001</v>
      </c>
      <c r="L1046" s="63">
        <f>'Прил.№4 ведомств.'!H1010</f>
        <v>199.5</v>
      </c>
      <c r="M1046" s="7">
        <f t="shared" si="585"/>
        <v>33.394710411784395</v>
      </c>
    </row>
    <row r="1047" spans="1:13" ht="15.75">
      <c r="A1047" s="31" t="s">
        <v>174</v>
      </c>
      <c r="B1047" s="42" t="s">
        <v>531</v>
      </c>
      <c r="C1047" s="42" t="s">
        <v>273</v>
      </c>
      <c r="D1047" s="42" t="s">
        <v>380</v>
      </c>
      <c r="E1047" s="42" t="s">
        <v>184</v>
      </c>
      <c r="F1047" s="7" t="e">
        <f aca="true" t="shared" si="591" ref="F1047:L1047">F1048</f>
        <v>#REF!</v>
      </c>
      <c r="G1047" s="7" t="e">
        <f t="shared" si="591"/>
        <v>#REF!</v>
      </c>
      <c r="H1047" s="7" t="e">
        <f t="shared" si="591"/>
        <v>#REF!</v>
      </c>
      <c r="I1047" s="7" t="e">
        <f t="shared" si="591"/>
        <v>#REF!</v>
      </c>
      <c r="J1047" s="7" t="e">
        <f t="shared" si="591"/>
        <v>#REF!</v>
      </c>
      <c r="K1047" s="7">
        <f t="shared" si="591"/>
        <v>51.2</v>
      </c>
      <c r="L1047" s="7">
        <f t="shared" si="591"/>
        <v>0.8</v>
      </c>
      <c r="M1047" s="7">
        <f t="shared" si="585"/>
        <v>1.5625</v>
      </c>
    </row>
    <row r="1048" spans="1:13" ht="15.75">
      <c r="A1048" s="31" t="s">
        <v>176</v>
      </c>
      <c r="B1048" s="42" t="s">
        <v>531</v>
      </c>
      <c r="C1048" s="42" t="s">
        <v>273</v>
      </c>
      <c r="D1048" s="42" t="s">
        <v>380</v>
      </c>
      <c r="E1048" s="42" t="s">
        <v>177</v>
      </c>
      <c r="F1048" s="7" t="e">
        <f>#REF!</f>
        <v>#REF!</v>
      </c>
      <c r="G1048" s="7" t="e">
        <f>#REF!</f>
        <v>#REF!</v>
      </c>
      <c r="H1048" s="7" t="e">
        <f>#REF!</f>
        <v>#REF!</v>
      </c>
      <c r="I1048" s="7" t="e">
        <f>#REF!</f>
        <v>#REF!</v>
      </c>
      <c r="J1048" s="7" t="e">
        <f>#REF!</f>
        <v>#REF!</v>
      </c>
      <c r="K1048" s="7">
        <f>'Прил.№4 ведомств.'!G1012</f>
        <v>51.2</v>
      </c>
      <c r="L1048" s="7">
        <f>'Прил.№4 ведомств.'!H1012</f>
        <v>0.8</v>
      </c>
      <c r="M1048" s="7">
        <f t="shared" si="585"/>
        <v>1.5625</v>
      </c>
    </row>
    <row r="1049" spans="1:13" ht="15.75">
      <c r="A1049" s="43" t="s">
        <v>622</v>
      </c>
      <c r="B1049" s="8" t="s">
        <v>277</v>
      </c>
      <c r="C1049" s="42"/>
      <c r="D1049" s="42"/>
      <c r="E1049" s="42"/>
      <c r="F1049" s="4" t="e">
        <f aca="true" t="shared" si="592" ref="F1049:L1049">F1050</f>
        <v>#REF!</v>
      </c>
      <c r="G1049" s="4" t="e">
        <f t="shared" si="592"/>
        <v>#REF!</v>
      </c>
      <c r="H1049" s="4" t="e">
        <f t="shared" si="592"/>
        <v>#REF!</v>
      </c>
      <c r="I1049" s="4" t="e">
        <f t="shared" si="592"/>
        <v>#REF!</v>
      </c>
      <c r="J1049" s="4" t="e">
        <f t="shared" si="592"/>
        <v>#REF!</v>
      </c>
      <c r="K1049" s="4">
        <f t="shared" si="592"/>
        <v>7450.900000000001</v>
      </c>
      <c r="L1049" s="4">
        <f t="shared" si="592"/>
        <v>6289.5</v>
      </c>
      <c r="M1049" s="4">
        <f t="shared" si="585"/>
        <v>84.41262129407185</v>
      </c>
    </row>
    <row r="1050" spans="1:13" ht="15.75">
      <c r="A1050" s="43" t="s">
        <v>623</v>
      </c>
      <c r="B1050" s="8" t="s">
        <v>277</v>
      </c>
      <c r="C1050" s="8" t="s">
        <v>252</v>
      </c>
      <c r="D1050" s="8"/>
      <c r="E1050" s="8"/>
      <c r="F1050" s="4" t="e">
        <f>F1055</f>
        <v>#REF!</v>
      </c>
      <c r="G1050" s="4" t="e">
        <f>G1055</f>
        <v>#REF!</v>
      </c>
      <c r="H1050" s="4" t="e">
        <f>H1055</f>
        <v>#REF!</v>
      </c>
      <c r="I1050" s="4" t="e">
        <f>I1055</f>
        <v>#REF!</v>
      </c>
      <c r="J1050" s="4" t="e">
        <f>J1055</f>
        <v>#REF!</v>
      </c>
      <c r="K1050" s="4">
        <f>K1055+K1051</f>
        <v>7450.900000000001</v>
      </c>
      <c r="L1050" s="4">
        <f aca="true" t="shared" si="593" ref="L1050">L1055+L1051</f>
        <v>6289.5</v>
      </c>
      <c r="M1050" s="4">
        <f t="shared" si="585"/>
        <v>84.41262129407185</v>
      </c>
    </row>
    <row r="1051" spans="1:13" ht="63">
      <c r="A1051" s="31" t="s">
        <v>777</v>
      </c>
      <c r="B1051" s="21" t="s">
        <v>277</v>
      </c>
      <c r="C1051" s="21" t="s">
        <v>252</v>
      </c>
      <c r="D1051" s="21" t="s">
        <v>775</v>
      </c>
      <c r="E1051" s="34"/>
      <c r="F1051" s="4"/>
      <c r="G1051" s="4"/>
      <c r="H1051" s="4"/>
      <c r="I1051" s="4"/>
      <c r="J1051" s="4"/>
      <c r="K1051" s="7">
        <f>K1052</f>
        <v>205</v>
      </c>
      <c r="L1051" s="7">
        <f aca="true" t="shared" si="594" ref="L1051:L1053">L1052</f>
        <v>185</v>
      </c>
      <c r="M1051" s="7">
        <f t="shared" si="585"/>
        <v>90.2439024390244</v>
      </c>
    </row>
    <row r="1052" spans="1:13" ht="31.5">
      <c r="A1052" s="119" t="s">
        <v>909</v>
      </c>
      <c r="B1052" s="21" t="s">
        <v>277</v>
      </c>
      <c r="C1052" s="21" t="s">
        <v>252</v>
      </c>
      <c r="D1052" s="21" t="s">
        <v>910</v>
      </c>
      <c r="E1052" s="34"/>
      <c r="F1052" s="4"/>
      <c r="G1052" s="4"/>
      <c r="H1052" s="4"/>
      <c r="I1052" s="4"/>
      <c r="J1052" s="4"/>
      <c r="K1052" s="7">
        <f>K1053</f>
        <v>205</v>
      </c>
      <c r="L1052" s="7">
        <f t="shared" si="594"/>
        <v>185</v>
      </c>
      <c r="M1052" s="7">
        <f t="shared" si="585"/>
        <v>90.2439024390244</v>
      </c>
    </row>
    <row r="1053" spans="1:13" ht="31.5">
      <c r="A1053" s="26" t="s">
        <v>170</v>
      </c>
      <c r="B1053" s="21" t="s">
        <v>277</v>
      </c>
      <c r="C1053" s="21" t="s">
        <v>252</v>
      </c>
      <c r="D1053" s="21" t="s">
        <v>910</v>
      </c>
      <c r="E1053" s="34" t="s">
        <v>171</v>
      </c>
      <c r="F1053" s="4"/>
      <c r="G1053" s="4"/>
      <c r="H1053" s="4"/>
      <c r="I1053" s="4"/>
      <c r="J1053" s="4"/>
      <c r="K1053" s="7">
        <f>K1054</f>
        <v>205</v>
      </c>
      <c r="L1053" s="7">
        <f t="shared" si="594"/>
        <v>185</v>
      </c>
      <c r="M1053" s="7">
        <f t="shared" si="585"/>
        <v>90.2439024390244</v>
      </c>
    </row>
    <row r="1054" spans="1:13" ht="47.25">
      <c r="A1054" s="26" t="s">
        <v>172</v>
      </c>
      <c r="B1054" s="21" t="s">
        <v>277</v>
      </c>
      <c r="C1054" s="21" t="s">
        <v>252</v>
      </c>
      <c r="D1054" s="21" t="s">
        <v>910</v>
      </c>
      <c r="E1054" s="34" t="s">
        <v>173</v>
      </c>
      <c r="F1054" s="4"/>
      <c r="G1054" s="4"/>
      <c r="H1054" s="4"/>
      <c r="I1054" s="4"/>
      <c r="J1054" s="4"/>
      <c r="K1054" s="7">
        <f>'Прил.№4 ведомств.'!G1280</f>
        <v>205</v>
      </c>
      <c r="L1054" s="7">
        <f>'Прил.№4 ведомств.'!H1280</f>
        <v>185</v>
      </c>
      <c r="M1054" s="7">
        <f t="shared" si="585"/>
        <v>90.2439024390244</v>
      </c>
    </row>
    <row r="1055" spans="1:13" ht="15.75">
      <c r="A1055" s="31" t="s">
        <v>160</v>
      </c>
      <c r="B1055" s="42" t="s">
        <v>277</v>
      </c>
      <c r="C1055" s="42" t="s">
        <v>252</v>
      </c>
      <c r="D1055" s="42" t="s">
        <v>161</v>
      </c>
      <c r="E1055" s="42"/>
      <c r="F1055" s="7" t="e">
        <f aca="true" t="shared" si="595" ref="F1055:L1056">F1056</f>
        <v>#REF!</v>
      </c>
      <c r="G1055" s="7" t="e">
        <f t="shared" si="595"/>
        <v>#REF!</v>
      </c>
      <c r="H1055" s="7" t="e">
        <f t="shared" si="595"/>
        <v>#REF!</v>
      </c>
      <c r="I1055" s="7" t="e">
        <f t="shared" si="595"/>
        <v>#REF!</v>
      </c>
      <c r="J1055" s="7" t="e">
        <f t="shared" si="595"/>
        <v>#REF!</v>
      </c>
      <c r="K1055" s="7">
        <f t="shared" si="595"/>
        <v>7245.900000000001</v>
      </c>
      <c r="L1055" s="7">
        <f t="shared" si="595"/>
        <v>6104.5</v>
      </c>
      <c r="M1055" s="7">
        <f t="shared" si="585"/>
        <v>84.24764349494195</v>
      </c>
    </row>
    <row r="1056" spans="1:13" ht="31.5">
      <c r="A1056" s="31" t="s">
        <v>624</v>
      </c>
      <c r="B1056" s="42" t="s">
        <v>277</v>
      </c>
      <c r="C1056" s="42" t="s">
        <v>252</v>
      </c>
      <c r="D1056" s="42" t="s">
        <v>625</v>
      </c>
      <c r="E1056" s="42"/>
      <c r="F1056" s="7" t="e">
        <f t="shared" si="595"/>
        <v>#REF!</v>
      </c>
      <c r="G1056" s="7" t="e">
        <f t="shared" si="595"/>
        <v>#REF!</v>
      </c>
      <c r="H1056" s="7" t="e">
        <f t="shared" si="595"/>
        <v>#REF!</v>
      </c>
      <c r="I1056" s="7" t="e">
        <f t="shared" si="595"/>
        <v>#REF!</v>
      </c>
      <c r="J1056" s="7" t="e">
        <f t="shared" si="595"/>
        <v>#REF!</v>
      </c>
      <c r="K1056" s="7">
        <f t="shared" si="595"/>
        <v>7245.900000000001</v>
      </c>
      <c r="L1056" s="7">
        <f t="shared" si="595"/>
        <v>6104.5</v>
      </c>
      <c r="M1056" s="7">
        <f t="shared" si="585"/>
        <v>84.24764349494195</v>
      </c>
    </row>
    <row r="1057" spans="1:13" ht="15.75">
      <c r="A1057" s="31" t="s">
        <v>985</v>
      </c>
      <c r="B1057" s="42" t="s">
        <v>277</v>
      </c>
      <c r="C1057" s="42" t="s">
        <v>252</v>
      </c>
      <c r="D1057" s="42" t="s">
        <v>626</v>
      </c>
      <c r="E1057" s="42"/>
      <c r="F1057" s="7" t="e">
        <f aca="true" t="shared" si="596" ref="F1057:K1057">F1058+F1060+F1062</f>
        <v>#REF!</v>
      </c>
      <c r="G1057" s="7" t="e">
        <f t="shared" si="596"/>
        <v>#REF!</v>
      </c>
      <c r="H1057" s="7" t="e">
        <f t="shared" si="596"/>
        <v>#REF!</v>
      </c>
      <c r="I1057" s="7" t="e">
        <f t="shared" si="596"/>
        <v>#REF!</v>
      </c>
      <c r="J1057" s="7" t="e">
        <f t="shared" si="596"/>
        <v>#REF!</v>
      </c>
      <c r="K1057" s="7">
        <f t="shared" si="596"/>
        <v>7245.900000000001</v>
      </c>
      <c r="L1057" s="7">
        <f aca="true" t="shared" si="597" ref="L1057">L1058+L1060+L1062</f>
        <v>6104.5</v>
      </c>
      <c r="M1057" s="7">
        <f t="shared" si="585"/>
        <v>84.24764349494195</v>
      </c>
    </row>
    <row r="1058" spans="1:13" ht="78.75">
      <c r="A1058" s="31" t="s">
        <v>166</v>
      </c>
      <c r="B1058" s="42" t="s">
        <v>277</v>
      </c>
      <c r="C1058" s="42" t="s">
        <v>252</v>
      </c>
      <c r="D1058" s="42" t="s">
        <v>626</v>
      </c>
      <c r="E1058" s="42" t="s">
        <v>167</v>
      </c>
      <c r="F1058" s="63" t="e">
        <f aca="true" t="shared" si="598" ref="F1058:L1058">F1059</f>
        <v>#REF!</v>
      </c>
      <c r="G1058" s="63" t="e">
        <f t="shared" si="598"/>
        <v>#REF!</v>
      </c>
      <c r="H1058" s="63" t="e">
        <f t="shared" si="598"/>
        <v>#REF!</v>
      </c>
      <c r="I1058" s="63" t="e">
        <f t="shared" si="598"/>
        <v>#REF!</v>
      </c>
      <c r="J1058" s="63" t="e">
        <f t="shared" si="598"/>
        <v>#REF!</v>
      </c>
      <c r="K1058" s="63">
        <f t="shared" si="598"/>
        <v>5740</v>
      </c>
      <c r="L1058" s="63">
        <f t="shared" si="598"/>
        <v>4677.4</v>
      </c>
      <c r="M1058" s="7">
        <f t="shared" si="585"/>
        <v>81.48780487804878</v>
      </c>
    </row>
    <row r="1059" spans="1:13" ht="31.5">
      <c r="A1059" s="31" t="s">
        <v>247</v>
      </c>
      <c r="B1059" s="42" t="s">
        <v>277</v>
      </c>
      <c r="C1059" s="42" t="s">
        <v>252</v>
      </c>
      <c r="D1059" s="42" t="s">
        <v>626</v>
      </c>
      <c r="E1059" s="42" t="s">
        <v>248</v>
      </c>
      <c r="F1059" s="63" t="e">
        <f>#REF!</f>
        <v>#REF!</v>
      </c>
      <c r="G1059" s="63" t="e">
        <f>#REF!</f>
        <v>#REF!</v>
      </c>
      <c r="H1059" s="63" t="e">
        <f>#REF!</f>
        <v>#REF!</v>
      </c>
      <c r="I1059" s="63" t="e">
        <f>#REF!</f>
        <v>#REF!</v>
      </c>
      <c r="J1059" s="63" t="e">
        <f>#REF!</f>
        <v>#REF!</v>
      </c>
      <c r="K1059" s="63">
        <f>'Прил.№4 ведомств.'!G1285</f>
        <v>5740</v>
      </c>
      <c r="L1059" s="63">
        <f>'Прил.№4 ведомств.'!H1285</f>
        <v>4677.4</v>
      </c>
      <c r="M1059" s="7">
        <f t="shared" si="585"/>
        <v>81.48780487804878</v>
      </c>
    </row>
    <row r="1060" spans="1:13" ht="31.5">
      <c r="A1060" s="31" t="s">
        <v>170</v>
      </c>
      <c r="B1060" s="42" t="s">
        <v>277</v>
      </c>
      <c r="C1060" s="42" t="s">
        <v>252</v>
      </c>
      <c r="D1060" s="42" t="s">
        <v>626</v>
      </c>
      <c r="E1060" s="42" t="s">
        <v>171</v>
      </c>
      <c r="F1060" s="7" t="e">
        <f aca="true" t="shared" si="599" ref="F1060:L1060">F1061</f>
        <v>#REF!</v>
      </c>
      <c r="G1060" s="7" t="e">
        <f t="shared" si="599"/>
        <v>#REF!</v>
      </c>
      <c r="H1060" s="7" t="e">
        <f t="shared" si="599"/>
        <v>#REF!</v>
      </c>
      <c r="I1060" s="7" t="e">
        <f t="shared" si="599"/>
        <v>#REF!</v>
      </c>
      <c r="J1060" s="7" t="e">
        <f t="shared" si="599"/>
        <v>#REF!</v>
      </c>
      <c r="K1060" s="7">
        <f t="shared" si="599"/>
        <v>1455.8</v>
      </c>
      <c r="L1060" s="7">
        <f t="shared" si="599"/>
        <v>1382.6</v>
      </c>
      <c r="M1060" s="7">
        <f t="shared" si="585"/>
        <v>94.97183679076797</v>
      </c>
    </row>
    <row r="1061" spans="1:13" ht="47.25">
      <c r="A1061" s="31" t="s">
        <v>172</v>
      </c>
      <c r="B1061" s="42" t="s">
        <v>277</v>
      </c>
      <c r="C1061" s="42" t="s">
        <v>252</v>
      </c>
      <c r="D1061" s="42" t="s">
        <v>626</v>
      </c>
      <c r="E1061" s="42" t="s">
        <v>173</v>
      </c>
      <c r="F1061" s="7" t="e">
        <f>#REF!</f>
        <v>#REF!</v>
      </c>
      <c r="G1061" s="7" t="e">
        <f>#REF!</f>
        <v>#REF!</v>
      </c>
      <c r="H1061" s="7" t="e">
        <f>#REF!</f>
        <v>#REF!</v>
      </c>
      <c r="I1061" s="7" t="e">
        <f>#REF!</f>
        <v>#REF!</v>
      </c>
      <c r="J1061" s="7" t="e">
        <f>#REF!</f>
        <v>#REF!</v>
      </c>
      <c r="K1061" s="7">
        <f>'Прил.№4 ведомств.'!G1287</f>
        <v>1455.8</v>
      </c>
      <c r="L1061" s="7">
        <f>'Прил.№4 ведомств.'!H1287</f>
        <v>1382.6</v>
      </c>
      <c r="M1061" s="7">
        <f t="shared" si="585"/>
        <v>94.97183679076797</v>
      </c>
    </row>
    <row r="1062" spans="1:13" ht="15.75">
      <c r="A1062" s="31" t="s">
        <v>174</v>
      </c>
      <c r="B1062" s="42" t="s">
        <v>277</v>
      </c>
      <c r="C1062" s="42" t="s">
        <v>252</v>
      </c>
      <c r="D1062" s="42" t="s">
        <v>626</v>
      </c>
      <c r="E1062" s="42" t="s">
        <v>184</v>
      </c>
      <c r="F1062" s="7" t="e">
        <f aca="true" t="shared" si="600" ref="F1062:L1062">F1063</f>
        <v>#REF!</v>
      </c>
      <c r="G1062" s="7" t="e">
        <f t="shared" si="600"/>
        <v>#REF!</v>
      </c>
      <c r="H1062" s="7" t="e">
        <f t="shared" si="600"/>
        <v>#REF!</v>
      </c>
      <c r="I1062" s="7" t="e">
        <f t="shared" si="600"/>
        <v>#REF!</v>
      </c>
      <c r="J1062" s="7" t="e">
        <f t="shared" si="600"/>
        <v>#REF!</v>
      </c>
      <c r="K1062" s="7">
        <f t="shared" si="600"/>
        <v>50.1</v>
      </c>
      <c r="L1062" s="7">
        <f t="shared" si="600"/>
        <v>44.5</v>
      </c>
      <c r="M1062" s="7">
        <f t="shared" si="585"/>
        <v>88.82235528942115</v>
      </c>
    </row>
    <row r="1063" spans="1:13" ht="15.75">
      <c r="A1063" s="31" t="s">
        <v>176</v>
      </c>
      <c r="B1063" s="42" t="s">
        <v>277</v>
      </c>
      <c r="C1063" s="42" t="s">
        <v>252</v>
      </c>
      <c r="D1063" s="42" t="s">
        <v>626</v>
      </c>
      <c r="E1063" s="42" t="s">
        <v>177</v>
      </c>
      <c r="F1063" s="7" t="e">
        <f>#REF!</f>
        <v>#REF!</v>
      </c>
      <c r="G1063" s="7" t="e">
        <f>#REF!</f>
        <v>#REF!</v>
      </c>
      <c r="H1063" s="7" t="e">
        <f>#REF!</f>
        <v>#REF!</v>
      </c>
      <c r="I1063" s="7" t="e">
        <f>#REF!</f>
        <v>#REF!</v>
      </c>
      <c r="J1063" s="7" t="e">
        <f>#REF!</f>
        <v>#REF!</v>
      </c>
      <c r="K1063" s="7">
        <f>'Прил.№4 ведомств.'!G1289</f>
        <v>50.1</v>
      </c>
      <c r="L1063" s="7">
        <f>'Прил.№4 ведомств.'!H1289</f>
        <v>44.5</v>
      </c>
      <c r="M1063" s="7">
        <f t="shared" si="585"/>
        <v>88.82235528942115</v>
      </c>
    </row>
    <row r="1064" spans="1:13" ht="15.75">
      <c r="A1064" s="71" t="s">
        <v>627</v>
      </c>
      <c r="B1064" s="8"/>
      <c r="C1064" s="8"/>
      <c r="D1064" s="8"/>
      <c r="E1064" s="8"/>
      <c r="F1064" s="72" t="e">
        <f aca="true" t="shared" si="601" ref="F1064:K1064">F12+F224+F242+F295+F469+F770+F864+F973+F1049+F213</f>
        <v>#REF!</v>
      </c>
      <c r="G1064" s="72" t="e">
        <f t="shared" si="601"/>
        <v>#REF!</v>
      </c>
      <c r="H1064" s="72" t="e">
        <f t="shared" si="601"/>
        <v>#REF!</v>
      </c>
      <c r="I1064" s="72" t="e">
        <f t="shared" si="601"/>
        <v>#REF!</v>
      </c>
      <c r="J1064" s="72" t="e">
        <f t="shared" si="601"/>
        <v>#REF!</v>
      </c>
      <c r="K1064" s="72">
        <f t="shared" si="601"/>
        <v>775315.92</v>
      </c>
      <c r="L1064" s="72">
        <f aca="true" t="shared" si="602" ref="L1064">L12+L224+L242+L295+L469+L770+L864+L973+L1049+L213</f>
        <v>571611.3</v>
      </c>
      <c r="M1064" s="4">
        <f t="shared" si="585"/>
        <v>73.72624310358545</v>
      </c>
    </row>
    <row r="1065" spans="8:13" ht="15" hidden="1">
      <c r="H1065" t="e">
        <f>#REF!</f>
        <v>#REF!</v>
      </c>
      <c r="I1065" t="e">
        <f>#REF!</f>
        <v>#REF!</v>
      </c>
      <c r="J1065" t="e">
        <f>#REF!</f>
        <v>#REF!</v>
      </c>
      <c r="K1065">
        <f>'Прил.№4 ведомств.'!G1290</f>
        <v>775315.92</v>
      </c>
      <c r="L1065" s="299">
        <f>'Прил.№4 ведомств.'!H1290</f>
        <v>571611.2999999999</v>
      </c>
      <c r="M1065" s="299">
        <f>'Прил.№4 ведомств.'!I1290</f>
        <v>73.72624310358543</v>
      </c>
    </row>
    <row r="1066" spans="8:13" ht="15" hidden="1">
      <c r="H1066" s="23" t="e">
        <f>H1065-H1064</f>
        <v>#REF!</v>
      </c>
      <c r="I1066" s="23" t="e">
        <f>I1065-I1064</f>
        <v>#REF!</v>
      </c>
      <c r="J1066" s="23" t="e">
        <f>J1065-J1064</f>
        <v>#REF!</v>
      </c>
      <c r="K1066" s="23">
        <f>K1065-K1064</f>
        <v>0</v>
      </c>
      <c r="L1066" s="23">
        <f aca="true" t="shared" si="603" ref="L1066:M1066">L1065-L1064</f>
        <v>0</v>
      </c>
      <c r="M1066" s="23">
        <f t="shared" si="603"/>
        <v>0</v>
      </c>
    </row>
    <row r="1068" spans="11:13" ht="15">
      <c r="K1068" s="23"/>
      <c r="L1068" s="23"/>
      <c r="M1068" s="23"/>
    </row>
  </sheetData>
  <mergeCells count="19">
    <mergeCell ref="L4:M4"/>
    <mergeCell ref="L1:M1"/>
    <mergeCell ref="L2:M2"/>
    <mergeCell ref="L3:M3"/>
    <mergeCell ref="L5:M5"/>
    <mergeCell ref="L9:L10"/>
    <mergeCell ref="M9:M10"/>
    <mergeCell ref="A7:M7"/>
    <mergeCell ref="F9:F10"/>
    <mergeCell ref="G9:G10"/>
    <mergeCell ref="H9:H10"/>
    <mergeCell ref="I9:I10"/>
    <mergeCell ref="J9:J10"/>
    <mergeCell ref="K9:K10"/>
    <mergeCell ref="A9:A10"/>
    <mergeCell ref="B9:B10"/>
    <mergeCell ref="C9:C10"/>
    <mergeCell ref="D9:D10"/>
    <mergeCell ref="E9:E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6" r:id="rId1"/>
  <rowBreaks count="1" manualBreakCount="1">
    <brk id="10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4"/>
  <sheetViews>
    <sheetView view="pageBreakPreview" zoomScaleSheetLayoutView="100" workbookViewId="0" topLeftCell="A1253">
      <selection activeCell="H1295" sqref="H1295"/>
    </sheetView>
  </sheetViews>
  <sheetFormatPr defaultColWidth="9.140625" defaultRowHeight="15"/>
  <cols>
    <col min="1" max="1" width="63.8515625" style="300" customWidth="1"/>
    <col min="2" max="2" width="7.00390625" style="300" customWidth="1"/>
    <col min="3" max="3" width="4.28125" style="300" customWidth="1"/>
    <col min="4" max="4" width="4.8515625" style="300" customWidth="1"/>
    <col min="5" max="5" width="12.421875" style="300" customWidth="1"/>
    <col min="6" max="6" width="5.7109375" style="300" customWidth="1"/>
    <col min="7" max="9" width="12.7109375" style="300" customWidth="1"/>
    <col min="10" max="10" width="9.140625" style="300" customWidth="1"/>
    <col min="11" max="16384" width="9.140625" style="1" customWidth="1"/>
  </cols>
  <sheetData>
    <row r="1" spans="1:9" ht="18.75" customHeight="1">
      <c r="A1" s="74"/>
      <c r="B1" s="74"/>
      <c r="C1" s="74"/>
      <c r="D1" s="74"/>
      <c r="G1" s="151" t="s">
        <v>1124</v>
      </c>
      <c r="H1" s="151"/>
      <c r="I1" s="151"/>
    </row>
    <row r="2" spans="1:9" ht="18.75" customHeight="1">
      <c r="A2" s="74"/>
      <c r="B2" s="74"/>
      <c r="C2" s="74"/>
      <c r="D2" s="74"/>
      <c r="G2" s="151" t="s">
        <v>1125</v>
      </c>
      <c r="H2" s="151"/>
      <c r="I2" s="151"/>
    </row>
    <row r="3" spans="1:9" ht="18.75">
      <c r="A3" s="74"/>
      <c r="B3" s="74"/>
      <c r="C3" s="74"/>
      <c r="D3" s="74"/>
      <c r="E3" s="344"/>
      <c r="F3" s="344"/>
      <c r="G3" s="346" t="s">
        <v>1120</v>
      </c>
      <c r="H3" s="346"/>
      <c r="I3" s="346"/>
    </row>
    <row r="4" spans="1:9" s="300" customFormat="1" ht="18.75">
      <c r="A4" s="74"/>
      <c r="B4" s="74"/>
      <c r="C4" s="74"/>
      <c r="D4" s="74"/>
      <c r="E4" s="327"/>
      <c r="F4" s="337"/>
      <c r="G4" s="347" t="s">
        <v>1121</v>
      </c>
      <c r="H4" s="347"/>
      <c r="I4" s="347"/>
    </row>
    <row r="5" spans="1:6" ht="15.75">
      <c r="A5" s="372"/>
      <c r="B5" s="372"/>
      <c r="C5" s="372"/>
      <c r="D5" s="372"/>
      <c r="E5" s="372"/>
      <c r="F5" s="372"/>
    </row>
    <row r="6" spans="1:9" ht="15.75" customHeight="1">
      <c r="A6" s="364" t="s">
        <v>1083</v>
      </c>
      <c r="B6" s="364"/>
      <c r="C6" s="364"/>
      <c r="D6" s="364"/>
      <c r="E6" s="364"/>
      <c r="F6" s="364"/>
      <c r="G6" s="364"/>
      <c r="H6" s="364"/>
      <c r="I6" s="364"/>
    </row>
    <row r="7" spans="1:9" ht="15.75">
      <c r="A7" s="14"/>
      <c r="B7" s="14"/>
      <c r="C7" s="14"/>
      <c r="D7" s="14"/>
      <c r="E7" s="14"/>
      <c r="F7" s="14"/>
      <c r="G7" s="245"/>
      <c r="H7" s="245"/>
      <c r="I7" s="245"/>
    </row>
    <row r="8" spans="1:10" ht="75">
      <c r="A8" s="303" t="s">
        <v>149</v>
      </c>
      <c r="B8" s="303" t="s">
        <v>150</v>
      </c>
      <c r="C8" s="16" t="s">
        <v>151</v>
      </c>
      <c r="D8" s="16" t="s">
        <v>152</v>
      </c>
      <c r="E8" s="16" t="s">
        <v>153</v>
      </c>
      <c r="F8" s="16" t="s">
        <v>154</v>
      </c>
      <c r="G8" s="200" t="s">
        <v>1074</v>
      </c>
      <c r="H8" s="200" t="s">
        <v>1078</v>
      </c>
      <c r="I8" s="314" t="s">
        <v>1075</v>
      </c>
      <c r="J8" s="129"/>
    </row>
    <row r="9" spans="1:10" ht="15.7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19">
        <v>8</v>
      </c>
      <c r="I9" s="19">
        <v>9</v>
      </c>
      <c r="J9" s="129"/>
    </row>
    <row r="10" spans="1:10" ht="31.5">
      <c r="A10" s="20" t="s">
        <v>155</v>
      </c>
      <c r="B10" s="202">
        <v>901</v>
      </c>
      <c r="C10" s="203"/>
      <c r="D10" s="203"/>
      <c r="E10" s="203"/>
      <c r="F10" s="203"/>
      <c r="G10" s="22">
        <f>G11</f>
        <v>13519.9</v>
      </c>
      <c r="H10" s="22">
        <f aca="true" t="shared" si="0" ref="H10">H11</f>
        <v>7885.900000000001</v>
      </c>
      <c r="I10" s="22">
        <f>H10/G10*100</f>
        <v>58.32809414270817</v>
      </c>
      <c r="J10" s="129"/>
    </row>
    <row r="11" spans="1:10" ht="15.75">
      <c r="A11" s="24" t="s">
        <v>156</v>
      </c>
      <c r="B11" s="202">
        <v>901</v>
      </c>
      <c r="C11" s="204" t="s">
        <v>157</v>
      </c>
      <c r="D11" s="203"/>
      <c r="E11" s="203"/>
      <c r="F11" s="203"/>
      <c r="G11" s="22">
        <f>G12+G22</f>
        <v>13519.9</v>
      </c>
      <c r="H11" s="22">
        <f aca="true" t="shared" si="1" ref="H11">H12+H22</f>
        <v>7885.900000000001</v>
      </c>
      <c r="I11" s="22">
        <f aca="true" t="shared" si="2" ref="I11:I74">H11/G11*100</f>
        <v>58.32809414270817</v>
      </c>
      <c r="J11" s="129"/>
    </row>
    <row r="12" spans="1:10" ht="47.25">
      <c r="A12" s="24" t="s">
        <v>158</v>
      </c>
      <c r="B12" s="202">
        <v>901</v>
      </c>
      <c r="C12" s="204" t="s">
        <v>157</v>
      </c>
      <c r="D12" s="204" t="s">
        <v>159</v>
      </c>
      <c r="E12" s="204"/>
      <c r="F12" s="204"/>
      <c r="G12" s="22">
        <f>G13</f>
        <v>13519.9</v>
      </c>
      <c r="H12" s="22">
        <f aca="true" t="shared" si="3" ref="H12:H14">H13</f>
        <v>7885.900000000001</v>
      </c>
      <c r="I12" s="22">
        <f t="shared" si="2"/>
        <v>58.32809414270817</v>
      </c>
      <c r="J12" s="129"/>
    </row>
    <row r="13" spans="1:10" ht="15.75">
      <c r="A13" s="26" t="s">
        <v>160</v>
      </c>
      <c r="B13" s="205">
        <v>901</v>
      </c>
      <c r="C13" s="203" t="s">
        <v>157</v>
      </c>
      <c r="D13" s="203" t="s">
        <v>159</v>
      </c>
      <c r="E13" s="203" t="s">
        <v>161</v>
      </c>
      <c r="F13" s="203"/>
      <c r="G13" s="27">
        <f>G14</f>
        <v>13519.9</v>
      </c>
      <c r="H13" s="27">
        <f t="shared" si="3"/>
        <v>7885.900000000001</v>
      </c>
      <c r="I13" s="27">
        <f t="shared" si="2"/>
        <v>58.32809414270817</v>
      </c>
      <c r="J13" s="129"/>
    </row>
    <row r="14" spans="1:10" ht="31.5">
      <c r="A14" s="26" t="s">
        <v>162</v>
      </c>
      <c r="B14" s="205">
        <v>901</v>
      </c>
      <c r="C14" s="203" t="s">
        <v>157</v>
      </c>
      <c r="D14" s="203" t="s">
        <v>159</v>
      </c>
      <c r="E14" s="203" t="s">
        <v>163</v>
      </c>
      <c r="F14" s="203"/>
      <c r="G14" s="27">
        <f>G15</f>
        <v>13519.9</v>
      </c>
      <c r="H14" s="27">
        <f t="shared" si="3"/>
        <v>7885.900000000001</v>
      </c>
      <c r="I14" s="27">
        <f t="shared" si="2"/>
        <v>58.32809414270817</v>
      </c>
      <c r="J14" s="129"/>
    </row>
    <row r="15" spans="1:10" ht="31.5">
      <c r="A15" s="26" t="s">
        <v>164</v>
      </c>
      <c r="B15" s="205">
        <v>901</v>
      </c>
      <c r="C15" s="203" t="s">
        <v>157</v>
      </c>
      <c r="D15" s="203" t="s">
        <v>159</v>
      </c>
      <c r="E15" s="203" t="s">
        <v>165</v>
      </c>
      <c r="F15" s="203"/>
      <c r="G15" s="27">
        <f>G16+G18+G20</f>
        <v>13519.9</v>
      </c>
      <c r="H15" s="27">
        <f aca="true" t="shared" si="4" ref="H15">H16+H18+H20</f>
        <v>7885.900000000001</v>
      </c>
      <c r="I15" s="27">
        <f t="shared" si="2"/>
        <v>58.32809414270817</v>
      </c>
      <c r="J15" s="129"/>
    </row>
    <row r="16" spans="1:10" ht="63">
      <c r="A16" s="26" t="s">
        <v>166</v>
      </c>
      <c r="B16" s="205">
        <v>901</v>
      </c>
      <c r="C16" s="203" t="s">
        <v>157</v>
      </c>
      <c r="D16" s="203" t="s">
        <v>159</v>
      </c>
      <c r="E16" s="203" t="s">
        <v>165</v>
      </c>
      <c r="F16" s="203" t="s">
        <v>167</v>
      </c>
      <c r="G16" s="27">
        <f>G17</f>
        <v>12314.1</v>
      </c>
      <c r="H16" s="27">
        <f aca="true" t="shared" si="5" ref="H16">H17</f>
        <v>7406.8</v>
      </c>
      <c r="I16" s="27">
        <f t="shared" si="2"/>
        <v>60.148934960736064</v>
      </c>
      <c r="J16" s="129"/>
    </row>
    <row r="17" spans="1:11" ht="31.5">
      <c r="A17" s="26" t="s">
        <v>168</v>
      </c>
      <c r="B17" s="205">
        <v>901</v>
      </c>
      <c r="C17" s="203" t="s">
        <v>157</v>
      </c>
      <c r="D17" s="203" t="s">
        <v>159</v>
      </c>
      <c r="E17" s="203" t="s">
        <v>165</v>
      </c>
      <c r="F17" s="203" t="s">
        <v>169</v>
      </c>
      <c r="G17" s="28">
        <f>12308+1239.7-1013.6-220</f>
        <v>12314.1</v>
      </c>
      <c r="H17" s="28">
        <v>7406.8</v>
      </c>
      <c r="I17" s="27">
        <f t="shared" si="2"/>
        <v>60.148934960736064</v>
      </c>
      <c r="J17" s="291"/>
      <c r="K17" s="129"/>
    </row>
    <row r="18" spans="1:10" ht="31.5">
      <c r="A18" s="26" t="s">
        <v>170</v>
      </c>
      <c r="B18" s="205">
        <v>901</v>
      </c>
      <c r="C18" s="203" t="s">
        <v>157</v>
      </c>
      <c r="D18" s="203" t="s">
        <v>159</v>
      </c>
      <c r="E18" s="203" t="s">
        <v>165</v>
      </c>
      <c r="F18" s="203" t="s">
        <v>171</v>
      </c>
      <c r="G18" s="27">
        <f>G19</f>
        <v>1177.8</v>
      </c>
      <c r="H18" s="27">
        <f aca="true" t="shared" si="6" ref="H18">H19</f>
        <v>479</v>
      </c>
      <c r="I18" s="27">
        <f t="shared" si="2"/>
        <v>40.66904398030226</v>
      </c>
      <c r="J18" s="129"/>
    </row>
    <row r="19" spans="1:10" ht="31.5">
      <c r="A19" s="26" t="s">
        <v>172</v>
      </c>
      <c r="B19" s="205">
        <v>901</v>
      </c>
      <c r="C19" s="203" t="s">
        <v>157</v>
      </c>
      <c r="D19" s="203" t="s">
        <v>159</v>
      </c>
      <c r="E19" s="203" t="s">
        <v>165</v>
      </c>
      <c r="F19" s="203" t="s">
        <v>173</v>
      </c>
      <c r="G19" s="28">
        <v>1177.8</v>
      </c>
      <c r="H19" s="28">
        <v>479</v>
      </c>
      <c r="I19" s="27">
        <f t="shared" si="2"/>
        <v>40.66904398030226</v>
      </c>
      <c r="J19" s="129"/>
    </row>
    <row r="20" spans="1:10" ht="15.75">
      <c r="A20" s="26" t="s">
        <v>174</v>
      </c>
      <c r="B20" s="205">
        <v>901</v>
      </c>
      <c r="C20" s="203" t="s">
        <v>157</v>
      </c>
      <c r="D20" s="203" t="s">
        <v>159</v>
      </c>
      <c r="E20" s="203" t="s">
        <v>165</v>
      </c>
      <c r="F20" s="203" t="s">
        <v>175</v>
      </c>
      <c r="G20" s="27">
        <f>G21</f>
        <v>28</v>
      </c>
      <c r="H20" s="27">
        <f aca="true" t="shared" si="7" ref="H20">H21</f>
        <v>0.1</v>
      </c>
      <c r="I20" s="27">
        <f t="shared" si="2"/>
        <v>0.35714285714285715</v>
      </c>
      <c r="J20" s="129"/>
    </row>
    <row r="21" spans="1:10" ht="15.75">
      <c r="A21" s="26" t="s">
        <v>608</v>
      </c>
      <c r="B21" s="205">
        <v>901</v>
      </c>
      <c r="C21" s="203" t="s">
        <v>157</v>
      </c>
      <c r="D21" s="203" t="s">
        <v>159</v>
      </c>
      <c r="E21" s="203" t="s">
        <v>165</v>
      </c>
      <c r="F21" s="203" t="s">
        <v>177</v>
      </c>
      <c r="G21" s="27">
        <v>28</v>
      </c>
      <c r="H21" s="27">
        <v>0.1</v>
      </c>
      <c r="I21" s="27">
        <f t="shared" si="2"/>
        <v>0.35714285714285715</v>
      </c>
      <c r="J21" s="129"/>
    </row>
    <row r="22" spans="1:10" ht="18.75" customHeight="1" hidden="1">
      <c r="A22" s="24" t="s">
        <v>178</v>
      </c>
      <c r="B22" s="202">
        <v>901</v>
      </c>
      <c r="C22" s="204" t="s">
        <v>157</v>
      </c>
      <c r="D22" s="204" t="s">
        <v>179</v>
      </c>
      <c r="E22" s="204"/>
      <c r="F22" s="204"/>
      <c r="G22" s="22">
        <f>G23</f>
        <v>0</v>
      </c>
      <c r="H22" s="22">
        <f aca="true" t="shared" si="8" ref="H22:H25">H23</f>
        <v>0</v>
      </c>
      <c r="I22" s="22" t="e">
        <f t="shared" si="2"/>
        <v>#DIV/0!</v>
      </c>
      <c r="J22" s="129"/>
    </row>
    <row r="23" spans="1:10" ht="15.75" hidden="1">
      <c r="A23" s="26" t="s">
        <v>180</v>
      </c>
      <c r="B23" s="205">
        <v>901</v>
      </c>
      <c r="C23" s="203" t="s">
        <v>157</v>
      </c>
      <c r="D23" s="203" t="s">
        <v>179</v>
      </c>
      <c r="E23" s="203" t="s">
        <v>181</v>
      </c>
      <c r="F23" s="203"/>
      <c r="G23" s="27">
        <f>G24</f>
        <v>0</v>
      </c>
      <c r="H23" s="27">
        <f t="shared" si="8"/>
        <v>0</v>
      </c>
      <c r="I23" s="22" t="e">
        <f t="shared" si="2"/>
        <v>#DIV/0!</v>
      </c>
      <c r="J23" s="129"/>
    </row>
    <row r="24" spans="1:10" ht="15.75" hidden="1">
      <c r="A24" s="26" t="s">
        <v>238</v>
      </c>
      <c r="B24" s="205">
        <v>901</v>
      </c>
      <c r="C24" s="203" t="s">
        <v>157</v>
      </c>
      <c r="D24" s="203" t="s">
        <v>179</v>
      </c>
      <c r="E24" s="203" t="s">
        <v>239</v>
      </c>
      <c r="F24" s="203"/>
      <c r="G24" s="27">
        <f>G25</f>
        <v>0</v>
      </c>
      <c r="H24" s="27">
        <f t="shared" si="8"/>
        <v>0</v>
      </c>
      <c r="I24" s="22" t="e">
        <f t="shared" si="2"/>
        <v>#DIV/0!</v>
      </c>
      <c r="J24" s="129"/>
    </row>
    <row r="25" spans="1:10" ht="15.75" hidden="1">
      <c r="A25" s="26" t="s">
        <v>174</v>
      </c>
      <c r="B25" s="205">
        <v>901</v>
      </c>
      <c r="C25" s="203" t="s">
        <v>157</v>
      </c>
      <c r="D25" s="203" t="s">
        <v>179</v>
      </c>
      <c r="E25" s="203" t="s">
        <v>239</v>
      </c>
      <c r="F25" s="203" t="s">
        <v>184</v>
      </c>
      <c r="G25" s="27">
        <f>G26</f>
        <v>0</v>
      </c>
      <c r="H25" s="27">
        <f t="shared" si="8"/>
        <v>0</v>
      </c>
      <c r="I25" s="22" t="e">
        <f t="shared" si="2"/>
        <v>#DIV/0!</v>
      </c>
      <c r="J25" s="129"/>
    </row>
    <row r="26" spans="1:10" ht="15.75" hidden="1">
      <c r="A26" s="26" t="s">
        <v>1036</v>
      </c>
      <c r="B26" s="205">
        <v>901</v>
      </c>
      <c r="C26" s="203" t="s">
        <v>157</v>
      </c>
      <c r="D26" s="203" t="s">
        <v>179</v>
      </c>
      <c r="E26" s="203" t="s">
        <v>239</v>
      </c>
      <c r="F26" s="203" t="s">
        <v>1037</v>
      </c>
      <c r="G26" s="27">
        <f>18357.9-18357.9</f>
        <v>0</v>
      </c>
      <c r="H26" s="27">
        <f aca="true" t="shared" si="9" ref="H26">18357.9-18357.9</f>
        <v>0</v>
      </c>
      <c r="I26" s="22" t="e">
        <f t="shared" si="2"/>
        <v>#DIV/0!</v>
      </c>
      <c r="J26" s="291"/>
    </row>
    <row r="27" spans="1:10" ht="15.75">
      <c r="A27" s="20" t="s">
        <v>187</v>
      </c>
      <c r="B27" s="202">
        <v>902</v>
      </c>
      <c r="C27" s="203"/>
      <c r="D27" s="203"/>
      <c r="E27" s="203"/>
      <c r="F27" s="203"/>
      <c r="G27" s="22">
        <f>G28+G170+G188+G220+G159</f>
        <v>86657.2</v>
      </c>
      <c r="H27" s="22">
        <f aca="true" t="shared" si="10" ref="H27">H28+H170+H188+H220+H159</f>
        <v>57021.3</v>
      </c>
      <c r="I27" s="22">
        <f t="shared" si="2"/>
        <v>65.80099518562797</v>
      </c>
      <c r="J27" s="129"/>
    </row>
    <row r="28" spans="1:10" ht="15.75">
      <c r="A28" s="24" t="s">
        <v>156</v>
      </c>
      <c r="B28" s="202">
        <v>902</v>
      </c>
      <c r="C28" s="204" t="s">
        <v>157</v>
      </c>
      <c r="D28" s="203"/>
      <c r="E28" s="203"/>
      <c r="F28" s="203"/>
      <c r="G28" s="22">
        <f>G29+G58+G66</f>
        <v>64534.399999999994</v>
      </c>
      <c r="H28" s="22">
        <f aca="true" t="shared" si="11" ref="H28">H29+H58+H66</f>
        <v>42087.1</v>
      </c>
      <c r="I28" s="22">
        <f t="shared" si="2"/>
        <v>65.21653567709626</v>
      </c>
      <c r="J28" s="129"/>
    </row>
    <row r="29" spans="1:10" ht="63">
      <c r="A29" s="24" t="s">
        <v>188</v>
      </c>
      <c r="B29" s="202">
        <v>902</v>
      </c>
      <c r="C29" s="204" t="s">
        <v>157</v>
      </c>
      <c r="D29" s="204" t="s">
        <v>189</v>
      </c>
      <c r="E29" s="204"/>
      <c r="F29" s="204"/>
      <c r="G29" s="22">
        <f>G30</f>
        <v>52172.6</v>
      </c>
      <c r="H29" s="22">
        <f aca="true" t="shared" si="12" ref="H29">H30</f>
        <v>35321.799999999996</v>
      </c>
      <c r="I29" s="22">
        <f t="shared" si="2"/>
        <v>67.7018204958158</v>
      </c>
      <c r="J29" s="129"/>
    </row>
    <row r="30" spans="1:10" ht="15.75">
      <c r="A30" s="26" t="s">
        <v>160</v>
      </c>
      <c r="B30" s="205">
        <v>902</v>
      </c>
      <c r="C30" s="203" t="s">
        <v>157</v>
      </c>
      <c r="D30" s="203" t="s">
        <v>189</v>
      </c>
      <c r="E30" s="203" t="s">
        <v>161</v>
      </c>
      <c r="F30" s="203"/>
      <c r="G30" s="28">
        <f>G31+G52</f>
        <v>52172.6</v>
      </c>
      <c r="H30" s="28">
        <f aca="true" t="shared" si="13" ref="H30">H31+H52</f>
        <v>35321.799999999996</v>
      </c>
      <c r="I30" s="27">
        <f t="shared" si="2"/>
        <v>67.7018204958158</v>
      </c>
      <c r="J30" s="129"/>
    </row>
    <row r="31" spans="1:10" ht="31.5">
      <c r="A31" s="26" t="s">
        <v>162</v>
      </c>
      <c r="B31" s="205">
        <v>902</v>
      </c>
      <c r="C31" s="203" t="s">
        <v>157</v>
      </c>
      <c r="D31" s="203" t="s">
        <v>189</v>
      </c>
      <c r="E31" s="203" t="s">
        <v>163</v>
      </c>
      <c r="F31" s="203"/>
      <c r="G31" s="28">
        <f>G32+G41+G47+G53+G44</f>
        <v>52172.6</v>
      </c>
      <c r="H31" s="28">
        <f aca="true" t="shared" si="14" ref="H31">H32+H41+H47+H53+H44</f>
        <v>35321.799999999996</v>
      </c>
      <c r="I31" s="27">
        <f t="shared" si="2"/>
        <v>67.7018204958158</v>
      </c>
      <c r="J31" s="129"/>
    </row>
    <row r="32" spans="1:10" ht="31.5">
      <c r="A32" s="26" t="s">
        <v>164</v>
      </c>
      <c r="B32" s="205">
        <v>902</v>
      </c>
      <c r="C32" s="203" t="s">
        <v>157</v>
      </c>
      <c r="D32" s="203" t="s">
        <v>189</v>
      </c>
      <c r="E32" s="203" t="s">
        <v>165</v>
      </c>
      <c r="F32" s="203"/>
      <c r="G32" s="27">
        <f>G33+G35+G39+G37</f>
        <v>43122.49999999999</v>
      </c>
      <c r="H32" s="27">
        <f aca="true" t="shared" si="15" ref="H32">H33+H35+H39+H37</f>
        <v>29073.499999999996</v>
      </c>
      <c r="I32" s="27">
        <f t="shared" si="2"/>
        <v>67.42072004174156</v>
      </c>
      <c r="J32" s="129"/>
    </row>
    <row r="33" spans="1:10" ht="63">
      <c r="A33" s="26" t="s">
        <v>166</v>
      </c>
      <c r="B33" s="205">
        <v>902</v>
      </c>
      <c r="C33" s="203" t="s">
        <v>157</v>
      </c>
      <c r="D33" s="203" t="s">
        <v>189</v>
      </c>
      <c r="E33" s="203" t="s">
        <v>165</v>
      </c>
      <c r="F33" s="203" t="s">
        <v>167</v>
      </c>
      <c r="G33" s="27">
        <f>G34</f>
        <v>36100.19999999999</v>
      </c>
      <c r="H33" s="27">
        <f aca="true" t="shared" si="16" ref="H33">H34</f>
        <v>24375.6</v>
      </c>
      <c r="I33" s="27">
        <f t="shared" si="2"/>
        <v>67.52206358967541</v>
      </c>
      <c r="J33" s="129"/>
    </row>
    <row r="34" spans="1:11" ht="31.5">
      <c r="A34" s="26" t="s">
        <v>168</v>
      </c>
      <c r="B34" s="205">
        <v>902</v>
      </c>
      <c r="C34" s="203" t="s">
        <v>157</v>
      </c>
      <c r="D34" s="203" t="s">
        <v>189</v>
      </c>
      <c r="E34" s="203" t="s">
        <v>165</v>
      </c>
      <c r="F34" s="203" t="s">
        <v>169</v>
      </c>
      <c r="G34" s="28">
        <f>35964.2+85.1-1559.3+5374.6-1280.1-836.3-120+250-1236.4-100-141.6-300</f>
        <v>36100.19999999999</v>
      </c>
      <c r="H34" s="28">
        <v>24375.6</v>
      </c>
      <c r="I34" s="27">
        <f t="shared" si="2"/>
        <v>67.52206358967541</v>
      </c>
      <c r="J34" s="129"/>
      <c r="K34" s="304"/>
    </row>
    <row r="35" spans="1:11" ht="31.5">
      <c r="A35" s="26" t="s">
        <v>170</v>
      </c>
      <c r="B35" s="205">
        <v>902</v>
      </c>
      <c r="C35" s="203" t="s">
        <v>157</v>
      </c>
      <c r="D35" s="203" t="s">
        <v>189</v>
      </c>
      <c r="E35" s="203" t="s">
        <v>165</v>
      </c>
      <c r="F35" s="203" t="s">
        <v>171</v>
      </c>
      <c r="G35" s="27">
        <f>G36</f>
        <v>6647</v>
      </c>
      <c r="H35" s="27">
        <f aca="true" t="shared" si="17" ref="H35">H36</f>
        <v>4180.8</v>
      </c>
      <c r="I35" s="27">
        <f t="shared" si="2"/>
        <v>62.89754776590944</v>
      </c>
      <c r="J35" s="129"/>
      <c r="K35" s="305"/>
    </row>
    <row r="36" spans="1:11" ht="31.5">
      <c r="A36" s="26" t="s">
        <v>172</v>
      </c>
      <c r="B36" s="205">
        <v>902</v>
      </c>
      <c r="C36" s="203" t="s">
        <v>157</v>
      </c>
      <c r="D36" s="203" t="s">
        <v>189</v>
      </c>
      <c r="E36" s="203" t="s">
        <v>165</v>
      </c>
      <c r="F36" s="203" t="s">
        <v>173</v>
      </c>
      <c r="G36" s="28">
        <f>5462.9+144-193.5+1013.6+220</f>
        <v>6647</v>
      </c>
      <c r="H36" s="28">
        <v>4180.8</v>
      </c>
      <c r="I36" s="27">
        <f t="shared" si="2"/>
        <v>62.89754776590944</v>
      </c>
      <c r="J36" s="129"/>
      <c r="K36" s="292"/>
    </row>
    <row r="37" spans="1:11" s="300" customFormat="1" ht="15.75">
      <c r="A37" s="26" t="s">
        <v>287</v>
      </c>
      <c r="B37" s="205">
        <v>902</v>
      </c>
      <c r="C37" s="203" t="s">
        <v>157</v>
      </c>
      <c r="D37" s="203" t="s">
        <v>189</v>
      </c>
      <c r="E37" s="203" t="s">
        <v>165</v>
      </c>
      <c r="F37" s="203" t="s">
        <v>288</v>
      </c>
      <c r="G37" s="28">
        <f>G38</f>
        <v>300</v>
      </c>
      <c r="H37" s="28">
        <f aca="true" t="shared" si="18" ref="H37">H38</f>
        <v>462.6</v>
      </c>
      <c r="I37" s="27">
        <f t="shared" si="2"/>
        <v>154.20000000000002</v>
      </c>
      <c r="J37" s="129"/>
      <c r="K37" s="291"/>
    </row>
    <row r="38" spans="1:11" s="300" customFormat="1" ht="31.5">
      <c r="A38" s="26" t="s">
        <v>289</v>
      </c>
      <c r="B38" s="205">
        <v>902</v>
      </c>
      <c r="C38" s="203" t="s">
        <v>157</v>
      </c>
      <c r="D38" s="203" t="s">
        <v>189</v>
      </c>
      <c r="E38" s="203" t="s">
        <v>165</v>
      </c>
      <c r="F38" s="203" t="s">
        <v>290</v>
      </c>
      <c r="G38" s="28">
        <v>300</v>
      </c>
      <c r="H38" s="28">
        <v>462.6</v>
      </c>
      <c r="I38" s="27">
        <f t="shared" si="2"/>
        <v>154.20000000000002</v>
      </c>
      <c r="J38" s="129"/>
      <c r="K38" s="291"/>
    </row>
    <row r="39" spans="1:12" ht="15.75">
      <c r="A39" s="26" t="s">
        <v>174</v>
      </c>
      <c r="B39" s="205">
        <v>902</v>
      </c>
      <c r="C39" s="203" t="s">
        <v>157</v>
      </c>
      <c r="D39" s="203" t="s">
        <v>189</v>
      </c>
      <c r="E39" s="203" t="s">
        <v>165</v>
      </c>
      <c r="F39" s="203" t="s">
        <v>184</v>
      </c>
      <c r="G39" s="27">
        <f>G40</f>
        <v>75.30000000000001</v>
      </c>
      <c r="H39" s="27">
        <f aca="true" t="shared" si="19" ref="H39">H40</f>
        <v>54.5</v>
      </c>
      <c r="I39" s="27">
        <f t="shared" si="2"/>
        <v>72.37715803452855</v>
      </c>
      <c r="J39" s="289"/>
      <c r="L39" s="293"/>
    </row>
    <row r="40" spans="1:10" ht="15.75">
      <c r="A40" s="26" t="s">
        <v>608</v>
      </c>
      <c r="B40" s="205">
        <v>902</v>
      </c>
      <c r="C40" s="203" t="s">
        <v>157</v>
      </c>
      <c r="D40" s="203" t="s">
        <v>189</v>
      </c>
      <c r="E40" s="203" t="s">
        <v>165</v>
      </c>
      <c r="F40" s="203" t="s">
        <v>177</v>
      </c>
      <c r="G40" s="28">
        <f>219.3-144</f>
        <v>75.30000000000001</v>
      </c>
      <c r="H40" s="28">
        <v>54.5</v>
      </c>
      <c r="I40" s="27">
        <f t="shared" si="2"/>
        <v>72.37715803452855</v>
      </c>
      <c r="J40" s="129"/>
    </row>
    <row r="41" spans="1:10" ht="31.5">
      <c r="A41" s="26" t="s">
        <v>190</v>
      </c>
      <c r="B41" s="205">
        <v>902</v>
      </c>
      <c r="C41" s="203" t="s">
        <v>157</v>
      </c>
      <c r="D41" s="203" t="s">
        <v>189</v>
      </c>
      <c r="E41" s="203" t="s">
        <v>191</v>
      </c>
      <c r="F41" s="203"/>
      <c r="G41" s="27">
        <f>G42</f>
        <v>3727.9</v>
      </c>
      <c r="H41" s="27">
        <f aca="true" t="shared" si="20" ref="H41:H42">H42</f>
        <v>2990.8</v>
      </c>
      <c r="I41" s="27">
        <f t="shared" si="2"/>
        <v>80.22747391292685</v>
      </c>
      <c r="J41" s="289"/>
    </row>
    <row r="42" spans="1:10" ht="63">
      <c r="A42" s="26" t="s">
        <v>166</v>
      </c>
      <c r="B42" s="205">
        <v>902</v>
      </c>
      <c r="C42" s="203" t="s">
        <v>157</v>
      </c>
      <c r="D42" s="203" t="s">
        <v>189</v>
      </c>
      <c r="E42" s="203" t="s">
        <v>191</v>
      </c>
      <c r="F42" s="203" t="s">
        <v>167</v>
      </c>
      <c r="G42" s="27">
        <f>G43</f>
        <v>3727.9</v>
      </c>
      <c r="H42" s="27">
        <f t="shared" si="20"/>
        <v>2990.8</v>
      </c>
      <c r="I42" s="27">
        <f t="shared" si="2"/>
        <v>80.22747391292685</v>
      </c>
      <c r="J42" s="129"/>
    </row>
    <row r="43" spans="1:10" ht="31.5">
      <c r="A43" s="26" t="s">
        <v>168</v>
      </c>
      <c r="B43" s="205">
        <v>902</v>
      </c>
      <c r="C43" s="203" t="s">
        <v>157</v>
      </c>
      <c r="D43" s="203" t="s">
        <v>189</v>
      </c>
      <c r="E43" s="203" t="s">
        <v>191</v>
      </c>
      <c r="F43" s="203" t="s">
        <v>169</v>
      </c>
      <c r="G43" s="28">
        <f>3545.6+71.3+111</f>
        <v>3727.9</v>
      </c>
      <c r="H43" s="28">
        <v>2990.8</v>
      </c>
      <c r="I43" s="27">
        <f t="shared" si="2"/>
        <v>80.22747391292685</v>
      </c>
      <c r="J43" s="291"/>
    </row>
    <row r="44" spans="1:10" ht="31.5">
      <c r="A44" s="26" t="s">
        <v>192</v>
      </c>
      <c r="B44" s="205">
        <v>902</v>
      </c>
      <c r="C44" s="203" t="s">
        <v>157</v>
      </c>
      <c r="D44" s="203" t="s">
        <v>189</v>
      </c>
      <c r="E44" s="203" t="s">
        <v>982</v>
      </c>
      <c r="F44" s="203"/>
      <c r="G44" s="28">
        <f>G45</f>
        <v>2437.8</v>
      </c>
      <c r="H44" s="28">
        <f aca="true" t="shared" si="21" ref="H44:H45">H45</f>
        <v>1346.1</v>
      </c>
      <c r="I44" s="27">
        <f t="shared" si="2"/>
        <v>55.217819345311334</v>
      </c>
      <c r="J44" s="289"/>
    </row>
    <row r="45" spans="1:10" ht="63">
      <c r="A45" s="26" t="s">
        <v>166</v>
      </c>
      <c r="B45" s="205">
        <v>902</v>
      </c>
      <c r="C45" s="203" t="s">
        <v>157</v>
      </c>
      <c r="D45" s="203" t="s">
        <v>189</v>
      </c>
      <c r="E45" s="203" t="s">
        <v>982</v>
      </c>
      <c r="F45" s="203" t="s">
        <v>167</v>
      </c>
      <c r="G45" s="28">
        <f>G46</f>
        <v>2437.8</v>
      </c>
      <c r="H45" s="28">
        <f t="shared" si="21"/>
        <v>1346.1</v>
      </c>
      <c r="I45" s="27">
        <f t="shared" si="2"/>
        <v>55.217819345311334</v>
      </c>
      <c r="J45" s="129"/>
    </row>
    <row r="46" spans="1:10" ht="31.5">
      <c r="A46" s="26" t="s">
        <v>168</v>
      </c>
      <c r="B46" s="205">
        <v>902</v>
      </c>
      <c r="C46" s="203" t="s">
        <v>157</v>
      </c>
      <c r="D46" s="203" t="s">
        <v>189</v>
      </c>
      <c r="E46" s="203" t="s">
        <v>982</v>
      </c>
      <c r="F46" s="203" t="s">
        <v>169</v>
      </c>
      <c r="G46" s="28">
        <f>2553.5-63.7-95.5+43.5</f>
        <v>2437.8</v>
      </c>
      <c r="H46" s="28">
        <v>1346.1</v>
      </c>
      <c r="I46" s="27">
        <f t="shared" si="2"/>
        <v>55.217819345311334</v>
      </c>
      <c r="J46" s="291"/>
    </row>
    <row r="47" spans="1:10" ht="31.5">
      <c r="A47" s="26" t="s">
        <v>249</v>
      </c>
      <c r="B47" s="205">
        <v>902</v>
      </c>
      <c r="C47" s="203" t="s">
        <v>157</v>
      </c>
      <c r="D47" s="203" t="s">
        <v>189</v>
      </c>
      <c r="E47" s="203" t="s">
        <v>927</v>
      </c>
      <c r="F47" s="203"/>
      <c r="G47" s="28">
        <f>G48+G50</f>
        <v>2884.3999999999996</v>
      </c>
      <c r="H47" s="28">
        <f aca="true" t="shared" si="22" ref="H47">H48+H50</f>
        <v>1911.4</v>
      </c>
      <c r="I47" s="27">
        <f t="shared" si="2"/>
        <v>66.26681458882264</v>
      </c>
      <c r="J47" s="289"/>
    </row>
    <row r="48" spans="1:10" ht="63">
      <c r="A48" s="26" t="s">
        <v>166</v>
      </c>
      <c r="B48" s="205">
        <v>902</v>
      </c>
      <c r="C48" s="203" t="s">
        <v>157</v>
      </c>
      <c r="D48" s="203" t="s">
        <v>189</v>
      </c>
      <c r="E48" s="203" t="s">
        <v>927</v>
      </c>
      <c r="F48" s="203" t="s">
        <v>167</v>
      </c>
      <c r="G48" s="28">
        <f>G49</f>
        <v>2269.3999999999996</v>
      </c>
      <c r="H48" s="28">
        <f aca="true" t="shared" si="23" ref="H48">H49</f>
        <v>1631.2</v>
      </c>
      <c r="I48" s="27">
        <f t="shared" si="2"/>
        <v>71.878029435093</v>
      </c>
      <c r="J48" s="129"/>
    </row>
    <row r="49" spans="1:10" ht="31.5">
      <c r="A49" s="26" t="s">
        <v>168</v>
      </c>
      <c r="B49" s="205">
        <v>902</v>
      </c>
      <c r="C49" s="203" t="s">
        <v>157</v>
      </c>
      <c r="D49" s="203" t="s">
        <v>189</v>
      </c>
      <c r="E49" s="203" t="s">
        <v>927</v>
      </c>
      <c r="F49" s="203" t="s">
        <v>169</v>
      </c>
      <c r="G49" s="28">
        <f>2326.2-21.4-158+122.6</f>
        <v>2269.3999999999996</v>
      </c>
      <c r="H49" s="28">
        <v>1631.2</v>
      </c>
      <c r="I49" s="27">
        <f t="shared" si="2"/>
        <v>71.878029435093</v>
      </c>
      <c r="J49" s="291"/>
    </row>
    <row r="50" spans="1:10" ht="31.5">
      <c r="A50" s="26" t="s">
        <v>237</v>
      </c>
      <c r="B50" s="205">
        <v>902</v>
      </c>
      <c r="C50" s="203" t="s">
        <v>157</v>
      </c>
      <c r="D50" s="203" t="s">
        <v>189</v>
      </c>
      <c r="E50" s="203" t="s">
        <v>927</v>
      </c>
      <c r="F50" s="203" t="s">
        <v>171</v>
      </c>
      <c r="G50" s="27">
        <f>G51</f>
        <v>615</v>
      </c>
      <c r="H50" s="27">
        <f aca="true" t="shared" si="24" ref="H50">H51</f>
        <v>280.2</v>
      </c>
      <c r="I50" s="27">
        <f t="shared" si="2"/>
        <v>45.56097560975609</v>
      </c>
      <c r="J50" s="289"/>
    </row>
    <row r="51" spans="1:10" ht="31.5">
      <c r="A51" s="26" t="s">
        <v>172</v>
      </c>
      <c r="B51" s="205">
        <v>902</v>
      </c>
      <c r="C51" s="203" t="s">
        <v>157</v>
      </c>
      <c r="D51" s="203" t="s">
        <v>189</v>
      </c>
      <c r="E51" s="203" t="s">
        <v>927</v>
      </c>
      <c r="F51" s="203" t="s">
        <v>173</v>
      </c>
      <c r="G51" s="27">
        <f>625.4-10.4</f>
        <v>615</v>
      </c>
      <c r="H51" s="27">
        <v>280.2</v>
      </c>
      <c r="I51" s="27">
        <f t="shared" si="2"/>
        <v>45.56097560975609</v>
      </c>
      <c r="J51" s="291"/>
    </row>
    <row r="52" spans="1:10" ht="15.75" hidden="1">
      <c r="A52" s="26" t="s">
        <v>180</v>
      </c>
      <c r="B52" s="205">
        <v>902</v>
      </c>
      <c r="C52" s="203" t="s">
        <v>157</v>
      </c>
      <c r="D52" s="203" t="s">
        <v>189</v>
      </c>
      <c r="E52" s="203" t="s">
        <v>181</v>
      </c>
      <c r="F52" s="203"/>
      <c r="G52" s="30">
        <f>G53</f>
        <v>0</v>
      </c>
      <c r="H52" s="30">
        <f aca="true" t="shared" si="25" ref="H52">H53</f>
        <v>0</v>
      </c>
      <c r="I52" s="22" t="e">
        <f t="shared" si="2"/>
        <v>#DIV/0!</v>
      </c>
      <c r="J52" s="289"/>
    </row>
    <row r="53" spans="1:10" ht="31.5" hidden="1">
      <c r="A53" s="26" t="s">
        <v>192</v>
      </c>
      <c r="B53" s="205">
        <v>902</v>
      </c>
      <c r="C53" s="203" t="s">
        <v>157</v>
      </c>
      <c r="D53" s="203" t="s">
        <v>189</v>
      </c>
      <c r="E53" s="203" t="s">
        <v>193</v>
      </c>
      <c r="F53" s="203"/>
      <c r="G53" s="27">
        <f>G54+G56</f>
        <v>0</v>
      </c>
      <c r="H53" s="27">
        <f aca="true" t="shared" si="26" ref="H53">H54+H56</f>
        <v>0</v>
      </c>
      <c r="I53" s="22" t="e">
        <f t="shared" si="2"/>
        <v>#DIV/0!</v>
      </c>
      <c r="J53" s="129"/>
    </row>
    <row r="54" spans="1:10" ht="63" hidden="1">
      <c r="A54" s="26" t="s">
        <v>166</v>
      </c>
      <c r="B54" s="205">
        <v>902</v>
      </c>
      <c r="C54" s="203" t="s">
        <v>157</v>
      </c>
      <c r="D54" s="203" t="s">
        <v>189</v>
      </c>
      <c r="E54" s="203" t="s">
        <v>193</v>
      </c>
      <c r="F54" s="203" t="s">
        <v>167</v>
      </c>
      <c r="G54" s="27">
        <f>G55</f>
        <v>0</v>
      </c>
      <c r="H54" s="27">
        <f aca="true" t="shared" si="27" ref="H54">H55</f>
        <v>0</v>
      </c>
      <c r="I54" s="22" t="e">
        <f t="shared" si="2"/>
        <v>#DIV/0!</v>
      </c>
      <c r="J54" s="129"/>
    </row>
    <row r="55" spans="1:10" ht="31.5" hidden="1">
      <c r="A55" s="26" t="s">
        <v>168</v>
      </c>
      <c r="B55" s="205">
        <v>902</v>
      </c>
      <c r="C55" s="203" t="s">
        <v>157</v>
      </c>
      <c r="D55" s="203" t="s">
        <v>189</v>
      </c>
      <c r="E55" s="203" t="s">
        <v>193</v>
      </c>
      <c r="F55" s="203" t="s">
        <v>169</v>
      </c>
      <c r="G55" s="28">
        <v>0</v>
      </c>
      <c r="H55" s="28">
        <v>0</v>
      </c>
      <c r="I55" s="22" t="e">
        <f t="shared" si="2"/>
        <v>#DIV/0!</v>
      </c>
      <c r="J55" s="129"/>
    </row>
    <row r="56" spans="1:10" ht="31.5" hidden="1">
      <c r="A56" s="26" t="s">
        <v>170</v>
      </c>
      <c r="B56" s="205">
        <v>902</v>
      </c>
      <c r="C56" s="203" t="s">
        <v>157</v>
      </c>
      <c r="D56" s="203" t="s">
        <v>189</v>
      </c>
      <c r="E56" s="203" t="s">
        <v>193</v>
      </c>
      <c r="F56" s="203" t="s">
        <v>171</v>
      </c>
      <c r="G56" s="27">
        <f>G57</f>
        <v>0</v>
      </c>
      <c r="H56" s="27">
        <f aca="true" t="shared" si="28" ref="H56">H57</f>
        <v>0</v>
      </c>
      <c r="I56" s="22" t="e">
        <f t="shared" si="2"/>
        <v>#DIV/0!</v>
      </c>
      <c r="J56" s="129"/>
    </row>
    <row r="57" spans="1:10" ht="31.5" hidden="1">
      <c r="A57" s="26" t="s">
        <v>172</v>
      </c>
      <c r="B57" s="205">
        <v>902</v>
      </c>
      <c r="C57" s="203" t="s">
        <v>157</v>
      </c>
      <c r="D57" s="203" t="s">
        <v>189</v>
      </c>
      <c r="E57" s="203" t="s">
        <v>193</v>
      </c>
      <c r="F57" s="203" t="s">
        <v>173</v>
      </c>
      <c r="G57" s="28">
        <v>0</v>
      </c>
      <c r="H57" s="28">
        <v>0</v>
      </c>
      <c r="I57" s="22" t="e">
        <f t="shared" si="2"/>
        <v>#DIV/0!</v>
      </c>
      <c r="J57" s="129"/>
    </row>
    <row r="58" spans="1:10" ht="47.25">
      <c r="A58" s="24" t="s">
        <v>158</v>
      </c>
      <c r="B58" s="202">
        <v>902</v>
      </c>
      <c r="C58" s="204" t="s">
        <v>157</v>
      </c>
      <c r="D58" s="204" t="s">
        <v>159</v>
      </c>
      <c r="E58" s="204"/>
      <c r="F58" s="203"/>
      <c r="G58" s="22">
        <f>G59</f>
        <v>2693.5</v>
      </c>
      <c r="H58" s="22">
        <f aca="true" t="shared" si="29" ref="H58:H60">H59</f>
        <v>667.5</v>
      </c>
      <c r="I58" s="22">
        <f t="shared" si="2"/>
        <v>24.78188230926304</v>
      </c>
      <c r="J58" s="289"/>
    </row>
    <row r="59" spans="1:10" ht="21" customHeight="1">
      <c r="A59" s="26" t="s">
        <v>160</v>
      </c>
      <c r="B59" s="205">
        <v>902</v>
      </c>
      <c r="C59" s="203" t="s">
        <v>157</v>
      </c>
      <c r="D59" s="203" t="s">
        <v>159</v>
      </c>
      <c r="E59" s="203" t="s">
        <v>161</v>
      </c>
      <c r="F59" s="203"/>
      <c r="G59" s="27">
        <f>G60</f>
        <v>2693.5</v>
      </c>
      <c r="H59" s="27">
        <f t="shared" si="29"/>
        <v>667.5</v>
      </c>
      <c r="I59" s="27">
        <f t="shared" si="2"/>
        <v>24.78188230926304</v>
      </c>
      <c r="J59" s="129"/>
    </row>
    <row r="60" spans="1:10" ht="31.5">
      <c r="A60" s="26" t="s">
        <v>162</v>
      </c>
      <c r="B60" s="205">
        <v>902</v>
      </c>
      <c r="C60" s="203" t="s">
        <v>157</v>
      </c>
      <c r="D60" s="203" t="s">
        <v>159</v>
      </c>
      <c r="E60" s="203" t="s">
        <v>163</v>
      </c>
      <c r="F60" s="203"/>
      <c r="G60" s="27">
        <f>G61</f>
        <v>2693.5</v>
      </c>
      <c r="H60" s="27">
        <f t="shared" si="29"/>
        <v>667.5</v>
      </c>
      <c r="I60" s="27">
        <f t="shared" si="2"/>
        <v>24.78188230926304</v>
      </c>
      <c r="J60" s="129"/>
    </row>
    <row r="61" spans="1:10" ht="31.5">
      <c r="A61" s="26" t="s">
        <v>164</v>
      </c>
      <c r="B61" s="205">
        <v>902</v>
      </c>
      <c r="C61" s="203" t="s">
        <v>157</v>
      </c>
      <c r="D61" s="203" t="s">
        <v>159</v>
      </c>
      <c r="E61" s="203" t="s">
        <v>165</v>
      </c>
      <c r="F61" s="203"/>
      <c r="G61" s="27">
        <f>G62+G64</f>
        <v>2693.5</v>
      </c>
      <c r="H61" s="27">
        <f aca="true" t="shared" si="30" ref="H61">H62+H64</f>
        <v>667.5</v>
      </c>
      <c r="I61" s="27">
        <f t="shared" si="2"/>
        <v>24.78188230926304</v>
      </c>
      <c r="J61" s="129"/>
    </row>
    <row r="62" spans="1:10" ht="63">
      <c r="A62" s="26" t="s">
        <v>166</v>
      </c>
      <c r="B62" s="205">
        <v>902</v>
      </c>
      <c r="C62" s="203" t="s">
        <v>157</v>
      </c>
      <c r="D62" s="203" t="s">
        <v>159</v>
      </c>
      <c r="E62" s="203" t="s">
        <v>165</v>
      </c>
      <c r="F62" s="203" t="s">
        <v>167</v>
      </c>
      <c r="G62" s="27">
        <f>G63</f>
        <v>2693.5</v>
      </c>
      <c r="H62" s="27">
        <f aca="true" t="shared" si="31" ref="H62">H63</f>
        <v>667.5</v>
      </c>
      <c r="I62" s="27">
        <f t="shared" si="2"/>
        <v>24.78188230926304</v>
      </c>
      <c r="J62" s="129"/>
    </row>
    <row r="63" spans="1:10" ht="31.5">
      <c r="A63" s="26" t="s">
        <v>168</v>
      </c>
      <c r="B63" s="205">
        <v>902</v>
      </c>
      <c r="C63" s="203" t="s">
        <v>157</v>
      </c>
      <c r="D63" s="203" t="s">
        <v>159</v>
      </c>
      <c r="E63" s="203" t="s">
        <v>165</v>
      </c>
      <c r="F63" s="203" t="s">
        <v>169</v>
      </c>
      <c r="G63" s="28">
        <f>1081.7+9.4+1602.4</f>
        <v>2693.5</v>
      </c>
      <c r="H63" s="28">
        <v>667.5</v>
      </c>
      <c r="I63" s="27">
        <f t="shared" si="2"/>
        <v>24.78188230926304</v>
      </c>
      <c r="J63" s="291"/>
    </row>
    <row r="64" spans="1:10" ht="31.5" customHeight="1" hidden="1">
      <c r="A64" s="26" t="s">
        <v>170</v>
      </c>
      <c r="B64" s="205">
        <v>902</v>
      </c>
      <c r="C64" s="203" t="s">
        <v>157</v>
      </c>
      <c r="D64" s="203" t="s">
        <v>159</v>
      </c>
      <c r="E64" s="203" t="s">
        <v>165</v>
      </c>
      <c r="F64" s="203" t="s">
        <v>171</v>
      </c>
      <c r="G64" s="28">
        <f>G65</f>
        <v>0</v>
      </c>
      <c r="H64" s="28">
        <f aca="true" t="shared" si="32" ref="H64">H65</f>
        <v>0</v>
      </c>
      <c r="I64" s="22" t="e">
        <f t="shared" si="2"/>
        <v>#DIV/0!</v>
      </c>
      <c r="J64" s="289"/>
    </row>
    <row r="65" spans="1:10" ht="47.25" customHeight="1" hidden="1">
      <c r="A65" s="26" t="s">
        <v>172</v>
      </c>
      <c r="B65" s="205">
        <v>902</v>
      </c>
      <c r="C65" s="203" t="s">
        <v>157</v>
      </c>
      <c r="D65" s="203" t="s">
        <v>159</v>
      </c>
      <c r="E65" s="203" t="s">
        <v>165</v>
      </c>
      <c r="F65" s="203" t="s">
        <v>173</v>
      </c>
      <c r="G65" s="28"/>
      <c r="H65" s="28"/>
      <c r="I65" s="22" t="e">
        <f t="shared" si="2"/>
        <v>#DIV/0!</v>
      </c>
      <c r="J65" s="129"/>
    </row>
    <row r="66" spans="1:10" ht="15.75">
      <c r="A66" s="24" t="s">
        <v>178</v>
      </c>
      <c r="B66" s="202">
        <v>902</v>
      </c>
      <c r="C66" s="204" t="s">
        <v>157</v>
      </c>
      <c r="D66" s="204" t="s">
        <v>179</v>
      </c>
      <c r="E66" s="204"/>
      <c r="F66" s="204"/>
      <c r="G66" s="22">
        <f>G67+G71+G87+G105+G91+G101+G166</f>
        <v>9668.3</v>
      </c>
      <c r="H66" s="22">
        <f aca="true" t="shared" si="33" ref="H66">H67+H71+H87+H105+H91+H101+H166</f>
        <v>6097.8</v>
      </c>
      <c r="I66" s="22">
        <f t="shared" si="2"/>
        <v>63.070032994425084</v>
      </c>
      <c r="J66" s="129"/>
    </row>
    <row r="67" spans="1:10" ht="51" customHeight="1" hidden="1">
      <c r="A67" s="26" t="s">
        <v>194</v>
      </c>
      <c r="B67" s="205">
        <v>902</v>
      </c>
      <c r="C67" s="203" t="s">
        <v>157</v>
      </c>
      <c r="D67" s="203" t="s">
        <v>179</v>
      </c>
      <c r="E67" s="203" t="s">
        <v>195</v>
      </c>
      <c r="F67" s="203"/>
      <c r="G67" s="27">
        <f>G68</f>
        <v>0</v>
      </c>
      <c r="H67" s="27">
        <f aca="true" t="shared" si="34" ref="H67:H69">H68</f>
        <v>0</v>
      </c>
      <c r="I67" s="22" t="e">
        <f t="shared" si="2"/>
        <v>#DIV/0!</v>
      </c>
      <c r="J67" s="129"/>
    </row>
    <row r="68" spans="1:10" ht="31.5" hidden="1">
      <c r="A68" s="26" t="s">
        <v>196</v>
      </c>
      <c r="B68" s="205">
        <v>902</v>
      </c>
      <c r="C68" s="203" t="s">
        <v>157</v>
      </c>
      <c r="D68" s="203" t="s">
        <v>179</v>
      </c>
      <c r="E68" s="203" t="s">
        <v>197</v>
      </c>
      <c r="F68" s="203"/>
      <c r="G68" s="27">
        <f>G69</f>
        <v>0</v>
      </c>
      <c r="H68" s="27">
        <f t="shared" si="34"/>
        <v>0</v>
      </c>
      <c r="I68" s="22" t="e">
        <f t="shared" si="2"/>
        <v>#DIV/0!</v>
      </c>
      <c r="J68" s="129"/>
    </row>
    <row r="69" spans="1:10" ht="15.75" hidden="1">
      <c r="A69" s="26" t="s">
        <v>174</v>
      </c>
      <c r="B69" s="205">
        <v>902</v>
      </c>
      <c r="C69" s="203" t="s">
        <v>157</v>
      </c>
      <c r="D69" s="203" t="s">
        <v>179</v>
      </c>
      <c r="E69" s="203" t="s">
        <v>197</v>
      </c>
      <c r="F69" s="203" t="s">
        <v>184</v>
      </c>
      <c r="G69" s="27">
        <f>G70</f>
        <v>0</v>
      </c>
      <c r="H69" s="27">
        <f t="shared" si="34"/>
        <v>0</v>
      </c>
      <c r="I69" s="22" t="e">
        <f t="shared" si="2"/>
        <v>#DIV/0!</v>
      </c>
      <c r="J69" s="129"/>
    </row>
    <row r="70" spans="1:10" ht="66.75" customHeight="1" hidden="1">
      <c r="A70" s="26" t="s">
        <v>198</v>
      </c>
      <c r="B70" s="205">
        <v>902</v>
      </c>
      <c r="C70" s="203" t="s">
        <v>157</v>
      </c>
      <c r="D70" s="203" t="s">
        <v>179</v>
      </c>
      <c r="E70" s="203" t="s">
        <v>197</v>
      </c>
      <c r="F70" s="203" t="s">
        <v>199</v>
      </c>
      <c r="G70" s="27">
        <v>0</v>
      </c>
      <c r="H70" s="27">
        <v>0</v>
      </c>
      <c r="I70" s="22" t="e">
        <f t="shared" si="2"/>
        <v>#DIV/0!</v>
      </c>
      <c r="J70" s="289"/>
    </row>
    <row r="71" spans="1:10" ht="31.5">
      <c r="A71" s="26" t="s">
        <v>960</v>
      </c>
      <c r="B71" s="205">
        <v>902</v>
      </c>
      <c r="C71" s="203" t="s">
        <v>157</v>
      </c>
      <c r="D71" s="203" t="s">
        <v>179</v>
      </c>
      <c r="E71" s="203" t="s">
        <v>201</v>
      </c>
      <c r="F71" s="203"/>
      <c r="G71" s="27">
        <f>G72+G75+G80</f>
        <v>740.5</v>
      </c>
      <c r="H71" s="27">
        <f aca="true" t="shared" si="35" ref="H71">H72+H75+H80</f>
        <v>369</v>
      </c>
      <c r="I71" s="27">
        <f t="shared" si="2"/>
        <v>49.831195138419986</v>
      </c>
      <c r="J71" s="129"/>
    </row>
    <row r="72" spans="1:10" ht="15.75">
      <c r="A72" s="31" t="s">
        <v>202</v>
      </c>
      <c r="B72" s="205">
        <v>902</v>
      </c>
      <c r="C72" s="203" t="s">
        <v>157</v>
      </c>
      <c r="D72" s="203" t="s">
        <v>179</v>
      </c>
      <c r="E72" s="206" t="s">
        <v>203</v>
      </c>
      <c r="F72" s="203"/>
      <c r="G72" s="27">
        <f>G73</f>
        <v>491</v>
      </c>
      <c r="H72" s="27">
        <f aca="true" t="shared" si="36" ref="H72:H73">H73</f>
        <v>327.2</v>
      </c>
      <c r="I72" s="27">
        <f t="shared" si="2"/>
        <v>66.63951120162932</v>
      </c>
      <c r="J72" s="129"/>
    </row>
    <row r="73" spans="1:10" ht="31.5">
      <c r="A73" s="26" t="s">
        <v>170</v>
      </c>
      <c r="B73" s="205">
        <v>902</v>
      </c>
      <c r="C73" s="203" t="s">
        <v>157</v>
      </c>
      <c r="D73" s="203" t="s">
        <v>179</v>
      </c>
      <c r="E73" s="206" t="s">
        <v>203</v>
      </c>
      <c r="F73" s="203" t="s">
        <v>171</v>
      </c>
      <c r="G73" s="27">
        <f>G74</f>
        <v>491</v>
      </c>
      <c r="H73" s="27">
        <f t="shared" si="36"/>
        <v>327.2</v>
      </c>
      <c r="I73" s="27">
        <f t="shared" si="2"/>
        <v>66.63951120162932</v>
      </c>
      <c r="J73" s="129"/>
    </row>
    <row r="74" spans="1:10" ht="31.5">
      <c r="A74" s="26" t="s">
        <v>172</v>
      </c>
      <c r="B74" s="205">
        <v>902</v>
      </c>
      <c r="C74" s="203" t="s">
        <v>157</v>
      </c>
      <c r="D74" s="203" t="s">
        <v>179</v>
      </c>
      <c r="E74" s="206" t="s">
        <v>203</v>
      </c>
      <c r="F74" s="203" t="s">
        <v>173</v>
      </c>
      <c r="G74" s="27">
        <f>428.1+62.9</f>
        <v>491</v>
      </c>
      <c r="H74" s="27">
        <v>327.2</v>
      </c>
      <c r="I74" s="27">
        <f t="shared" si="2"/>
        <v>66.63951120162932</v>
      </c>
      <c r="J74" s="129"/>
    </row>
    <row r="75" spans="1:10" ht="47.25">
      <c r="A75" s="196" t="s">
        <v>204</v>
      </c>
      <c r="B75" s="205">
        <v>902</v>
      </c>
      <c r="C75" s="203" t="s">
        <v>157</v>
      </c>
      <c r="D75" s="203" t="s">
        <v>179</v>
      </c>
      <c r="E75" s="206" t="s">
        <v>205</v>
      </c>
      <c r="F75" s="203"/>
      <c r="G75" s="27">
        <f>G76+G78</f>
        <v>249</v>
      </c>
      <c r="H75" s="27">
        <f aca="true" t="shared" si="37" ref="H75">H76+H78</f>
        <v>41.8</v>
      </c>
      <c r="I75" s="27">
        <f aca="true" t="shared" si="38" ref="I75:I138">H75/G75*100</f>
        <v>16.78714859437751</v>
      </c>
      <c r="J75" s="129"/>
    </row>
    <row r="76" spans="1:10" ht="63">
      <c r="A76" s="26" t="s">
        <v>166</v>
      </c>
      <c r="B76" s="205">
        <v>902</v>
      </c>
      <c r="C76" s="203" t="s">
        <v>157</v>
      </c>
      <c r="D76" s="203" t="s">
        <v>179</v>
      </c>
      <c r="E76" s="206" t="s">
        <v>205</v>
      </c>
      <c r="F76" s="203" t="s">
        <v>167</v>
      </c>
      <c r="G76" s="27">
        <f>G77</f>
        <v>159.7</v>
      </c>
      <c r="H76" s="27">
        <f aca="true" t="shared" si="39" ref="H76">H77</f>
        <v>17.3</v>
      </c>
      <c r="I76" s="27">
        <f t="shared" si="38"/>
        <v>10.832811521603007</v>
      </c>
      <c r="J76" s="129"/>
    </row>
    <row r="77" spans="1:10" ht="31.5">
      <c r="A77" s="26" t="s">
        <v>168</v>
      </c>
      <c r="B77" s="205">
        <v>902</v>
      </c>
      <c r="C77" s="203" t="s">
        <v>157</v>
      </c>
      <c r="D77" s="203" t="s">
        <v>179</v>
      </c>
      <c r="E77" s="206" t="s">
        <v>205</v>
      </c>
      <c r="F77" s="203" t="s">
        <v>169</v>
      </c>
      <c r="G77" s="27">
        <v>159.7</v>
      </c>
      <c r="H77" s="27">
        <v>17.3</v>
      </c>
      <c r="I77" s="27">
        <f t="shared" si="38"/>
        <v>10.832811521603007</v>
      </c>
      <c r="J77" s="129"/>
    </row>
    <row r="78" spans="1:10" ht="31.5">
      <c r="A78" s="26" t="s">
        <v>170</v>
      </c>
      <c r="B78" s="205">
        <v>902</v>
      </c>
      <c r="C78" s="203" t="s">
        <v>157</v>
      </c>
      <c r="D78" s="203" t="s">
        <v>179</v>
      </c>
      <c r="E78" s="206" t="s">
        <v>205</v>
      </c>
      <c r="F78" s="203" t="s">
        <v>171</v>
      </c>
      <c r="G78" s="27">
        <f>G79</f>
        <v>89.30000000000001</v>
      </c>
      <c r="H78" s="27">
        <f aca="true" t="shared" si="40" ref="H78">H79</f>
        <v>24.5</v>
      </c>
      <c r="I78" s="27">
        <f t="shared" si="38"/>
        <v>27.43561030235162</v>
      </c>
      <c r="J78" s="129"/>
    </row>
    <row r="79" spans="1:10" ht="31.5">
      <c r="A79" s="26" t="s">
        <v>172</v>
      </c>
      <c r="B79" s="205">
        <v>902</v>
      </c>
      <c r="C79" s="203" t="s">
        <v>157</v>
      </c>
      <c r="D79" s="203" t="s">
        <v>179</v>
      </c>
      <c r="E79" s="206" t="s">
        <v>205</v>
      </c>
      <c r="F79" s="203" t="s">
        <v>173</v>
      </c>
      <c r="G79" s="27">
        <f>65.2+24.6-0.5</f>
        <v>89.30000000000001</v>
      </c>
      <c r="H79" s="27">
        <v>24.5</v>
      </c>
      <c r="I79" s="27">
        <f t="shared" si="38"/>
        <v>27.43561030235162</v>
      </c>
      <c r="J79" s="129"/>
    </row>
    <row r="80" spans="1:10" ht="31.5">
      <c r="A80" s="35" t="s">
        <v>230</v>
      </c>
      <c r="B80" s="205">
        <v>902</v>
      </c>
      <c r="C80" s="203" t="s">
        <v>157</v>
      </c>
      <c r="D80" s="203" t="s">
        <v>179</v>
      </c>
      <c r="E80" s="206" t="s">
        <v>743</v>
      </c>
      <c r="F80" s="203"/>
      <c r="G80" s="27">
        <f>G81</f>
        <v>0.5</v>
      </c>
      <c r="H80" s="27">
        <f aca="true" t="shared" si="41" ref="H80:H81">H81</f>
        <v>0</v>
      </c>
      <c r="I80" s="27">
        <f t="shared" si="38"/>
        <v>0</v>
      </c>
      <c r="J80" s="129"/>
    </row>
    <row r="81" spans="1:10" ht="31.5">
      <c r="A81" s="26" t="s">
        <v>170</v>
      </c>
      <c r="B81" s="205">
        <v>902</v>
      </c>
      <c r="C81" s="203" t="s">
        <v>157</v>
      </c>
      <c r="D81" s="203" t="s">
        <v>179</v>
      </c>
      <c r="E81" s="206" t="s">
        <v>743</v>
      </c>
      <c r="F81" s="203" t="s">
        <v>171</v>
      </c>
      <c r="G81" s="27">
        <f>G82</f>
        <v>0.5</v>
      </c>
      <c r="H81" s="27">
        <f t="shared" si="41"/>
        <v>0</v>
      </c>
      <c r="I81" s="27">
        <f t="shared" si="38"/>
        <v>0</v>
      </c>
      <c r="J81" s="129"/>
    </row>
    <row r="82" spans="1:10" ht="31.5">
      <c r="A82" s="26" t="s">
        <v>172</v>
      </c>
      <c r="B82" s="205">
        <v>902</v>
      </c>
      <c r="C82" s="203" t="s">
        <v>157</v>
      </c>
      <c r="D82" s="203" t="s">
        <v>179</v>
      </c>
      <c r="E82" s="206" t="s">
        <v>743</v>
      </c>
      <c r="F82" s="203" t="s">
        <v>173</v>
      </c>
      <c r="G82" s="27">
        <v>0.5</v>
      </c>
      <c r="H82" s="27">
        <v>0</v>
      </c>
      <c r="I82" s="27">
        <f t="shared" si="38"/>
        <v>0</v>
      </c>
      <c r="J82" s="129"/>
    </row>
    <row r="83" spans="1:10" ht="31.5" hidden="1">
      <c r="A83" s="26" t="s">
        <v>216</v>
      </c>
      <c r="B83" s="205">
        <v>902</v>
      </c>
      <c r="C83" s="207" t="s">
        <v>157</v>
      </c>
      <c r="D83" s="207" t="s">
        <v>179</v>
      </c>
      <c r="E83" s="208" t="s">
        <v>217</v>
      </c>
      <c r="F83" s="207"/>
      <c r="G83" s="27">
        <f>G84</f>
        <v>0</v>
      </c>
      <c r="H83" s="27">
        <f aca="true" t="shared" si="42" ref="H83:H85">H84</f>
        <v>0</v>
      </c>
      <c r="I83" s="27" t="e">
        <f t="shared" si="38"/>
        <v>#DIV/0!</v>
      </c>
      <c r="J83" s="129"/>
    </row>
    <row r="84" spans="1:10" ht="15.75" hidden="1">
      <c r="A84" s="47" t="s">
        <v>218</v>
      </c>
      <c r="B84" s="205">
        <v>902</v>
      </c>
      <c r="C84" s="207" t="s">
        <v>157</v>
      </c>
      <c r="D84" s="207" t="s">
        <v>179</v>
      </c>
      <c r="E84" s="208" t="s">
        <v>219</v>
      </c>
      <c r="F84" s="207"/>
      <c r="G84" s="27">
        <f>G85</f>
        <v>0</v>
      </c>
      <c r="H84" s="27">
        <f t="shared" si="42"/>
        <v>0</v>
      </c>
      <c r="I84" s="27" t="e">
        <f t="shared" si="38"/>
        <v>#DIV/0!</v>
      </c>
      <c r="J84" s="129"/>
    </row>
    <row r="85" spans="1:10" ht="31.5" hidden="1">
      <c r="A85" s="26" t="s">
        <v>170</v>
      </c>
      <c r="B85" s="205">
        <v>902</v>
      </c>
      <c r="C85" s="207" t="s">
        <v>157</v>
      </c>
      <c r="D85" s="207" t="s">
        <v>179</v>
      </c>
      <c r="E85" s="208" t="s">
        <v>219</v>
      </c>
      <c r="F85" s="207" t="s">
        <v>171</v>
      </c>
      <c r="G85" s="27">
        <f>G86</f>
        <v>0</v>
      </c>
      <c r="H85" s="27">
        <f t="shared" si="42"/>
        <v>0</v>
      </c>
      <c r="I85" s="27" t="e">
        <f t="shared" si="38"/>
        <v>#DIV/0!</v>
      </c>
      <c r="J85" s="129"/>
    </row>
    <row r="86" spans="1:10" ht="31.5" hidden="1">
      <c r="A86" s="26" t="s">
        <v>172</v>
      </c>
      <c r="B86" s="205">
        <v>902</v>
      </c>
      <c r="C86" s="207" t="s">
        <v>157</v>
      </c>
      <c r="D86" s="207" t="s">
        <v>179</v>
      </c>
      <c r="E86" s="208" t="s">
        <v>219</v>
      </c>
      <c r="F86" s="207" t="s">
        <v>173</v>
      </c>
      <c r="G86" s="27">
        <v>0</v>
      </c>
      <c r="H86" s="27">
        <v>0</v>
      </c>
      <c r="I86" s="27" t="e">
        <f t="shared" si="38"/>
        <v>#DIV/0!</v>
      </c>
      <c r="J86" s="129"/>
    </row>
    <row r="87" spans="1:10" ht="47.25" hidden="1">
      <c r="A87" s="33" t="s">
        <v>220</v>
      </c>
      <c r="B87" s="205">
        <v>902</v>
      </c>
      <c r="C87" s="203" t="s">
        <v>157</v>
      </c>
      <c r="D87" s="203" t="s">
        <v>179</v>
      </c>
      <c r="E87" s="209" t="s">
        <v>221</v>
      </c>
      <c r="F87" s="210"/>
      <c r="G87" s="27">
        <f>G88</f>
        <v>0</v>
      </c>
      <c r="H87" s="27">
        <f aca="true" t="shared" si="43" ref="H87:H89">H88</f>
        <v>0</v>
      </c>
      <c r="I87" s="27" t="e">
        <f t="shared" si="38"/>
        <v>#DIV/0!</v>
      </c>
      <c r="J87" s="129"/>
    </row>
    <row r="88" spans="1:10" ht="31.5" hidden="1">
      <c r="A88" s="26" t="s">
        <v>196</v>
      </c>
      <c r="B88" s="205">
        <v>902</v>
      </c>
      <c r="C88" s="203" t="s">
        <v>157</v>
      </c>
      <c r="D88" s="203" t="s">
        <v>179</v>
      </c>
      <c r="E88" s="203" t="s">
        <v>222</v>
      </c>
      <c r="F88" s="210"/>
      <c r="G88" s="27">
        <f>G89</f>
        <v>0</v>
      </c>
      <c r="H88" s="27">
        <f t="shared" si="43"/>
        <v>0</v>
      </c>
      <c r="I88" s="27" t="e">
        <f t="shared" si="38"/>
        <v>#DIV/0!</v>
      </c>
      <c r="J88" s="129"/>
    </row>
    <row r="89" spans="1:10" ht="15.75" hidden="1">
      <c r="A89" s="31" t="s">
        <v>174</v>
      </c>
      <c r="B89" s="205">
        <v>902</v>
      </c>
      <c r="C89" s="203" t="s">
        <v>157</v>
      </c>
      <c r="D89" s="203" t="s">
        <v>179</v>
      </c>
      <c r="E89" s="203" t="s">
        <v>222</v>
      </c>
      <c r="F89" s="210" t="s">
        <v>184</v>
      </c>
      <c r="G89" s="27">
        <f>G90</f>
        <v>0</v>
      </c>
      <c r="H89" s="27">
        <f t="shared" si="43"/>
        <v>0</v>
      </c>
      <c r="I89" s="27" t="e">
        <f t="shared" si="38"/>
        <v>#DIV/0!</v>
      </c>
      <c r="J89" s="129"/>
    </row>
    <row r="90" spans="1:10" ht="51.75" customHeight="1" hidden="1">
      <c r="A90" s="31" t="s">
        <v>223</v>
      </c>
      <c r="B90" s="205">
        <v>902</v>
      </c>
      <c r="C90" s="203" t="s">
        <v>157</v>
      </c>
      <c r="D90" s="203" t="s">
        <v>179</v>
      </c>
      <c r="E90" s="203" t="s">
        <v>222</v>
      </c>
      <c r="F90" s="210" t="s">
        <v>199</v>
      </c>
      <c r="G90" s="27">
        <v>0</v>
      </c>
      <c r="H90" s="27">
        <v>0</v>
      </c>
      <c r="I90" s="27" t="e">
        <f t="shared" si="38"/>
        <v>#DIV/0!</v>
      </c>
      <c r="J90" s="129"/>
    </row>
    <row r="91" spans="1:10" ht="47.25">
      <c r="A91" s="31" t="s">
        <v>914</v>
      </c>
      <c r="B91" s="205">
        <v>902</v>
      </c>
      <c r="C91" s="203" t="s">
        <v>157</v>
      </c>
      <c r="D91" s="203" t="s">
        <v>179</v>
      </c>
      <c r="E91" s="203" t="s">
        <v>775</v>
      </c>
      <c r="F91" s="210"/>
      <c r="G91" s="27">
        <f>G92+G98</f>
        <v>40</v>
      </c>
      <c r="H91" s="27">
        <f aca="true" t="shared" si="44" ref="H91">H92+H98</f>
        <v>15</v>
      </c>
      <c r="I91" s="27">
        <f t="shared" si="38"/>
        <v>37.5</v>
      </c>
      <c r="J91" s="129"/>
    </row>
    <row r="92" spans="1:10" ht="31.5">
      <c r="A92" s="119" t="s">
        <v>906</v>
      </c>
      <c r="B92" s="205">
        <v>902</v>
      </c>
      <c r="C92" s="203" t="s">
        <v>157</v>
      </c>
      <c r="D92" s="203" t="s">
        <v>179</v>
      </c>
      <c r="E92" s="203" t="s">
        <v>905</v>
      </c>
      <c r="F92" s="210"/>
      <c r="G92" s="27">
        <f>G93</f>
        <v>25</v>
      </c>
      <c r="H92" s="27">
        <f aca="true" t="shared" si="45" ref="H92:H93">H93</f>
        <v>0</v>
      </c>
      <c r="I92" s="27">
        <f t="shared" si="38"/>
        <v>0</v>
      </c>
      <c r="J92" s="129"/>
    </row>
    <row r="93" spans="1:10" ht="31.5">
      <c r="A93" s="26" t="s">
        <v>170</v>
      </c>
      <c r="B93" s="205">
        <v>902</v>
      </c>
      <c r="C93" s="203" t="s">
        <v>157</v>
      </c>
      <c r="D93" s="203" t="s">
        <v>179</v>
      </c>
      <c r="E93" s="203" t="s">
        <v>905</v>
      </c>
      <c r="F93" s="210" t="s">
        <v>171</v>
      </c>
      <c r="G93" s="27">
        <f>G94</f>
        <v>25</v>
      </c>
      <c r="H93" s="27">
        <f t="shared" si="45"/>
        <v>0</v>
      </c>
      <c r="I93" s="27">
        <f t="shared" si="38"/>
        <v>0</v>
      </c>
      <c r="J93" s="129"/>
    </row>
    <row r="94" spans="1:10" ht="31.5">
      <c r="A94" s="26" t="s">
        <v>172</v>
      </c>
      <c r="B94" s="205">
        <v>902</v>
      </c>
      <c r="C94" s="203" t="s">
        <v>157</v>
      </c>
      <c r="D94" s="203" t="s">
        <v>179</v>
      </c>
      <c r="E94" s="203" t="s">
        <v>905</v>
      </c>
      <c r="F94" s="210" t="s">
        <v>173</v>
      </c>
      <c r="G94" s="27">
        <v>25</v>
      </c>
      <c r="H94" s="27">
        <v>0</v>
      </c>
      <c r="I94" s="27">
        <f t="shared" si="38"/>
        <v>0</v>
      </c>
      <c r="J94" s="129"/>
    </row>
    <row r="95" spans="1:10" ht="15.75" customHeight="1" hidden="1">
      <c r="A95" s="31"/>
      <c r="B95" s="205"/>
      <c r="C95" s="203"/>
      <c r="D95" s="203"/>
      <c r="E95" s="203"/>
      <c r="F95" s="210"/>
      <c r="G95" s="27"/>
      <c r="H95" s="27"/>
      <c r="I95" s="27" t="e">
        <f t="shared" si="38"/>
        <v>#DIV/0!</v>
      </c>
      <c r="J95" s="129"/>
    </row>
    <row r="96" spans="1:10" ht="15.75" customHeight="1" hidden="1">
      <c r="A96" s="26"/>
      <c r="B96" s="205"/>
      <c r="C96" s="203"/>
      <c r="D96" s="203"/>
      <c r="E96" s="203"/>
      <c r="F96" s="210"/>
      <c r="G96" s="27"/>
      <c r="H96" s="27"/>
      <c r="I96" s="27" t="e">
        <f t="shared" si="38"/>
        <v>#DIV/0!</v>
      </c>
      <c r="J96" s="129"/>
    </row>
    <row r="97" spans="1:10" ht="15.75" customHeight="1" hidden="1">
      <c r="A97" s="26"/>
      <c r="B97" s="205"/>
      <c r="C97" s="203"/>
      <c r="D97" s="203"/>
      <c r="E97" s="203"/>
      <c r="F97" s="210"/>
      <c r="G97" s="27"/>
      <c r="H97" s="27"/>
      <c r="I97" s="27" t="e">
        <f t="shared" si="38"/>
        <v>#DIV/0!</v>
      </c>
      <c r="J97" s="129"/>
    </row>
    <row r="98" spans="1:10" ht="34.5" customHeight="1">
      <c r="A98" s="256" t="s">
        <v>908</v>
      </c>
      <c r="B98" s="205">
        <v>902</v>
      </c>
      <c r="C98" s="203" t="s">
        <v>157</v>
      </c>
      <c r="D98" s="203" t="s">
        <v>179</v>
      </c>
      <c r="E98" s="203" t="s">
        <v>907</v>
      </c>
      <c r="F98" s="210"/>
      <c r="G98" s="27">
        <f>G99</f>
        <v>15</v>
      </c>
      <c r="H98" s="27">
        <f aca="true" t="shared" si="46" ref="H98:H99">H99</f>
        <v>15</v>
      </c>
      <c r="I98" s="27">
        <f t="shared" si="38"/>
        <v>100</v>
      </c>
      <c r="J98" s="129"/>
    </row>
    <row r="99" spans="1:10" ht="31.5" customHeight="1">
      <c r="A99" s="26" t="s">
        <v>170</v>
      </c>
      <c r="B99" s="205">
        <v>902</v>
      </c>
      <c r="C99" s="203" t="s">
        <v>157</v>
      </c>
      <c r="D99" s="203" t="s">
        <v>179</v>
      </c>
      <c r="E99" s="203" t="s">
        <v>907</v>
      </c>
      <c r="F99" s="210" t="s">
        <v>171</v>
      </c>
      <c r="G99" s="27">
        <f>G100</f>
        <v>15</v>
      </c>
      <c r="H99" s="27">
        <f t="shared" si="46"/>
        <v>15</v>
      </c>
      <c r="I99" s="27">
        <f t="shared" si="38"/>
        <v>100</v>
      </c>
      <c r="J99" s="129"/>
    </row>
    <row r="100" spans="1:10" ht="32.25" customHeight="1">
      <c r="A100" s="26" t="s">
        <v>172</v>
      </c>
      <c r="B100" s="205">
        <v>902</v>
      </c>
      <c r="C100" s="203" t="s">
        <v>157</v>
      </c>
      <c r="D100" s="203" t="s">
        <v>179</v>
      </c>
      <c r="E100" s="203" t="s">
        <v>907</v>
      </c>
      <c r="F100" s="210" t="s">
        <v>173</v>
      </c>
      <c r="G100" s="27">
        <v>15</v>
      </c>
      <c r="H100" s="27">
        <v>15</v>
      </c>
      <c r="I100" s="27">
        <f t="shared" si="38"/>
        <v>100</v>
      </c>
      <c r="J100" s="129"/>
    </row>
    <row r="101" spans="1:10" ht="68.25" customHeight="1">
      <c r="A101" s="31" t="s">
        <v>1030</v>
      </c>
      <c r="B101" s="205">
        <v>902</v>
      </c>
      <c r="C101" s="207" t="s">
        <v>157</v>
      </c>
      <c r="D101" s="207" t="s">
        <v>179</v>
      </c>
      <c r="E101" s="209" t="s">
        <v>1027</v>
      </c>
      <c r="F101" s="207"/>
      <c r="G101" s="27">
        <f>G102</f>
        <v>20</v>
      </c>
      <c r="H101" s="27">
        <f aca="true" t="shared" si="47" ref="H101:H103">H102</f>
        <v>0</v>
      </c>
      <c r="I101" s="27">
        <f t="shared" si="38"/>
        <v>0</v>
      </c>
      <c r="J101" s="129"/>
    </row>
    <row r="102" spans="1:10" ht="31.5" customHeight="1">
      <c r="A102" s="117" t="s">
        <v>210</v>
      </c>
      <c r="B102" s="205">
        <v>902</v>
      </c>
      <c r="C102" s="207" t="s">
        <v>157</v>
      </c>
      <c r="D102" s="207" t="s">
        <v>179</v>
      </c>
      <c r="E102" s="208" t="s">
        <v>1031</v>
      </c>
      <c r="F102" s="207"/>
      <c r="G102" s="27">
        <f>G103</f>
        <v>20</v>
      </c>
      <c r="H102" s="27">
        <f t="shared" si="47"/>
        <v>0</v>
      </c>
      <c r="I102" s="27">
        <f t="shared" si="38"/>
        <v>0</v>
      </c>
      <c r="J102" s="129"/>
    </row>
    <row r="103" spans="1:10" ht="35.25" customHeight="1">
      <c r="A103" s="26" t="s">
        <v>170</v>
      </c>
      <c r="B103" s="205">
        <v>902</v>
      </c>
      <c r="C103" s="207" t="s">
        <v>157</v>
      </c>
      <c r="D103" s="207" t="s">
        <v>179</v>
      </c>
      <c r="E103" s="208" t="s">
        <v>1031</v>
      </c>
      <c r="F103" s="207" t="s">
        <v>171</v>
      </c>
      <c r="G103" s="27">
        <f>G104</f>
        <v>20</v>
      </c>
      <c r="H103" s="27">
        <f t="shared" si="47"/>
        <v>0</v>
      </c>
      <c r="I103" s="27">
        <f t="shared" si="38"/>
        <v>0</v>
      </c>
      <c r="J103" s="129"/>
    </row>
    <row r="104" spans="1:10" ht="33" customHeight="1">
      <c r="A104" s="26" t="s">
        <v>172</v>
      </c>
      <c r="B104" s="205">
        <v>902</v>
      </c>
      <c r="C104" s="207" t="s">
        <v>157</v>
      </c>
      <c r="D104" s="207" t="s">
        <v>179</v>
      </c>
      <c r="E104" s="208" t="s">
        <v>1031</v>
      </c>
      <c r="F104" s="207" t="s">
        <v>173</v>
      </c>
      <c r="G104" s="27">
        <v>20</v>
      </c>
      <c r="H104" s="27">
        <v>0</v>
      </c>
      <c r="I104" s="27">
        <f t="shared" si="38"/>
        <v>0</v>
      </c>
      <c r="J104" s="129"/>
    </row>
    <row r="105" spans="1:10" ht="15.75">
      <c r="A105" s="26" t="s">
        <v>160</v>
      </c>
      <c r="B105" s="205">
        <v>902</v>
      </c>
      <c r="C105" s="203" t="s">
        <v>157</v>
      </c>
      <c r="D105" s="203" t="s">
        <v>179</v>
      </c>
      <c r="E105" s="203" t="s">
        <v>161</v>
      </c>
      <c r="F105" s="203"/>
      <c r="G105" s="27">
        <f>G106+G133</f>
        <v>8807.8</v>
      </c>
      <c r="H105" s="27">
        <f aca="true" t="shared" si="48" ref="H105">H106+H133</f>
        <v>5708.8</v>
      </c>
      <c r="I105" s="27">
        <f t="shared" si="38"/>
        <v>64.81527736778764</v>
      </c>
      <c r="J105" s="129"/>
    </row>
    <row r="106" spans="1:10" ht="15.75">
      <c r="A106" s="26" t="s">
        <v>224</v>
      </c>
      <c r="B106" s="205">
        <v>902</v>
      </c>
      <c r="C106" s="203" t="s">
        <v>157</v>
      </c>
      <c r="D106" s="203" t="s">
        <v>179</v>
      </c>
      <c r="E106" s="203" t="s">
        <v>225</v>
      </c>
      <c r="F106" s="203"/>
      <c r="G106" s="27">
        <f>G112+G117+G123+G128+G107</f>
        <v>3195.2</v>
      </c>
      <c r="H106" s="27">
        <f aca="true" t="shared" si="49" ref="H106">H112+H117+H123+H128+H107</f>
        <v>1957</v>
      </c>
      <c r="I106" s="27">
        <f t="shared" si="38"/>
        <v>61.24812218327491</v>
      </c>
      <c r="J106" s="134"/>
    </row>
    <row r="107" spans="1:10" ht="47.25" customHeight="1" hidden="1">
      <c r="A107" s="26" t="s">
        <v>913</v>
      </c>
      <c r="B107" s="205">
        <v>902</v>
      </c>
      <c r="C107" s="203" t="s">
        <v>157</v>
      </c>
      <c r="D107" s="203" t="s">
        <v>179</v>
      </c>
      <c r="E107" s="203" t="s">
        <v>227</v>
      </c>
      <c r="F107" s="204"/>
      <c r="G107" s="27">
        <f>G108+G110</f>
        <v>0</v>
      </c>
      <c r="H107" s="27">
        <f aca="true" t="shared" si="50" ref="H107">H108+H110</f>
        <v>0</v>
      </c>
      <c r="I107" s="27" t="e">
        <f t="shared" si="38"/>
        <v>#DIV/0!</v>
      </c>
      <c r="J107" s="129"/>
    </row>
    <row r="108" spans="1:10" ht="94.5" customHeight="1" hidden="1">
      <c r="A108" s="26" t="s">
        <v>166</v>
      </c>
      <c r="B108" s="205">
        <v>902</v>
      </c>
      <c r="C108" s="203" t="s">
        <v>157</v>
      </c>
      <c r="D108" s="203" t="s">
        <v>179</v>
      </c>
      <c r="E108" s="203" t="s">
        <v>227</v>
      </c>
      <c r="F108" s="203" t="s">
        <v>167</v>
      </c>
      <c r="G108" s="27">
        <f>G109</f>
        <v>0</v>
      </c>
      <c r="H108" s="27">
        <f aca="true" t="shared" si="51" ref="H108">H109</f>
        <v>0</v>
      </c>
      <c r="I108" s="27" t="e">
        <f t="shared" si="38"/>
        <v>#DIV/0!</v>
      </c>
      <c r="J108" s="129"/>
    </row>
    <row r="109" spans="1:10" ht="31.5" customHeight="1" hidden="1">
      <c r="A109" s="26" t="s">
        <v>168</v>
      </c>
      <c r="B109" s="205">
        <v>902</v>
      </c>
      <c r="C109" s="203" t="s">
        <v>157</v>
      </c>
      <c r="D109" s="203" t="s">
        <v>179</v>
      </c>
      <c r="E109" s="203" t="s">
        <v>227</v>
      </c>
      <c r="F109" s="203" t="s">
        <v>169</v>
      </c>
      <c r="G109" s="27">
        <v>0</v>
      </c>
      <c r="H109" s="27">
        <v>0</v>
      </c>
      <c r="I109" s="27" t="e">
        <f t="shared" si="38"/>
        <v>#DIV/0!</v>
      </c>
      <c r="J109" s="129"/>
    </row>
    <row r="110" spans="1:10" ht="31.5" customHeight="1" hidden="1">
      <c r="A110" s="26" t="s">
        <v>170</v>
      </c>
      <c r="B110" s="205">
        <v>902</v>
      </c>
      <c r="C110" s="203" t="s">
        <v>157</v>
      </c>
      <c r="D110" s="203" t="s">
        <v>179</v>
      </c>
      <c r="E110" s="203" t="s">
        <v>227</v>
      </c>
      <c r="F110" s="203" t="s">
        <v>171</v>
      </c>
      <c r="G110" s="27">
        <f>G111</f>
        <v>0</v>
      </c>
      <c r="H110" s="27">
        <f aca="true" t="shared" si="52" ref="H110">H111</f>
        <v>0</v>
      </c>
      <c r="I110" s="27" t="e">
        <f t="shared" si="38"/>
        <v>#DIV/0!</v>
      </c>
      <c r="J110" s="129"/>
    </row>
    <row r="111" spans="1:10" ht="47.25" customHeight="1" hidden="1">
      <c r="A111" s="26" t="s">
        <v>172</v>
      </c>
      <c r="B111" s="205">
        <v>902</v>
      </c>
      <c r="C111" s="203" t="s">
        <v>157</v>
      </c>
      <c r="D111" s="203" t="s">
        <v>179</v>
      </c>
      <c r="E111" s="203" t="s">
        <v>227</v>
      </c>
      <c r="F111" s="203" t="s">
        <v>173</v>
      </c>
      <c r="G111" s="27">
        <v>0</v>
      </c>
      <c r="H111" s="27">
        <v>0</v>
      </c>
      <c r="I111" s="27" t="e">
        <f t="shared" si="38"/>
        <v>#DIV/0!</v>
      </c>
      <c r="J111" s="129"/>
    </row>
    <row r="112" spans="1:10" ht="47.25">
      <c r="A112" s="33" t="s">
        <v>228</v>
      </c>
      <c r="B112" s="205">
        <v>902</v>
      </c>
      <c r="C112" s="203" t="s">
        <v>157</v>
      </c>
      <c r="D112" s="203" t="s">
        <v>179</v>
      </c>
      <c r="E112" s="203" t="s">
        <v>229</v>
      </c>
      <c r="F112" s="203"/>
      <c r="G112" s="27">
        <f>G113+G115</f>
        <v>715.9</v>
      </c>
      <c r="H112" s="27">
        <f aca="true" t="shared" si="53" ref="H112">H113+H115</f>
        <v>639.5</v>
      </c>
      <c r="I112" s="27">
        <f t="shared" si="38"/>
        <v>89.32811845229782</v>
      </c>
      <c r="J112" s="129"/>
    </row>
    <row r="113" spans="1:10" ht="63">
      <c r="A113" s="26" t="s">
        <v>166</v>
      </c>
      <c r="B113" s="205">
        <v>902</v>
      </c>
      <c r="C113" s="203" t="s">
        <v>157</v>
      </c>
      <c r="D113" s="203" t="s">
        <v>179</v>
      </c>
      <c r="E113" s="203" t="s">
        <v>229</v>
      </c>
      <c r="F113" s="203" t="s">
        <v>167</v>
      </c>
      <c r="G113" s="27">
        <f>G114</f>
        <v>503.2</v>
      </c>
      <c r="H113" s="27">
        <f aca="true" t="shared" si="54" ref="H113">H114</f>
        <v>457.5</v>
      </c>
      <c r="I113" s="27">
        <f t="shared" si="38"/>
        <v>90.9181240063593</v>
      </c>
      <c r="J113" s="129"/>
    </row>
    <row r="114" spans="1:10" ht="31.5">
      <c r="A114" s="26" t="s">
        <v>168</v>
      </c>
      <c r="B114" s="205">
        <v>902</v>
      </c>
      <c r="C114" s="203" t="s">
        <v>157</v>
      </c>
      <c r="D114" s="203" t="s">
        <v>179</v>
      </c>
      <c r="E114" s="203" t="s">
        <v>229</v>
      </c>
      <c r="F114" s="203" t="s">
        <v>169</v>
      </c>
      <c r="G114" s="27">
        <f>715.9-223+10.3</f>
        <v>503.2</v>
      </c>
      <c r="H114" s="27">
        <v>457.5</v>
      </c>
      <c r="I114" s="27">
        <f t="shared" si="38"/>
        <v>90.9181240063593</v>
      </c>
      <c r="J114" s="129"/>
    </row>
    <row r="115" spans="1:10" ht="31.5">
      <c r="A115" s="26" t="s">
        <v>170</v>
      </c>
      <c r="B115" s="205">
        <v>902</v>
      </c>
      <c r="C115" s="203" t="s">
        <v>157</v>
      </c>
      <c r="D115" s="203" t="s">
        <v>179</v>
      </c>
      <c r="E115" s="203" t="s">
        <v>229</v>
      </c>
      <c r="F115" s="203" t="s">
        <v>171</v>
      </c>
      <c r="G115" s="27">
        <f>G116</f>
        <v>212.7</v>
      </c>
      <c r="H115" s="27">
        <f aca="true" t="shared" si="55" ref="H115">H116</f>
        <v>182</v>
      </c>
      <c r="I115" s="27">
        <f t="shared" si="38"/>
        <v>85.56652562294312</v>
      </c>
      <c r="J115" s="129"/>
    </row>
    <row r="116" spans="1:10" ht="31.5">
      <c r="A116" s="26" t="s">
        <v>172</v>
      </c>
      <c r="B116" s="205">
        <v>902</v>
      </c>
      <c r="C116" s="203" t="s">
        <v>157</v>
      </c>
      <c r="D116" s="203" t="s">
        <v>179</v>
      </c>
      <c r="E116" s="203" t="s">
        <v>229</v>
      </c>
      <c r="F116" s="203" t="s">
        <v>173</v>
      </c>
      <c r="G116" s="27">
        <f>223-20.7+20.7-10.3</f>
        <v>212.7</v>
      </c>
      <c r="H116" s="27">
        <v>182</v>
      </c>
      <c r="I116" s="27">
        <f t="shared" si="38"/>
        <v>85.56652562294312</v>
      </c>
      <c r="J116" s="129"/>
    </row>
    <row r="117" spans="1:10" ht="31.5">
      <c r="A117" s="35" t="s">
        <v>230</v>
      </c>
      <c r="B117" s="205">
        <v>902</v>
      </c>
      <c r="C117" s="203" t="s">
        <v>157</v>
      </c>
      <c r="D117" s="203" t="s">
        <v>179</v>
      </c>
      <c r="E117" s="203" t="s">
        <v>231</v>
      </c>
      <c r="F117" s="203"/>
      <c r="G117" s="27">
        <f>G118</f>
        <v>40</v>
      </c>
      <c r="H117" s="27">
        <f aca="true" t="shared" si="56" ref="H117:H118">H118</f>
        <v>0</v>
      </c>
      <c r="I117" s="27">
        <f t="shared" si="38"/>
        <v>0</v>
      </c>
      <c r="J117" s="129"/>
    </row>
    <row r="118" spans="1:10" ht="31.5">
      <c r="A118" s="26" t="s">
        <v>170</v>
      </c>
      <c r="B118" s="205">
        <v>902</v>
      </c>
      <c r="C118" s="203" t="s">
        <v>157</v>
      </c>
      <c r="D118" s="203" t="s">
        <v>179</v>
      </c>
      <c r="E118" s="203" t="s">
        <v>231</v>
      </c>
      <c r="F118" s="203" t="s">
        <v>171</v>
      </c>
      <c r="G118" s="27">
        <f>G119</f>
        <v>40</v>
      </c>
      <c r="H118" s="27">
        <f t="shared" si="56"/>
        <v>0</v>
      </c>
      <c r="I118" s="27">
        <f t="shared" si="38"/>
        <v>0</v>
      </c>
      <c r="J118" s="129"/>
    </row>
    <row r="119" spans="1:10" ht="31.5">
      <c r="A119" s="26" t="s">
        <v>172</v>
      </c>
      <c r="B119" s="205">
        <v>902</v>
      </c>
      <c r="C119" s="203" t="s">
        <v>157</v>
      </c>
      <c r="D119" s="203" t="s">
        <v>179</v>
      </c>
      <c r="E119" s="203" t="s">
        <v>231</v>
      </c>
      <c r="F119" s="203" t="s">
        <v>173</v>
      </c>
      <c r="G119" s="27">
        <v>40</v>
      </c>
      <c r="H119" s="27">
        <v>0</v>
      </c>
      <c r="I119" s="27">
        <f t="shared" si="38"/>
        <v>0</v>
      </c>
      <c r="J119" s="129"/>
    </row>
    <row r="120" spans="1:10" ht="31.5" customHeight="1" hidden="1">
      <c r="A120" s="33" t="s">
        <v>232</v>
      </c>
      <c r="B120" s="205">
        <v>902</v>
      </c>
      <c r="C120" s="203" t="s">
        <v>157</v>
      </c>
      <c r="D120" s="203" t="s">
        <v>179</v>
      </c>
      <c r="E120" s="203" t="s">
        <v>231</v>
      </c>
      <c r="F120" s="203"/>
      <c r="G120" s="27">
        <f>G121</f>
        <v>0</v>
      </c>
      <c r="H120" s="27">
        <f aca="true" t="shared" si="57" ref="H120:H121">H121</f>
        <v>0</v>
      </c>
      <c r="I120" s="27" t="e">
        <f t="shared" si="38"/>
        <v>#DIV/0!</v>
      </c>
      <c r="J120" s="129"/>
    </row>
    <row r="121" spans="1:10" ht="31.5" customHeight="1" hidden="1">
      <c r="A121" s="26" t="s">
        <v>170</v>
      </c>
      <c r="B121" s="205">
        <v>902</v>
      </c>
      <c r="C121" s="203" t="s">
        <v>157</v>
      </c>
      <c r="D121" s="203" t="s">
        <v>179</v>
      </c>
      <c r="E121" s="203" t="s">
        <v>231</v>
      </c>
      <c r="F121" s="203" t="s">
        <v>171</v>
      </c>
      <c r="G121" s="27">
        <f>G122</f>
        <v>0</v>
      </c>
      <c r="H121" s="27">
        <f t="shared" si="57"/>
        <v>0</v>
      </c>
      <c r="I121" s="27" t="e">
        <f t="shared" si="38"/>
        <v>#DIV/0!</v>
      </c>
      <c r="J121" s="129"/>
    </row>
    <row r="122" spans="1:10" ht="47.25" customHeight="1" hidden="1">
      <c r="A122" s="26" t="s">
        <v>172</v>
      </c>
      <c r="B122" s="205">
        <v>902</v>
      </c>
      <c r="C122" s="203" t="s">
        <v>157</v>
      </c>
      <c r="D122" s="203" t="s">
        <v>179</v>
      </c>
      <c r="E122" s="203" t="s">
        <v>231</v>
      </c>
      <c r="F122" s="203" t="s">
        <v>173</v>
      </c>
      <c r="G122" s="27">
        <v>0</v>
      </c>
      <c r="H122" s="27">
        <v>0</v>
      </c>
      <c r="I122" s="27" t="e">
        <f t="shared" si="38"/>
        <v>#DIV/0!</v>
      </c>
      <c r="J122" s="129"/>
    </row>
    <row r="123" spans="1:10" ht="47.25">
      <c r="A123" s="33" t="s">
        <v>233</v>
      </c>
      <c r="B123" s="205">
        <v>902</v>
      </c>
      <c r="C123" s="203" t="s">
        <v>157</v>
      </c>
      <c r="D123" s="203" t="s">
        <v>179</v>
      </c>
      <c r="E123" s="203" t="s">
        <v>234</v>
      </c>
      <c r="F123" s="203"/>
      <c r="G123" s="27">
        <f>G124+G126</f>
        <v>1333.1</v>
      </c>
      <c r="H123" s="27">
        <f aca="true" t="shared" si="58" ref="H123">H124+H126</f>
        <v>746.8</v>
      </c>
      <c r="I123" s="27">
        <f t="shared" si="38"/>
        <v>56.01980346560648</v>
      </c>
      <c r="J123" s="129"/>
    </row>
    <row r="124" spans="1:10" ht="63">
      <c r="A124" s="26" t="s">
        <v>166</v>
      </c>
      <c r="B124" s="205">
        <v>902</v>
      </c>
      <c r="C124" s="203" t="s">
        <v>157</v>
      </c>
      <c r="D124" s="203" t="s">
        <v>179</v>
      </c>
      <c r="E124" s="203" t="s">
        <v>234</v>
      </c>
      <c r="F124" s="203" t="s">
        <v>167</v>
      </c>
      <c r="G124" s="27">
        <f>G125</f>
        <v>1271.8999999999999</v>
      </c>
      <c r="H124" s="27">
        <f aca="true" t="shared" si="59" ref="H124">H125</f>
        <v>724.4</v>
      </c>
      <c r="I124" s="27">
        <f t="shared" si="38"/>
        <v>56.9541630631339</v>
      </c>
      <c r="J124" s="129"/>
    </row>
    <row r="125" spans="1:10" ht="31.5">
      <c r="A125" s="26" t="s">
        <v>168</v>
      </c>
      <c r="B125" s="205">
        <v>902</v>
      </c>
      <c r="C125" s="203" t="s">
        <v>157</v>
      </c>
      <c r="D125" s="203" t="s">
        <v>179</v>
      </c>
      <c r="E125" s="203" t="s">
        <v>234</v>
      </c>
      <c r="F125" s="203" t="s">
        <v>169</v>
      </c>
      <c r="G125" s="27">
        <f>1333.1-39.7-21.5</f>
        <v>1271.8999999999999</v>
      </c>
      <c r="H125" s="27">
        <v>724.4</v>
      </c>
      <c r="I125" s="27">
        <f t="shared" si="38"/>
        <v>56.9541630631339</v>
      </c>
      <c r="J125" s="129"/>
    </row>
    <row r="126" spans="1:10" ht="31.5">
      <c r="A126" s="26" t="s">
        <v>170</v>
      </c>
      <c r="B126" s="205">
        <v>902</v>
      </c>
      <c r="C126" s="203" t="s">
        <v>157</v>
      </c>
      <c r="D126" s="203" t="s">
        <v>179</v>
      </c>
      <c r="E126" s="203" t="s">
        <v>234</v>
      </c>
      <c r="F126" s="203" t="s">
        <v>171</v>
      </c>
      <c r="G126" s="27">
        <f>G127</f>
        <v>61.2</v>
      </c>
      <c r="H126" s="27">
        <f aca="true" t="shared" si="60" ref="H126">H127</f>
        <v>22.4</v>
      </c>
      <c r="I126" s="27">
        <f t="shared" si="38"/>
        <v>36.60130718954248</v>
      </c>
      <c r="J126" s="129"/>
    </row>
    <row r="127" spans="1:10" ht="31.5">
      <c r="A127" s="26" t="s">
        <v>172</v>
      </c>
      <c r="B127" s="205">
        <v>902</v>
      </c>
      <c r="C127" s="203" t="s">
        <v>157</v>
      </c>
      <c r="D127" s="203" t="s">
        <v>179</v>
      </c>
      <c r="E127" s="203" t="s">
        <v>234</v>
      </c>
      <c r="F127" s="203" t="s">
        <v>173</v>
      </c>
      <c r="G127" s="27">
        <f>156.9-116.5-0.7+21.5</f>
        <v>61.2</v>
      </c>
      <c r="H127" s="27">
        <v>22.4</v>
      </c>
      <c r="I127" s="27">
        <f t="shared" si="38"/>
        <v>36.60130718954248</v>
      </c>
      <c r="J127" s="129"/>
    </row>
    <row r="128" spans="1:10" ht="31.5">
      <c r="A128" s="33" t="s">
        <v>235</v>
      </c>
      <c r="B128" s="205">
        <v>902</v>
      </c>
      <c r="C128" s="203" t="s">
        <v>157</v>
      </c>
      <c r="D128" s="203" t="s">
        <v>179</v>
      </c>
      <c r="E128" s="203" t="s">
        <v>236</v>
      </c>
      <c r="F128" s="203"/>
      <c r="G128" s="27">
        <f>G129+G131</f>
        <v>1106.2</v>
      </c>
      <c r="H128" s="27">
        <f aca="true" t="shared" si="61" ref="H128">H129+H131</f>
        <v>570.7</v>
      </c>
      <c r="I128" s="27">
        <f t="shared" si="38"/>
        <v>51.59103236304466</v>
      </c>
      <c r="J128" s="129"/>
    </row>
    <row r="129" spans="1:10" ht="63">
      <c r="A129" s="26" t="s">
        <v>166</v>
      </c>
      <c r="B129" s="205">
        <v>902</v>
      </c>
      <c r="C129" s="203" t="s">
        <v>157</v>
      </c>
      <c r="D129" s="203" t="s">
        <v>179</v>
      </c>
      <c r="E129" s="203" t="s">
        <v>236</v>
      </c>
      <c r="F129" s="203" t="s">
        <v>167</v>
      </c>
      <c r="G129" s="27">
        <f>G130</f>
        <v>1043.2</v>
      </c>
      <c r="H129" s="27">
        <f aca="true" t="shared" si="62" ref="H129">H130</f>
        <v>562.7</v>
      </c>
      <c r="I129" s="27">
        <f t="shared" si="38"/>
        <v>53.939800613496935</v>
      </c>
      <c r="J129" s="129"/>
    </row>
    <row r="130" spans="1:10" ht="31.5">
      <c r="A130" s="26" t="s">
        <v>168</v>
      </c>
      <c r="B130" s="205">
        <v>902</v>
      </c>
      <c r="C130" s="203" t="s">
        <v>157</v>
      </c>
      <c r="D130" s="203" t="s">
        <v>179</v>
      </c>
      <c r="E130" s="203" t="s">
        <v>236</v>
      </c>
      <c r="F130" s="203" t="s">
        <v>169</v>
      </c>
      <c r="G130" s="27">
        <f>1537-463.9-47.6+17.7</f>
        <v>1043.2</v>
      </c>
      <c r="H130" s="27">
        <v>562.7</v>
      </c>
      <c r="I130" s="27">
        <f t="shared" si="38"/>
        <v>53.939800613496935</v>
      </c>
      <c r="J130" s="129"/>
    </row>
    <row r="131" spans="1:10" ht="31.5">
      <c r="A131" s="26" t="s">
        <v>237</v>
      </c>
      <c r="B131" s="205">
        <v>902</v>
      </c>
      <c r="C131" s="203" t="s">
        <v>157</v>
      </c>
      <c r="D131" s="203" t="s">
        <v>179</v>
      </c>
      <c r="E131" s="203" t="s">
        <v>236</v>
      </c>
      <c r="F131" s="203" t="s">
        <v>171</v>
      </c>
      <c r="G131" s="27">
        <f>G132</f>
        <v>63</v>
      </c>
      <c r="H131" s="27">
        <f aca="true" t="shared" si="63" ref="H131">H132</f>
        <v>8</v>
      </c>
      <c r="I131" s="27">
        <f t="shared" si="38"/>
        <v>12.698412698412698</v>
      </c>
      <c r="J131" s="129"/>
    </row>
    <row r="132" spans="1:10" ht="31.5">
      <c r="A132" s="26" t="s">
        <v>172</v>
      </c>
      <c r="B132" s="205">
        <v>902</v>
      </c>
      <c r="C132" s="203" t="s">
        <v>157</v>
      </c>
      <c r="D132" s="203" t="s">
        <v>179</v>
      </c>
      <c r="E132" s="203" t="s">
        <v>236</v>
      </c>
      <c r="F132" s="203" t="s">
        <v>173</v>
      </c>
      <c r="G132" s="27">
        <f>33.1+47.6-17.7</f>
        <v>63</v>
      </c>
      <c r="H132" s="27">
        <v>8</v>
      </c>
      <c r="I132" s="27">
        <f t="shared" si="38"/>
        <v>12.698412698412698</v>
      </c>
      <c r="J132" s="129"/>
    </row>
    <row r="133" spans="1:10" ht="15.75">
      <c r="A133" s="26" t="s">
        <v>180</v>
      </c>
      <c r="B133" s="205">
        <v>902</v>
      </c>
      <c r="C133" s="203" t="s">
        <v>157</v>
      </c>
      <c r="D133" s="203" t="s">
        <v>179</v>
      </c>
      <c r="E133" s="203" t="s">
        <v>181</v>
      </c>
      <c r="F133" s="203"/>
      <c r="G133" s="27">
        <f>G146+G151+G156</f>
        <v>5612.6</v>
      </c>
      <c r="H133" s="27">
        <f aca="true" t="shared" si="64" ref="H133">H146+H151+H156</f>
        <v>3751.8</v>
      </c>
      <c r="I133" s="27">
        <f t="shared" si="38"/>
        <v>66.84602501514449</v>
      </c>
      <c r="J133" s="129"/>
    </row>
    <row r="134" spans="1:10" ht="15.75" customHeight="1" hidden="1">
      <c r="A134" s="26" t="s">
        <v>238</v>
      </c>
      <c r="B134" s="205">
        <v>902</v>
      </c>
      <c r="C134" s="203" t="s">
        <v>157</v>
      </c>
      <c r="D134" s="203" t="s">
        <v>179</v>
      </c>
      <c r="E134" s="203" t="s">
        <v>239</v>
      </c>
      <c r="F134" s="203"/>
      <c r="G134" s="27">
        <f>G135</f>
        <v>0</v>
      </c>
      <c r="H134" s="27">
        <f aca="true" t="shared" si="65" ref="H134:H135">H135</f>
        <v>0</v>
      </c>
      <c r="I134" s="27" t="e">
        <f t="shared" si="38"/>
        <v>#DIV/0!</v>
      </c>
      <c r="J134" s="129"/>
    </row>
    <row r="135" spans="1:10" ht="33" customHeight="1" hidden="1">
      <c r="A135" s="26" t="s">
        <v>237</v>
      </c>
      <c r="B135" s="205">
        <v>902</v>
      </c>
      <c r="C135" s="203" t="s">
        <v>157</v>
      </c>
      <c r="D135" s="203" t="s">
        <v>179</v>
      </c>
      <c r="E135" s="203" t="s">
        <v>239</v>
      </c>
      <c r="F135" s="203" t="s">
        <v>171</v>
      </c>
      <c r="G135" s="27">
        <f>G136</f>
        <v>0</v>
      </c>
      <c r="H135" s="27">
        <f t="shared" si="65"/>
        <v>0</v>
      </c>
      <c r="I135" s="27" t="e">
        <f t="shared" si="38"/>
        <v>#DIV/0!</v>
      </c>
      <c r="J135" s="129"/>
    </row>
    <row r="136" spans="1:10" ht="47.25" customHeight="1" hidden="1">
      <c r="A136" s="26" t="s">
        <v>172</v>
      </c>
      <c r="B136" s="205">
        <v>902</v>
      </c>
      <c r="C136" s="203" t="s">
        <v>157</v>
      </c>
      <c r="D136" s="203" t="s">
        <v>179</v>
      </c>
      <c r="E136" s="203" t="s">
        <v>239</v>
      </c>
      <c r="F136" s="203" t="s">
        <v>173</v>
      </c>
      <c r="G136" s="27">
        <v>0</v>
      </c>
      <c r="H136" s="27">
        <v>0</v>
      </c>
      <c r="I136" s="27" t="e">
        <f t="shared" si="38"/>
        <v>#DIV/0!</v>
      </c>
      <c r="J136" s="129"/>
    </row>
    <row r="137" spans="1:10" ht="15.75" customHeight="1" hidden="1">
      <c r="A137" s="26" t="s">
        <v>240</v>
      </c>
      <c r="B137" s="205">
        <v>902</v>
      </c>
      <c r="C137" s="203" t="s">
        <v>157</v>
      </c>
      <c r="D137" s="203" t="s">
        <v>179</v>
      </c>
      <c r="E137" s="203" t="s">
        <v>241</v>
      </c>
      <c r="F137" s="204"/>
      <c r="G137" s="27">
        <f>G138</f>
        <v>0</v>
      </c>
      <c r="H137" s="27">
        <f aca="true" t="shared" si="66" ref="H137:H138">H138</f>
        <v>0</v>
      </c>
      <c r="I137" s="27" t="e">
        <f t="shared" si="38"/>
        <v>#DIV/0!</v>
      </c>
      <c r="J137" s="129"/>
    </row>
    <row r="138" spans="1:10" ht="47.25" customHeight="1" hidden="1">
      <c r="A138" s="26" t="s">
        <v>237</v>
      </c>
      <c r="B138" s="205">
        <v>902</v>
      </c>
      <c r="C138" s="203" t="s">
        <v>157</v>
      </c>
      <c r="D138" s="203" t="s">
        <v>179</v>
      </c>
      <c r="E138" s="203" t="s">
        <v>241</v>
      </c>
      <c r="F138" s="203" t="s">
        <v>171</v>
      </c>
      <c r="G138" s="27">
        <f>G139</f>
        <v>0</v>
      </c>
      <c r="H138" s="27">
        <f t="shared" si="66"/>
        <v>0</v>
      </c>
      <c r="I138" s="27" t="e">
        <f t="shared" si="38"/>
        <v>#DIV/0!</v>
      </c>
      <c r="J138" s="129"/>
    </row>
    <row r="139" spans="1:10" ht="47.25" customHeight="1" hidden="1">
      <c r="A139" s="26" t="s">
        <v>172</v>
      </c>
      <c r="B139" s="205">
        <v>902</v>
      </c>
      <c r="C139" s="203" t="s">
        <v>157</v>
      </c>
      <c r="D139" s="203" t="s">
        <v>179</v>
      </c>
      <c r="E139" s="203" t="s">
        <v>241</v>
      </c>
      <c r="F139" s="203" t="s">
        <v>173</v>
      </c>
      <c r="G139" s="27">
        <v>0</v>
      </c>
      <c r="H139" s="27">
        <v>0</v>
      </c>
      <c r="I139" s="27" t="e">
        <f aca="true" t="shared" si="67" ref="I139:I202">H139/G139*100</f>
        <v>#DIV/0!</v>
      </c>
      <c r="J139" s="129"/>
    </row>
    <row r="140" spans="1:10" ht="31.5" customHeight="1" hidden="1">
      <c r="A140" s="26" t="s">
        <v>242</v>
      </c>
      <c r="B140" s="205">
        <v>902</v>
      </c>
      <c r="C140" s="203" t="s">
        <v>157</v>
      </c>
      <c r="D140" s="203" t="s">
        <v>179</v>
      </c>
      <c r="E140" s="203" t="s">
        <v>243</v>
      </c>
      <c r="F140" s="203"/>
      <c r="G140" s="27">
        <f>G141</f>
        <v>0</v>
      </c>
      <c r="H140" s="27">
        <f aca="true" t="shared" si="68" ref="H140:H141">H141</f>
        <v>0</v>
      </c>
      <c r="I140" s="27" t="e">
        <f t="shared" si="67"/>
        <v>#DIV/0!</v>
      </c>
      <c r="J140" s="129"/>
    </row>
    <row r="141" spans="1:10" ht="47.25" customHeight="1" hidden="1">
      <c r="A141" s="26" t="s">
        <v>237</v>
      </c>
      <c r="B141" s="205">
        <v>902</v>
      </c>
      <c r="C141" s="203" t="s">
        <v>157</v>
      </c>
      <c r="D141" s="203" t="s">
        <v>179</v>
      </c>
      <c r="E141" s="203" t="s">
        <v>243</v>
      </c>
      <c r="F141" s="203" t="s">
        <v>171</v>
      </c>
      <c r="G141" s="27">
        <f>G142</f>
        <v>0</v>
      </c>
      <c r="H141" s="27">
        <f t="shared" si="68"/>
        <v>0</v>
      </c>
      <c r="I141" s="27" t="e">
        <f t="shared" si="67"/>
        <v>#DIV/0!</v>
      </c>
      <c r="J141" s="129"/>
    </row>
    <row r="142" spans="1:10" ht="47.25" customHeight="1" hidden="1">
      <c r="A142" s="26" t="s">
        <v>172</v>
      </c>
      <c r="B142" s="205">
        <v>902</v>
      </c>
      <c r="C142" s="203" t="s">
        <v>157</v>
      </c>
      <c r="D142" s="203" t="s">
        <v>179</v>
      </c>
      <c r="E142" s="203" t="s">
        <v>243</v>
      </c>
      <c r="F142" s="203" t="s">
        <v>173</v>
      </c>
      <c r="G142" s="27">
        <v>0</v>
      </c>
      <c r="H142" s="27">
        <v>0</v>
      </c>
      <c r="I142" s="27" t="e">
        <f t="shared" si="67"/>
        <v>#DIV/0!</v>
      </c>
      <c r="J142" s="129"/>
    </row>
    <row r="143" spans="1:10" ht="15.75" customHeight="1" hidden="1">
      <c r="A143" s="26" t="s">
        <v>218</v>
      </c>
      <c r="B143" s="205">
        <v>902</v>
      </c>
      <c r="C143" s="203" t="s">
        <v>157</v>
      </c>
      <c r="D143" s="203" t="s">
        <v>179</v>
      </c>
      <c r="E143" s="203" t="s">
        <v>244</v>
      </c>
      <c r="F143" s="203"/>
      <c r="G143" s="27">
        <f>G144</f>
        <v>0</v>
      </c>
      <c r="H143" s="27">
        <f aca="true" t="shared" si="69" ref="H143:H144">H144</f>
        <v>0</v>
      </c>
      <c r="I143" s="27" t="e">
        <f t="shared" si="67"/>
        <v>#DIV/0!</v>
      </c>
      <c r="J143" s="129"/>
    </row>
    <row r="144" spans="1:10" ht="47.25" customHeight="1" hidden="1">
      <c r="A144" s="26" t="s">
        <v>237</v>
      </c>
      <c r="B144" s="205">
        <v>902</v>
      </c>
      <c r="C144" s="203" t="s">
        <v>157</v>
      </c>
      <c r="D144" s="203" t="s">
        <v>179</v>
      </c>
      <c r="E144" s="203" t="s">
        <v>244</v>
      </c>
      <c r="F144" s="203" t="s">
        <v>171</v>
      </c>
      <c r="G144" s="27">
        <f>G145</f>
        <v>0</v>
      </c>
      <c r="H144" s="27">
        <f t="shared" si="69"/>
        <v>0</v>
      </c>
      <c r="I144" s="27" t="e">
        <f t="shared" si="67"/>
        <v>#DIV/0!</v>
      </c>
      <c r="J144" s="129"/>
    </row>
    <row r="145" spans="1:10" ht="47.25" customHeight="1" hidden="1">
      <c r="A145" s="26" t="s">
        <v>172</v>
      </c>
      <c r="B145" s="205">
        <v>902</v>
      </c>
      <c r="C145" s="203" t="s">
        <v>157</v>
      </c>
      <c r="D145" s="203" t="s">
        <v>179</v>
      </c>
      <c r="E145" s="203" t="s">
        <v>244</v>
      </c>
      <c r="F145" s="203" t="s">
        <v>173</v>
      </c>
      <c r="G145" s="27">
        <v>0</v>
      </c>
      <c r="H145" s="27">
        <v>0</v>
      </c>
      <c r="I145" s="27" t="e">
        <f t="shared" si="67"/>
        <v>#DIV/0!</v>
      </c>
      <c r="J145" s="129"/>
    </row>
    <row r="146" spans="1:10" ht="21" customHeight="1">
      <c r="A146" s="26" t="s">
        <v>245</v>
      </c>
      <c r="B146" s="205">
        <v>902</v>
      </c>
      <c r="C146" s="203" t="s">
        <v>157</v>
      </c>
      <c r="D146" s="203" t="s">
        <v>179</v>
      </c>
      <c r="E146" s="203" t="s">
        <v>246</v>
      </c>
      <c r="F146" s="203"/>
      <c r="G146" s="27">
        <f>G147+G149</f>
        <v>5612.6</v>
      </c>
      <c r="H146" s="27">
        <f aca="true" t="shared" si="70" ref="H146">H147+H149</f>
        <v>3751.8</v>
      </c>
      <c r="I146" s="27">
        <f t="shared" si="67"/>
        <v>66.84602501514449</v>
      </c>
      <c r="J146" s="129"/>
    </row>
    <row r="147" spans="1:10" ht="63">
      <c r="A147" s="26" t="s">
        <v>166</v>
      </c>
      <c r="B147" s="205">
        <v>902</v>
      </c>
      <c r="C147" s="203" t="s">
        <v>157</v>
      </c>
      <c r="D147" s="203" t="s">
        <v>179</v>
      </c>
      <c r="E147" s="203" t="s">
        <v>246</v>
      </c>
      <c r="F147" s="203" t="s">
        <v>167</v>
      </c>
      <c r="G147" s="27">
        <f>G148</f>
        <v>4401.6</v>
      </c>
      <c r="H147" s="27">
        <f aca="true" t="shared" si="71" ref="H147">H148</f>
        <v>3016.5</v>
      </c>
      <c r="I147" s="27">
        <f t="shared" si="67"/>
        <v>68.53189749182114</v>
      </c>
      <c r="J147" s="129"/>
    </row>
    <row r="148" spans="1:10" ht="15.75">
      <c r="A148" s="26" t="s">
        <v>247</v>
      </c>
      <c r="B148" s="205">
        <v>902</v>
      </c>
      <c r="C148" s="203" t="s">
        <v>157</v>
      </c>
      <c r="D148" s="203" t="s">
        <v>179</v>
      </c>
      <c r="E148" s="203" t="s">
        <v>246</v>
      </c>
      <c r="F148" s="203" t="s">
        <v>248</v>
      </c>
      <c r="G148" s="28">
        <f>5183-256.4-735.3+210.3</f>
        <v>4401.6</v>
      </c>
      <c r="H148" s="28">
        <v>3016.5</v>
      </c>
      <c r="I148" s="27">
        <f t="shared" si="67"/>
        <v>68.53189749182114</v>
      </c>
      <c r="J148" s="129"/>
    </row>
    <row r="149" spans="1:10" ht="32.25" customHeight="1">
      <c r="A149" s="26" t="s">
        <v>237</v>
      </c>
      <c r="B149" s="205">
        <v>902</v>
      </c>
      <c r="C149" s="203" t="s">
        <v>157</v>
      </c>
      <c r="D149" s="203" t="s">
        <v>179</v>
      </c>
      <c r="E149" s="203" t="s">
        <v>246</v>
      </c>
      <c r="F149" s="203" t="s">
        <v>171</v>
      </c>
      <c r="G149" s="27">
        <f>G150</f>
        <v>1211</v>
      </c>
      <c r="H149" s="27">
        <f aca="true" t="shared" si="72" ref="H149">H150</f>
        <v>735.3</v>
      </c>
      <c r="I149" s="27">
        <f t="shared" si="67"/>
        <v>60.71841453344343</v>
      </c>
      <c r="J149" s="129"/>
    </row>
    <row r="150" spans="1:10" ht="31.5">
      <c r="A150" s="26" t="s">
        <v>172</v>
      </c>
      <c r="B150" s="205">
        <v>902</v>
      </c>
      <c r="C150" s="203" t="s">
        <v>157</v>
      </c>
      <c r="D150" s="203" t="s">
        <v>179</v>
      </c>
      <c r="E150" s="203" t="s">
        <v>246</v>
      </c>
      <c r="F150" s="203" t="s">
        <v>173</v>
      </c>
      <c r="G150" s="28">
        <f>1174.7+113.8-77.5</f>
        <v>1211</v>
      </c>
      <c r="H150" s="28">
        <v>735.3</v>
      </c>
      <c r="I150" s="27">
        <f t="shared" si="67"/>
        <v>60.71841453344343</v>
      </c>
      <c r="J150" s="129"/>
    </row>
    <row r="151" spans="1:10" ht="31.5" hidden="1">
      <c r="A151" s="26" t="s">
        <v>249</v>
      </c>
      <c r="B151" s="205">
        <v>902</v>
      </c>
      <c r="C151" s="203" t="s">
        <v>157</v>
      </c>
      <c r="D151" s="203" t="s">
        <v>179</v>
      </c>
      <c r="E151" s="203" t="s">
        <v>250</v>
      </c>
      <c r="F151" s="203"/>
      <c r="G151" s="27">
        <f>G152+G154</f>
        <v>0</v>
      </c>
      <c r="H151" s="27">
        <f aca="true" t="shared" si="73" ref="H151">H152+H154</f>
        <v>0</v>
      </c>
      <c r="I151" s="27" t="e">
        <f t="shared" si="67"/>
        <v>#DIV/0!</v>
      </c>
      <c r="J151" s="129"/>
    </row>
    <row r="152" spans="1:10" ht="63" hidden="1">
      <c r="A152" s="26" t="s">
        <v>166</v>
      </c>
      <c r="B152" s="205">
        <v>902</v>
      </c>
      <c r="C152" s="203" t="s">
        <v>157</v>
      </c>
      <c r="D152" s="203" t="s">
        <v>179</v>
      </c>
      <c r="E152" s="203" t="s">
        <v>250</v>
      </c>
      <c r="F152" s="203" t="s">
        <v>167</v>
      </c>
      <c r="G152" s="27">
        <f>G153</f>
        <v>0</v>
      </c>
      <c r="H152" s="27">
        <f aca="true" t="shared" si="74" ref="H152">H153</f>
        <v>0</v>
      </c>
      <c r="I152" s="27" t="e">
        <f t="shared" si="67"/>
        <v>#DIV/0!</v>
      </c>
      <c r="J152" s="129"/>
    </row>
    <row r="153" spans="1:10" ht="31.5" hidden="1">
      <c r="A153" s="26" t="s">
        <v>168</v>
      </c>
      <c r="B153" s="205">
        <v>902</v>
      </c>
      <c r="C153" s="203" t="s">
        <v>157</v>
      </c>
      <c r="D153" s="203" t="s">
        <v>179</v>
      </c>
      <c r="E153" s="203" t="s">
        <v>250</v>
      </c>
      <c r="F153" s="203" t="s">
        <v>169</v>
      </c>
      <c r="G153" s="28"/>
      <c r="H153" s="28"/>
      <c r="I153" s="27" t="e">
        <f t="shared" si="67"/>
        <v>#DIV/0!</v>
      </c>
      <c r="J153" s="129"/>
    </row>
    <row r="154" spans="1:10" ht="31.5" hidden="1">
      <c r="A154" s="26" t="s">
        <v>237</v>
      </c>
      <c r="B154" s="205">
        <v>902</v>
      </c>
      <c r="C154" s="203" t="s">
        <v>157</v>
      </c>
      <c r="D154" s="203" t="s">
        <v>179</v>
      </c>
      <c r="E154" s="203" t="s">
        <v>250</v>
      </c>
      <c r="F154" s="203" t="s">
        <v>171</v>
      </c>
      <c r="G154" s="27">
        <f>G155</f>
        <v>0</v>
      </c>
      <c r="H154" s="27">
        <f aca="true" t="shared" si="75" ref="H154">H155</f>
        <v>0</v>
      </c>
      <c r="I154" s="27" t="e">
        <f t="shared" si="67"/>
        <v>#DIV/0!</v>
      </c>
      <c r="J154" s="129"/>
    </row>
    <row r="155" spans="1:10" ht="31.5" hidden="1">
      <c r="A155" s="26" t="s">
        <v>172</v>
      </c>
      <c r="B155" s="205">
        <v>902</v>
      </c>
      <c r="C155" s="203" t="s">
        <v>157</v>
      </c>
      <c r="D155" s="203" t="s">
        <v>179</v>
      </c>
      <c r="E155" s="203" t="s">
        <v>250</v>
      </c>
      <c r="F155" s="203" t="s">
        <v>173</v>
      </c>
      <c r="G155" s="27"/>
      <c r="H155" s="27"/>
      <c r="I155" s="27" t="e">
        <f t="shared" si="67"/>
        <v>#DIV/0!</v>
      </c>
      <c r="J155" s="129"/>
    </row>
    <row r="156" spans="1:10" ht="15.75" hidden="1">
      <c r="A156" s="47" t="s">
        <v>182</v>
      </c>
      <c r="B156" s="205">
        <v>902</v>
      </c>
      <c r="C156" s="203" t="s">
        <v>157</v>
      </c>
      <c r="D156" s="203" t="s">
        <v>179</v>
      </c>
      <c r="E156" s="203" t="s">
        <v>183</v>
      </c>
      <c r="F156" s="203"/>
      <c r="G156" s="27">
        <f>G157</f>
        <v>0</v>
      </c>
      <c r="H156" s="27">
        <f aca="true" t="shared" si="76" ref="H156:H157">H157</f>
        <v>0</v>
      </c>
      <c r="I156" s="27" t="e">
        <f t="shared" si="67"/>
        <v>#DIV/0!</v>
      </c>
      <c r="J156" s="129"/>
    </row>
    <row r="157" spans="1:10" ht="15.75" hidden="1">
      <c r="A157" s="26" t="s">
        <v>174</v>
      </c>
      <c r="B157" s="205">
        <v>902</v>
      </c>
      <c r="C157" s="203" t="s">
        <v>157</v>
      </c>
      <c r="D157" s="203" t="s">
        <v>179</v>
      </c>
      <c r="E157" s="203" t="s">
        <v>183</v>
      </c>
      <c r="F157" s="203" t="s">
        <v>184</v>
      </c>
      <c r="G157" s="27">
        <f>G158</f>
        <v>0</v>
      </c>
      <c r="H157" s="27">
        <f t="shared" si="76"/>
        <v>0</v>
      </c>
      <c r="I157" s="27" t="e">
        <f t="shared" si="67"/>
        <v>#DIV/0!</v>
      </c>
      <c r="J157" s="129"/>
    </row>
    <row r="158" spans="1:10" ht="15.75" hidden="1">
      <c r="A158" s="26" t="s">
        <v>185</v>
      </c>
      <c r="B158" s="205">
        <v>902</v>
      </c>
      <c r="C158" s="203" t="s">
        <v>157</v>
      </c>
      <c r="D158" s="203" t="s">
        <v>179</v>
      </c>
      <c r="E158" s="203" t="s">
        <v>183</v>
      </c>
      <c r="F158" s="203" t="s">
        <v>186</v>
      </c>
      <c r="G158" s="27">
        <v>0</v>
      </c>
      <c r="H158" s="27">
        <v>0</v>
      </c>
      <c r="I158" s="27" t="e">
        <f t="shared" si="67"/>
        <v>#DIV/0!</v>
      </c>
      <c r="J158" s="129"/>
    </row>
    <row r="159" spans="1:10" ht="15.75" customHeight="1" hidden="1">
      <c r="A159" s="24" t="s">
        <v>251</v>
      </c>
      <c r="B159" s="202">
        <v>902</v>
      </c>
      <c r="C159" s="204" t="s">
        <v>252</v>
      </c>
      <c r="D159" s="204"/>
      <c r="E159" s="204"/>
      <c r="F159" s="204"/>
      <c r="G159" s="22">
        <f aca="true" t="shared" si="77" ref="G159:H164">G160</f>
        <v>0</v>
      </c>
      <c r="H159" s="22">
        <f t="shared" si="77"/>
        <v>0</v>
      </c>
      <c r="I159" s="27" t="e">
        <f t="shared" si="67"/>
        <v>#DIV/0!</v>
      </c>
      <c r="J159" s="129"/>
    </row>
    <row r="160" spans="1:10" ht="31.5" customHeight="1" hidden="1">
      <c r="A160" s="24" t="s">
        <v>257</v>
      </c>
      <c r="B160" s="202">
        <v>902</v>
      </c>
      <c r="C160" s="204" t="s">
        <v>252</v>
      </c>
      <c r="D160" s="204" t="s">
        <v>258</v>
      </c>
      <c r="E160" s="204"/>
      <c r="F160" s="204"/>
      <c r="G160" s="22">
        <f t="shared" si="77"/>
        <v>0</v>
      </c>
      <c r="H160" s="22">
        <f t="shared" si="77"/>
        <v>0</v>
      </c>
      <c r="I160" s="27" t="e">
        <f t="shared" si="67"/>
        <v>#DIV/0!</v>
      </c>
      <c r="J160" s="129"/>
    </row>
    <row r="161" spans="1:10" ht="15.75" customHeight="1" hidden="1">
      <c r="A161" s="26" t="s">
        <v>160</v>
      </c>
      <c r="B161" s="205">
        <v>902</v>
      </c>
      <c r="C161" s="203" t="s">
        <v>252</v>
      </c>
      <c r="D161" s="203" t="s">
        <v>258</v>
      </c>
      <c r="E161" s="203" t="s">
        <v>161</v>
      </c>
      <c r="F161" s="203"/>
      <c r="G161" s="27">
        <f t="shared" si="77"/>
        <v>0</v>
      </c>
      <c r="H161" s="27">
        <f t="shared" si="77"/>
        <v>0</v>
      </c>
      <c r="I161" s="27" t="e">
        <f t="shared" si="67"/>
        <v>#DIV/0!</v>
      </c>
      <c r="J161" s="129"/>
    </row>
    <row r="162" spans="1:10" ht="21.75" customHeight="1" hidden="1">
      <c r="A162" s="26" t="s">
        <v>180</v>
      </c>
      <c r="B162" s="205">
        <v>902</v>
      </c>
      <c r="C162" s="203" t="s">
        <v>252</v>
      </c>
      <c r="D162" s="203" t="s">
        <v>254</v>
      </c>
      <c r="E162" s="203" t="s">
        <v>181</v>
      </c>
      <c r="F162" s="203"/>
      <c r="G162" s="27">
        <f t="shared" si="77"/>
        <v>0</v>
      </c>
      <c r="H162" s="27">
        <f t="shared" si="77"/>
        <v>0</v>
      </c>
      <c r="I162" s="27" t="e">
        <f t="shared" si="67"/>
        <v>#DIV/0!</v>
      </c>
      <c r="J162" s="129"/>
    </row>
    <row r="163" spans="1:10" ht="15.75" customHeight="1" hidden="1">
      <c r="A163" s="26" t="s">
        <v>259</v>
      </c>
      <c r="B163" s="205">
        <v>902</v>
      </c>
      <c r="C163" s="203" t="s">
        <v>252</v>
      </c>
      <c r="D163" s="203" t="s">
        <v>258</v>
      </c>
      <c r="E163" s="203" t="s">
        <v>260</v>
      </c>
      <c r="F163" s="203"/>
      <c r="G163" s="27">
        <f t="shared" si="77"/>
        <v>0</v>
      </c>
      <c r="H163" s="27">
        <f t="shared" si="77"/>
        <v>0</v>
      </c>
      <c r="I163" s="27" t="e">
        <f t="shared" si="67"/>
        <v>#DIV/0!</v>
      </c>
      <c r="J163" s="129"/>
    </row>
    <row r="164" spans="1:10" ht="33.75" customHeight="1" hidden="1">
      <c r="A164" s="26" t="s">
        <v>237</v>
      </c>
      <c r="B164" s="205">
        <v>902</v>
      </c>
      <c r="C164" s="203" t="s">
        <v>252</v>
      </c>
      <c r="D164" s="203" t="s">
        <v>258</v>
      </c>
      <c r="E164" s="203" t="s">
        <v>260</v>
      </c>
      <c r="F164" s="203" t="s">
        <v>171</v>
      </c>
      <c r="G164" s="27">
        <f t="shared" si="77"/>
        <v>0</v>
      </c>
      <c r="H164" s="27">
        <f t="shared" si="77"/>
        <v>0</v>
      </c>
      <c r="I164" s="27" t="e">
        <f t="shared" si="67"/>
        <v>#DIV/0!</v>
      </c>
      <c r="J164" s="129"/>
    </row>
    <row r="165" spans="1:10" ht="59.25" customHeight="1" hidden="1">
      <c r="A165" s="26" t="s">
        <v>172</v>
      </c>
      <c r="B165" s="205">
        <v>902</v>
      </c>
      <c r="C165" s="203" t="s">
        <v>252</v>
      </c>
      <c r="D165" s="203" t="s">
        <v>258</v>
      </c>
      <c r="E165" s="203" t="s">
        <v>260</v>
      </c>
      <c r="F165" s="203" t="s">
        <v>173</v>
      </c>
      <c r="G165" s="28">
        <v>0</v>
      </c>
      <c r="H165" s="28">
        <v>0</v>
      </c>
      <c r="I165" s="27" t="e">
        <f t="shared" si="67"/>
        <v>#DIV/0!</v>
      </c>
      <c r="J165" s="129"/>
    </row>
    <row r="166" spans="1:10" ht="59.25" customHeight="1">
      <c r="A166" s="31" t="s">
        <v>1029</v>
      </c>
      <c r="B166" s="205">
        <v>902</v>
      </c>
      <c r="C166" s="207" t="s">
        <v>157</v>
      </c>
      <c r="D166" s="207" t="s">
        <v>179</v>
      </c>
      <c r="E166" s="208" t="s">
        <v>1028</v>
      </c>
      <c r="F166" s="207"/>
      <c r="G166" s="27">
        <f>G167</f>
        <v>60</v>
      </c>
      <c r="H166" s="27">
        <f aca="true" t="shared" si="78" ref="H166:H168">H167</f>
        <v>5</v>
      </c>
      <c r="I166" s="27">
        <f t="shared" si="67"/>
        <v>8.333333333333332</v>
      </c>
      <c r="J166" s="289"/>
    </row>
    <row r="167" spans="1:10" ht="21" customHeight="1">
      <c r="A167" s="47" t="s">
        <v>1042</v>
      </c>
      <c r="B167" s="205">
        <v>902</v>
      </c>
      <c r="C167" s="207" t="s">
        <v>157</v>
      </c>
      <c r="D167" s="207" t="s">
        <v>179</v>
      </c>
      <c r="E167" s="208" t="s">
        <v>1032</v>
      </c>
      <c r="F167" s="207"/>
      <c r="G167" s="27">
        <f>G168</f>
        <v>60</v>
      </c>
      <c r="H167" s="27">
        <f t="shared" si="78"/>
        <v>5</v>
      </c>
      <c r="I167" s="27">
        <f t="shared" si="67"/>
        <v>8.333333333333332</v>
      </c>
      <c r="J167" s="129"/>
    </row>
    <row r="168" spans="1:10" ht="38.25" customHeight="1">
      <c r="A168" s="26" t="s">
        <v>170</v>
      </c>
      <c r="B168" s="205">
        <v>902</v>
      </c>
      <c r="C168" s="207" t="s">
        <v>157</v>
      </c>
      <c r="D168" s="207" t="s">
        <v>179</v>
      </c>
      <c r="E168" s="208" t="s">
        <v>1032</v>
      </c>
      <c r="F168" s="207" t="s">
        <v>171</v>
      </c>
      <c r="G168" s="27">
        <f>G169</f>
        <v>60</v>
      </c>
      <c r="H168" s="27">
        <f t="shared" si="78"/>
        <v>5</v>
      </c>
      <c r="I168" s="27">
        <f t="shared" si="67"/>
        <v>8.333333333333332</v>
      </c>
      <c r="J168" s="129"/>
    </row>
    <row r="169" spans="1:10" ht="36.75" customHeight="1">
      <c r="A169" s="26" t="s">
        <v>172</v>
      </c>
      <c r="B169" s="205">
        <v>902</v>
      </c>
      <c r="C169" s="207" t="s">
        <v>157</v>
      </c>
      <c r="D169" s="207" t="s">
        <v>179</v>
      </c>
      <c r="E169" s="208" t="s">
        <v>1032</v>
      </c>
      <c r="F169" s="207" t="s">
        <v>173</v>
      </c>
      <c r="G169" s="27">
        <v>60</v>
      </c>
      <c r="H169" s="27">
        <v>5</v>
      </c>
      <c r="I169" s="27">
        <f t="shared" si="67"/>
        <v>8.333333333333332</v>
      </c>
      <c r="J169" s="129"/>
    </row>
    <row r="170" spans="1:10" ht="31.5">
      <c r="A170" s="24" t="s">
        <v>261</v>
      </c>
      <c r="B170" s="202">
        <v>902</v>
      </c>
      <c r="C170" s="204" t="s">
        <v>254</v>
      </c>
      <c r="D170" s="204"/>
      <c r="E170" s="204"/>
      <c r="F170" s="204"/>
      <c r="G170" s="22">
        <f>G171</f>
        <v>8526.2</v>
      </c>
      <c r="H170" s="22">
        <f aca="true" t="shared" si="79" ref="H170:H172">H171</f>
        <v>5612.200000000001</v>
      </c>
      <c r="I170" s="22">
        <f t="shared" si="67"/>
        <v>65.82299265792498</v>
      </c>
      <c r="J170" s="129"/>
    </row>
    <row r="171" spans="1:10" ht="47.25">
      <c r="A171" s="24" t="s">
        <v>262</v>
      </c>
      <c r="B171" s="202">
        <v>902</v>
      </c>
      <c r="C171" s="204" t="s">
        <v>254</v>
      </c>
      <c r="D171" s="204" t="s">
        <v>258</v>
      </c>
      <c r="E171" s="203"/>
      <c r="F171" s="203"/>
      <c r="G171" s="22">
        <f>G172</f>
        <v>8526.2</v>
      </c>
      <c r="H171" s="22">
        <f t="shared" si="79"/>
        <v>5612.200000000001</v>
      </c>
      <c r="I171" s="22">
        <f t="shared" si="67"/>
        <v>65.82299265792498</v>
      </c>
      <c r="J171" s="129"/>
    </row>
    <row r="172" spans="1:10" ht="15.75">
      <c r="A172" s="26" t="s">
        <v>160</v>
      </c>
      <c r="B172" s="205">
        <v>902</v>
      </c>
      <c r="C172" s="203" t="s">
        <v>254</v>
      </c>
      <c r="D172" s="203" t="s">
        <v>258</v>
      </c>
      <c r="E172" s="203" t="s">
        <v>161</v>
      </c>
      <c r="F172" s="203"/>
      <c r="G172" s="27">
        <f>G173</f>
        <v>8526.2</v>
      </c>
      <c r="H172" s="27">
        <f t="shared" si="79"/>
        <v>5612.200000000001</v>
      </c>
      <c r="I172" s="27">
        <f t="shared" si="67"/>
        <v>65.82299265792498</v>
      </c>
      <c r="J172" s="129"/>
    </row>
    <row r="173" spans="1:10" ht="15.75">
      <c r="A173" s="26" t="s">
        <v>180</v>
      </c>
      <c r="B173" s="205">
        <v>902</v>
      </c>
      <c r="C173" s="203" t="s">
        <v>254</v>
      </c>
      <c r="D173" s="203" t="s">
        <v>258</v>
      </c>
      <c r="E173" s="203" t="s">
        <v>181</v>
      </c>
      <c r="F173" s="203"/>
      <c r="G173" s="27">
        <f>G174+G180+G185+G177</f>
        <v>8526.2</v>
      </c>
      <c r="H173" s="27">
        <f aca="true" t="shared" si="80" ref="H173">H174+H180+H185+H177</f>
        <v>5612.200000000001</v>
      </c>
      <c r="I173" s="27">
        <f t="shared" si="67"/>
        <v>65.82299265792498</v>
      </c>
      <c r="J173" s="129"/>
    </row>
    <row r="174" spans="1:10" ht="31.5">
      <c r="A174" s="26" t="s">
        <v>263</v>
      </c>
      <c r="B174" s="205">
        <v>902</v>
      </c>
      <c r="C174" s="203" t="s">
        <v>254</v>
      </c>
      <c r="D174" s="203" t="s">
        <v>258</v>
      </c>
      <c r="E174" s="203" t="s">
        <v>264</v>
      </c>
      <c r="F174" s="203"/>
      <c r="G174" s="27">
        <f>G175</f>
        <v>2269.8</v>
      </c>
      <c r="H174" s="27">
        <f aca="true" t="shared" si="81" ref="H174:H175">H175</f>
        <v>1607</v>
      </c>
      <c r="I174" s="27">
        <f t="shared" si="67"/>
        <v>70.79918935589038</v>
      </c>
      <c r="J174" s="129"/>
    </row>
    <row r="175" spans="1:10" ht="31.5">
      <c r="A175" s="26" t="s">
        <v>237</v>
      </c>
      <c r="B175" s="205">
        <v>902</v>
      </c>
      <c r="C175" s="203" t="s">
        <v>254</v>
      </c>
      <c r="D175" s="203" t="s">
        <v>258</v>
      </c>
      <c r="E175" s="203" t="s">
        <v>264</v>
      </c>
      <c r="F175" s="203" t="s">
        <v>171</v>
      </c>
      <c r="G175" s="27">
        <f>G176</f>
        <v>2269.8</v>
      </c>
      <c r="H175" s="27">
        <f t="shared" si="81"/>
        <v>1607</v>
      </c>
      <c r="I175" s="27">
        <f t="shared" si="67"/>
        <v>70.79918935589038</v>
      </c>
      <c r="J175" s="129"/>
    </row>
    <row r="176" spans="1:10" ht="31.5">
      <c r="A176" s="26" t="s">
        <v>172</v>
      </c>
      <c r="B176" s="205">
        <v>902</v>
      </c>
      <c r="C176" s="203" t="s">
        <v>254</v>
      </c>
      <c r="D176" s="203" t="s">
        <v>258</v>
      </c>
      <c r="E176" s="203" t="s">
        <v>264</v>
      </c>
      <c r="F176" s="203" t="s">
        <v>173</v>
      </c>
      <c r="G176" s="294">
        <f>519.8+1750</f>
        <v>2269.8</v>
      </c>
      <c r="H176" s="294">
        <v>1607</v>
      </c>
      <c r="I176" s="27">
        <f t="shared" si="67"/>
        <v>70.79918935589038</v>
      </c>
      <c r="J176" s="129"/>
    </row>
    <row r="177" spans="1:10" ht="15.75" customHeight="1" hidden="1">
      <c r="A177" s="26" t="s">
        <v>265</v>
      </c>
      <c r="B177" s="205">
        <v>902</v>
      </c>
      <c r="C177" s="203" t="s">
        <v>254</v>
      </c>
      <c r="D177" s="203" t="s">
        <v>258</v>
      </c>
      <c r="E177" s="203" t="s">
        <v>266</v>
      </c>
      <c r="F177" s="203"/>
      <c r="G177" s="27">
        <f>G178</f>
        <v>0</v>
      </c>
      <c r="H177" s="27">
        <f aca="true" t="shared" si="82" ref="H177:H178">H178</f>
        <v>0</v>
      </c>
      <c r="I177" s="27" t="e">
        <f t="shared" si="67"/>
        <v>#DIV/0!</v>
      </c>
      <c r="J177" s="129"/>
    </row>
    <row r="178" spans="1:10" ht="47.25" customHeight="1" hidden="1">
      <c r="A178" s="26" t="s">
        <v>237</v>
      </c>
      <c r="B178" s="205">
        <v>902</v>
      </c>
      <c r="C178" s="203" t="s">
        <v>254</v>
      </c>
      <c r="D178" s="203" t="s">
        <v>258</v>
      </c>
      <c r="E178" s="203" t="s">
        <v>266</v>
      </c>
      <c r="F178" s="203" t="s">
        <v>171</v>
      </c>
      <c r="G178" s="27">
        <f>G179</f>
        <v>0</v>
      </c>
      <c r="H178" s="27">
        <f t="shared" si="82"/>
        <v>0</v>
      </c>
      <c r="I178" s="27" t="e">
        <f t="shared" si="67"/>
        <v>#DIV/0!</v>
      </c>
      <c r="J178" s="129"/>
    </row>
    <row r="179" spans="1:10" ht="47.25" customHeight="1" hidden="1">
      <c r="A179" s="26" t="s">
        <v>172</v>
      </c>
      <c r="B179" s="205">
        <v>902</v>
      </c>
      <c r="C179" s="203" t="s">
        <v>254</v>
      </c>
      <c r="D179" s="203" t="s">
        <v>258</v>
      </c>
      <c r="E179" s="203" t="s">
        <v>266</v>
      </c>
      <c r="F179" s="203" t="s">
        <v>173</v>
      </c>
      <c r="G179" s="27">
        <f>764.4-764.4</f>
        <v>0</v>
      </c>
      <c r="H179" s="27">
        <f aca="true" t="shared" si="83" ref="H179">764.4-764.4</f>
        <v>0</v>
      </c>
      <c r="I179" s="27" t="e">
        <f t="shared" si="67"/>
        <v>#DIV/0!</v>
      </c>
      <c r="J179" s="129"/>
    </row>
    <row r="180" spans="1:10" ht="31.5">
      <c r="A180" s="26" t="s">
        <v>267</v>
      </c>
      <c r="B180" s="205">
        <v>902</v>
      </c>
      <c r="C180" s="203" t="s">
        <v>254</v>
      </c>
      <c r="D180" s="203" t="s">
        <v>258</v>
      </c>
      <c r="E180" s="203" t="s">
        <v>268</v>
      </c>
      <c r="F180" s="203"/>
      <c r="G180" s="27">
        <f>G181+G183</f>
        <v>6059.4</v>
      </c>
      <c r="H180" s="27">
        <f aca="true" t="shared" si="84" ref="H180">H181+H183</f>
        <v>4005.2000000000003</v>
      </c>
      <c r="I180" s="27">
        <f t="shared" si="67"/>
        <v>66.09895369178467</v>
      </c>
      <c r="J180" s="129"/>
    </row>
    <row r="181" spans="1:10" ht="63">
      <c r="A181" s="26" t="s">
        <v>166</v>
      </c>
      <c r="B181" s="205">
        <v>902</v>
      </c>
      <c r="C181" s="203" t="s">
        <v>254</v>
      </c>
      <c r="D181" s="203" t="s">
        <v>258</v>
      </c>
      <c r="E181" s="203" t="s">
        <v>268</v>
      </c>
      <c r="F181" s="203" t="s">
        <v>167</v>
      </c>
      <c r="G181" s="27">
        <f>G182</f>
        <v>4817.5</v>
      </c>
      <c r="H181" s="27">
        <f aca="true" t="shared" si="85" ref="H181">H182</f>
        <v>3884.3</v>
      </c>
      <c r="I181" s="27">
        <f t="shared" si="67"/>
        <v>80.62895692786715</v>
      </c>
      <c r="J181" s="129"/>
    </row>
    <row r="182" spans="1:10" ht="15.75">
      <c r="A182" s="26" t="s">
        <v>247</v>
      </c>
      <c r="B182" s="205">
        <v>902</v>
      </c>
      <c r="C182" s="203" t="s">
        <v>254</v>
      </c>
      <c r="D182" s="203" t="s">
        <v>258</v>
      </c>
      <c r="E182" s="203" t="s">
        <v>268</v>
      </c>
      <c r="F182" s="203" t="s">
        <v>248</v>
      </c>
      <c r="G182" s="28">
        <f>4620+142.6-241.1+11.1+284.9</f>
        <v>4817.5</v>
      </c>
      <c r="H182" s="28">
        <v>3884.3</v>
      </c>
      <c r="I182" s="27">
        <f t="shared" si="67"/>
        <v>80.62895692786715</v>
      </c>
      <c r="J182" s="129"/>
    </row>
    <row r="183" spans="1:10" ht="31.5">
      <c r="A183" s="26" t="s">
        <v>237</v>
      </c>
      <c r="B183" s="205">
        <v>902</v>
      </c>
      <c r="C183" s="203" t="s">
        <v>254</v>
      </c>
      <c r="D183" s="203" t="s">
        <v>258</v>
      </c>
      <c r="E183" s="203" t="s">
        <v>268</v>
      </c>
      <c r="F183" s="203" t="s">
        <v>171</v>
      </c>
      <c r="G183" s="27">
        <f>G184</f>
        <v>1241.9</v>
      </c>
      <c r="H183" s="27">
        <f aca="true" t="shared" si="86" ref="H183">H184</f>
        <v>120.9</v>
      </c>
      <c r="I183" s="27">
        <f t="shared" si="67"/>
        <v>9.735083340043483</v>
      </c>
      <c r="J183" s="129"/>
    </row>
    <row r="184" spans="1:10" ht="31.5">
      <c r="A184" s="26" t="s">
        <v>172</v>
      </c>
      <c r="B184" s="205">
        <v>902</v>
      </c>
      <c r="C184" s="203" t="s">
        <v>254</v>
      </c>
      <c r="D184" s="203" t="s">
        <v>258</v>
      </c>
      <c r="E184" s="203" t="s">
        <v>268</v>
      </c>
      <c r="F184" s="203" t="s">
        <v>173</v>
      </c>
      <c r="G184" s="28">
        <f>3101-1859.1</f>
        <v>1241.9</v>
      </c>
      <c r="H184" s="28">
        <v>120.9</v>
      </c>
      <c r="I184" s="27">
        <f t="shared" si="67"/>
        <v>9.735083340043483</v>
      </c>
      <c r="J184" s="129"/>
    </row>
    <row r="185" spans="1:10" ht="15.75">
      <c r="A185" s="26" t="s">
        <v>269</v>
      </c>
      <c r="B185" s="205">
        <v>902</v>
      </c>
      <c r="C185" s="203" t="s">
        <v>254</v>
      </c>
      <c r="D185" s="203" t="s">
        <v>258</v>
      </c>
      <c r="E185" s="203" t="s">
        <v>270</v>
      </c>
      <c r="F185" s="203"/>
      <c r="G185" s="28">
        <f>G186</f>
        <v>197</v>
      </c>
      <c r="H185" s="28">
        <f aca="true" t="shared" si="87" ref="H185:H186">H186</f>
        <v>0</v>
      </c>
      <c r="I185" s="27">
        <f t="shared" si="67"/>
        <v>0</v>
      </c>
      <c r="J185" s="129"/>
    </row>
    <row r="186" spans="1:10" ht="31.5">
      <c r="A186" s="26" t="s">
        <v>237</v>
      </c>
      <c r="B186" s="205">
        <v>902</v>
      </c>
      <c r="C186" s="203" t="s">
        <v>254</v>
      </c>
      <c r="D186" s="203" t="s">
        <v>258</v>
      </c>
      <c r="E186" s="203" t="s">
        <v>270</v>
      </c>
      <c r="F186" s="203" t="s">
        <v>171</v>
      </c>
      <c r="G186" s="28">
        <f>G187</f>
        <v>197</v>
      </c>
      <c r="H186" s="28">
        <f t="shared" si="87"/>
        <v>0</v>
      </c>
      <c r="I186" s="27">
        <f t="shared" si="67"/>
        <v>0</v>
      </c>
      <c r="J186" s="129"/>
    </row>
    <row r="187" spans="1:10" ht="31.5">
      <c r="A187" s="26" t="s">
        <v>172</v>
      </c>
      <c r="B187" s="205">
        <v>902</v>
      </c>
      <c r="C187" s="203" t="s">
        <v>254</v>
      </c>
      <c r="D187" s="203" t="s">
        <v>258</v>
      </c>
      <c r="E187" s="203" t="s">
        <v>270</v>
      </c>
      <c r="F187" s="203" t="s">
        <v>173</v>
      </c>
      <c r="G187" s="28">
        <f>99+98</f>
        <v>197</v>
      </c>
      <c r="H187" s="28">
        <v>0</v>
      </c>
      <c r="I187" s="27">
        <f t="shared" si="67"/>
        <v>0</v>
      </c>
      <c r="J187" s="129"/>
    </row>
    <row r="188" spans="1:10" ht="15.75">
      <c r="A188" s="24" t="s">
        <v>271</v>
      </c>
      <c r="B188" s="202">
        <v>902</v>
      </c>
      <c r="C188" s="204" t="s">
        <v>189</v>
      </c>
      <c r="D188" s="204"/>
      <c r="E188" s="204"/>
      <c r="F188" s="203"/>
      <c r="G188" s="22">
        <f>G205+G189</f>
        <v>1256.3</v>
      </c>
      <c r="H188" s="22">
        <f aca="true" t="shared" si="88" ref="H188">H205+H189</f>
        <v>512.9</v>
      </c>
      <c r="I188" s="22">
        <f t="shared" si="67"/>
        <v>40.82623577171058</v>
      </c>
      <c r="J188" s="129"/>
    </row>
    <row r="189" spans="1:10" ht="15.75">
      <c r="A189" s="24" t="s">
        <v>272</v>
      </c>
      <c r="B189" s="202">
        <v>902</v>
      </c>
      <c r="C189" s="204" t="s">
        <v>189</v>
      </c>
      <c r="D189" s="204" t="s">
        <v>273</v>
      </c>
      <c r="E189" s="204"/>
      <c r="F189" s="203"/>
      <c r="G189" s="22">
        <f>G197+G190</f>
        <v>355</v>
      </c>
      <c r="H189" s="22">
        <f aca="true" t="shared" si="89" ref="H189">H197+H190</f>
        <v>182</v>
      </c>
      <c r="I189" s="22">
        <f t="shared" si="67"/>
        <v>51.267605633802816</v>
      </c>
      <c r="J189" s="129"/>
    </row>
    <row r="190" spans="1:10" ht="47.25">
      <c r="A190" s="33" t="s">
        <v>220</v>
      </c>
      <c r="B190" s="205">
        <v>902</v>
      </c>
      <c r="C190" s="203" t="s">
        <v>189</v>
      </c>
      <c r="D190" s="203" t="s">
        <v>273</v>
      </c>
      <c r="E190" s="209" t="s">
        <v>221</v>
      </c>
      <c r="F190" s="210"/>
      <c r="G190" s="27">
        <f>G191+G194</f>
        <v>100</v>
      </c>
      <c r="H190" s="27">
        <f aca="true" t="shared" si="90" ref="H190">H191+H194</f>
        <v>42</v>
      </c>
      <c r="I190" s="27">
        <f t="shared" si="67"/>
        <v>42</v>
      </c>
      <c r="J190" s="129"/>
    </row>
    <row r="191" spans="1:10" ht="31.5">
      <c r="A191" s="26" t="s">
        <v>196</v>
      </c>
      <c r="B191" s="205">
        <v>902</v>
      </c>
      <c r="C191" s="203" t="s">
        <v>189</v>
      </c>
      <c r="D191" s="203" t="s">
        <v>273</v>
      </c>
      <c r="E191" s="203" t="s">
        <v>222</v>
      </c>
      <c r="F191" s="210"/>
      <c r="G191" s="27">
        <f>G192</f>
        <v>100</v>
      </c>
      <c r="H191" s="27">
        <f aca="true" t="shared" si="91" ref="H191:H192">H192</f>
        <v>42</v>
      </c>
      <c r="I191" s="27">
        <f t="shared" si="67"/>
        <v>42</v>
      </c>
      <c r="J191" s="129"/>
    </row>
    <row r="192" spans="1:10" ht="15.75">
      <c r="A192" s="31" t="s">
        <v>174</v>
      </c>
      <c r="B192" s="205">
        <v>902</v>
      </c>
      <c r="C192" s="203" t="s">
        <v>189</v>
      </c>
      <c r="D192" s="203" t="s">
        <v>273</v>
      </c>
      <c r="E192" s="203" t="s">
        <v>222</v>
      </c>
      <c r="F192" s="210" t="s">
        <v>184</v>
      </c>
      <c r="G192" s="27">
        <f>G193</f>
        <v>100</v>
      </c>
      <c r="H192" s="27">
        <f t="shared" si="91"/>
        <v>42</v>
      </c>
      <c r="I192" s="27">
        <f t="shared" si="67"/>
        <v>42</v>
      </c>
      <c r="J192" s="129"/>
    </row>
    <row r="193" spans="1:10" ht="47.25">
      <c r="A193" s="31" t="s">
        <v>223</v>
      </c>
      <c r="B193" s="205">
        <v>902</v>
      </c>
      <c r="C193" s="203" t="s">
        <v>189</v>
      </c>
      <c r="D193" s="203" t="s">
        <v>273</v>
      </c>
      <c r="E193" s="203" t="s">
        <v>222</v>
      </c>
      <c r="F193" s="210" t="s">
        <v>199</v>
      </c>
      <c r="G193" s="27">
        <f>120-20</f>
        <v>100</v>
      </c>
      <c r="H193" s="27">
        <v>42</v>
      </c>
      <c r="I193" s="27">
        <f t="shared" si="67"/>
        <v>42</v>
      </c>
      <c r="J193" s="129"/>
    </row>
    <row r="194" spans="1:10" ht="31.5" hidden="1">
      <c r="A194" s="26" t="s">
        <v>932</v>
      </c>
      <c r="B194" s="205">
        <v>902</v>
      </c>
      <c r="C194" s="203" t="s">
        <v>189</v>
      </c>
      <c r="D194" s="203" t="s">
        <v>273</v>
      </c>
      <c r="E194" s="203" t="s">
        <v>934</v>
      </c>
      <c r="F194" s="210"/>
      <c r="G194" s="27">
        <f>G195</f>
        <v>0</v>
      </c>
      <c r="H194" s="27">
        <f aca="true" t="shared" si="92" ref="H194:H195">H195</f>
        <v>0</v>
      </c>
      <c r="I194" s="27" t="e">
        <f t="shared" si="67"/>
        <v>#DIV/0!</v>
      </c>
      <c r="J194" s="129"/>
    </row>
    <row r="195" spans="1:10" ht="15.75" hidden="1">
      <c r="A195" s="31" t="s">
        <v>174</v>
      </c>
      <c r="B195" s="205">
        <v>902</v>
      </c>
      <c r="C195" s="203" t="s">
        <v>189</v>
      </c>
      <c r="D195" s="203" t="s">
        <v>273</v>
      </c>
      <c r="E195" s="203" t="s">
        <v>934</v>
      </c>
      <c r="F195" s="210" t="s">
        <v>184</v>
      </c>
      <c r="G195" s="27">
        <f>G196</f>
        <v>0</v>
      </c>
      <c r="H195" s="27">
        <f t="shared" si="92"/>
        <v>0</v>
      </c>
      <c r="I195" s="27" t="e">
        <f t="shared" si="67"/>
        <v>#DIV/0!</v>
      </c>
      <c r="J195" s="129"/>
    </row>
    <row r="196" spans="1:10" ht="47.25" hidden="1">
      <c r="A196" s="31" t="s">
        <v>223</v>
      </c>
      <c r="B196" s="205">
        <v>902</v>
      </c>
      <c r="C196" s="203" t="s">
        <v>189</v>
      </c>
      <c r="D196" s="203" t="s">
        <v>273</v>
      </c>
      <c r="E196" s="203" t="s">
        <v>934</v>
      </c>
      <c r="F196" s="210" t="s">
        <v>199</v>
      </c>
      <c r="G196" s="27">
        <v>0</v>
      </c>
      <c r="H196" s="27">
        <v>0</v>
      </c>
      <c r="I196" s="27" t="e">
        <f t="shared" si="67"/>
        <v>#DIV/0!</v>
      </c>
      <c r="J196" s="129"/>
    </row>
    <row r="197" spans="1:10" ht="15.75">
      <c r="A197" s="26" t="s">
        <v>160</v>
      </c>
      <c r="B197" s="205">
        <v>902</v>
      </c>
      <c r="C197" s="203" t="s">
        <v>189</v>
      </c>
      <c r="D197" s="203" t="s">
        <v>273</v>
      </c>
      <c r="E197" s="203" t="s">
        <v>161</v>
      </c>
      <c r="F197" s="203"/>
      <c r="G197" s="27">
        <f>G198</f>
        <v>255</v>
      </c>
      <c r="H197" s="27">
        <f aca="true" t="shared" si="93" ref="H197">H198</f>
        <v>140</v>
      </c>
      <c r="I197" s="27">
        <f t="shared" si="67"/>
        <v>54.90196078431373</v>
      </c>
      <c r="J197" s="129"/>
    </row>
    <row r="198" spans="1:10" ht="15.75">
      <c r="A198" s="26" t="s">
        <v>224</v>
      </c>
      <c r="B198" s="205">
        <v>902</v>
      </c>
      <c r="C198" s="203" t="s">
        <v>189</v>
      </c>
      <c r="D198" s="203" t="s">
        <v>273</v>
      </c>
      <c r="E198" s="203" t="s">
        <v>225</v>
      </c>
      <c r="F198" s="203"/>
      <c r="G198" s="27">
        <f>G202+G199</f>
        <v>255</v>
      </c>
      <c r="H198" s="27">
        <f aca="true" t="shared" si="94" ref="H198">H202+H199</f>
        <v>140</v>
      </c>
      <c r="I198" s="27">
        <f t="shared" si="67"/>
        <v>54.90196078431373</v>
      </c>
      <c r="J198" s="129"/>
    </row>
    <row r="199" spans="1:10" ht="31.5" hidden="1">
      <c r="A199" s="26" t="s">
        <v>932</v>
      </c>
      <c r="B199" s="205">
        <v>902</v>
      </c>
      <c r="C199" s="203" t="s">
        <v>189</v>
      </c>
      <c r="D199" s="203" t="s">
        <v>273</v>
      </c>
      <c r="E199" s="203" t="s">
        <v>933</v>
      </c>
      <c r="F199" s="203"/>
      <c r="G199" s="27">
        <f>G200</f>
        <v>0</v>
      </c>
      <c r="H199" s="27">
        <f aca="true" t="shared" si="95" ref="H199:H200">H200</f>
        <v>0</v>
      </c>
      <c r="I199" s="27" t="e">
        <f t="shared" si="67"/>
        <v>#DIV/0!</v>
      </c>
      <c r="J199" s="129"/>
    </row>
    <row r="200" spans="1:10" ht="15.75" hidden="1">
      <c r="A200" s="31" t="s">
        <v>174</v>
      </c>
      <c r="B200" s="205">
        <v>902</v>
      </c>
      <c r="C200" s="203" t="s">
        <v>189</v>
      </c>
      <c r="D200" s="203" t="s">
        <v>273</v>
      </c>
      <c r="E200" s="203" t="s">
        <v>933</v>
      </c>
      <c r="F200" s="203" t="s">
        <v>184</v>
      </c>
      <c r="G200" s="27">
        <f>G201</f>
        <v>0</v>
      </c>
      <c r="H200" s="27">
        <f t="shared" si="95"/>
        <v>0</v>
      </c>
      <c r="I200" s="27" t="e">
        <f t="shared" si="67"/>
        <v>#DIV/0!</v>
      </c>
      <c r="J200" s="129"/>
    </row>
    <row r="201" spans="1:10" ht="47.25" hidden="1">
      <c r="A201" s="31" t="s">
        <v>223</v>
      </c>
      <c r="B201" s="205">
        <v>902</v>
      </c>
      <c r="C201" s="203" t="s">
        <v>189</v>
      </c>
      <c r="D201" s="203" t="s">
        <v>273</v>
      </c>
      <c r="E201" s="203" t="s">
        <v>933</v>
      </c>
      <c r="F201" s="203" t="s">
        <v>199</v>
      </c>
      <c r="G201" s="27">
        <v>0</v>
      </c>
      <c r="H201" s="27">
        <v>0</v>
      </c>
      <c r="I201" s="27" t="e">
        <f t="shared" si="67"/>
        <v>#DIV/0!</v>
      </c>
      <c r="J201" s="129"/>
    </row>
    <row r="202" spans="1:10" ht="31.5">
      <c r="A202" s="26" t="s">
        <v>274</v>
      </c>
      <c r="B202" s="205">
        <v>902</v>
      </c>
      <c r="C202" s="203" t="s">
        <v>189</v>
      </c>
      <c r="D202" s="203" t="s">
        <v>273</v>
      </c>
      <c r="E202" s="203" t="s">
        <v>275</v>
      </c>
      <c r="F202" s="203"/>
      <c r="G202" s="27">
        <f>G203</f>
        <v>255</v>
      </c>
      <c r="H202" s="27">
        <f aca="true" t="shared" si="96" ref="H202:H203">H203</f>
        <v>140</v>
      </c>
      <c r="I202" s="27">
        <f t="shared" si="67"/>
        <v>54.90196078431373</v>
      </c>
      <c r="J202" s="129"/>
    </row>
    <row r="203" spans="1:10" ht="15.75">
      <c r="A203" s="26" t="s">
        <v>174</v>
      </c>
      <c r="B203" s="205">
        <v>902</v>
      </c>
      <c r="C203" s="203" t="s">
        <v>189</v>
      </c>
      <c r="D203" s="203" t="s">
        <v>273</v>
      </c>
      <c r="E203" s="203" t="s">
        <v>275</v>
      </c>
      <c r="F203" s="203" t="s">
        <v>184</v>
      </c>
      <c r="G203" s="27">
        <f>G204</f>
        <v>255</v>
      </c>
      <c r="H203" s="27">
        <f t="shared" si="96"/>
        <v>140</v>
      </c>
      <c r="I203" s="27">
        <f aca="true" t="shared" si="97" ref="I203:I266">H203/G203*100</f>
        <v>54.90196078431373</v>
      </c>
      <c r="J203" s="129"/>
    </row>
    <row r="204" spans="1:10" ht="50.25" customHeight="1">
      <c r="A204" s="26" t="s">
        <v>223</v>
      </c>
      <c r="B204" s="205">
        <v>902</v>
      </c>
      <c r="C204" s="203" t="s">
        <v>189</v>
      </c>
      <c r="D204" s="203" t="s">
        <v>273</v>
      </c>
      <c r="E204" s="203" t="s">
        <v>275</v>
      </c>
      <c r="F204" s="203" t="s">
        <v>199</v>
      </c>
      <c r="G204" s="27">
        <v>255</v>
      </c>
      <c r="H204" s="27">
        <v>140</v>
      </c>
      <c r="I204" s="27">
        <f t="shared" si="97"/>
        <v>54.90196078431373</v>
      </c>
      <c r="J204" s="129"/>
    </row>
    <row r="205" spans="1:10" ht="15.75">
      <c r="A205" s="24" t="s">
        <v>276</v>
      </c>
      <c r="B205" s="202">
        <v>902</v>
      </c>
      <c r="C205" s="204" t="s">
        <v>189</v>
      </c>
      <c r="D205" s="204" t="s">
        <v>277</v>
      </c>
      <c r="E205" s="204"/>
      <c r="F205" s="204"/>
      <c r="G205" s="22">
        <f>G210+G206</f>
        <v>901.3</v>
      </c>
      <c r="H205" s="22">
        <f aca="true" t="shared" si="98" ref="H205">H210+H206</f>
        <v>330.9</v>
      </c>
      <c r="I205" s="22">
        <f t="shared" si="97"/>
        <v>36.71363585931432</v>
      </c>
      <c r="J205" s="129"/>
    </row>
    <row r="206" spans="1:10" ht="51.75" customHeight="1" hidden="1">
      <c r="A206" s="26" t="s">
        <v>942</v>
      </c>
      <c r="B206" s="205">
        <v>902</v>
      </c>
      <c r="C206" s="203" t="s">
        <v>189</v>
      </c>
      <c r="D206" s="203" t="s">
        <v>277</v>
      </c>
      <c r="E206" s="203" t="s">
        <v>195</v>
      </c>
      <c r="F206" s="203"/>
      <c r="G206" s="27">
        <f>G207</f>
        <v>0</v>
      </c>
      <c r="H206" s="27">
        <f aca="true" t="shared" si="99" ref="H206:H208">H207</f>
        <v>0</v>
      </c>
      <c r="I206" s="22" t="e">
        <f t="shared" si="97"/>
        <v>#DIV/0!</v>
      </c>
      <c r="J206" s="129"/>
    </row>
    <row r="207" spans="1:10" ht="31.5" hidden="1">
      <c r="A207" s="26" t="s">
        <v>196</v>
      </c>
      <c r="B207" s="205">
        <v>902</v>
      </c>
      <c r="C207" s="203" t="s">
        <v>189</v>
      </c>
      <c r="D207" s="203" t="s">
        <v>277</v>
      </c>
      <c r="E207" s="203" t="s">
        <v>197</v>
      </c>
      <c r="F207" s="203"/>
      <c r="G207" s="27">
        <f>G208</f>
        <v>0</v>
      </c>
      <c r="H207" s="27">
        <f t="shared" si="99"/>
        <v>0</v>
      </c>
      <c r="I207" s="22" t="e">
        <f t="shared" si="97"/>
        <v>#DIV/0!</v>
      </c>
      <c r="J207" s="129"/>
    </row>
    <row r="208" spans="1:10" ht="15.75" hidden="1">
      <c r="A208" s="26" t="s">
        <v>174</v>
      </c>
      <c r="B208" s="205">
        <v>902</v>
      </c>
      <c r="C208" s="203" t="s">
        <v>189</v>
      </c>
      <c r="D208" s="203" t="s">
        <v>277</v>
      </c>
      <c r="E208" s="203" t="s">
        <v>197</v>
      </c>
      <c r="F208" s="203" t="s">
        <v>184</v>
      </c>
      <c r="G208" s="27">
        <f>G209</f>
        <v>0</v>
      </c>
      <c r="H208" s="27">
        <f t="shared" si="99"/>
        <v>0</v>
      </c>
      <c r="I208" s="22" t="e">
        <f t="shared" si="97"/>
        <v>#DIV/0!</v>
      </c>
      <c r="J208" s="129"/>
    </row>
    <row r="209" spans="1:10" ht="47.25" hidden="1">
      <c r="A209" s="26" t="s">
        <v>198</v>
      </c>
      <c r="B209" s="205">
        <v>902</v>
      </c>
      <c r="C209" s="203" t="s">
        <v>189</v>
      </c>
      <c r="D209" s="203" t="s">
        <v>277</v>
      </c>
      <c r="E209" s="203" t="s">
        <v>197</v>
      </c>
      <c r="F209" s="203" t="s">
        <v>199</v>
      </c>
      <c r="G209" s="27">
        <f>100+150-250</f>
        <v>0</v>
      </c>
      <c r="H209" s="27">
        <f aca="true" t="shared" si="100" ref="H209">100+150-250</f>
        <v>0</v>
      </c>
      <c r="I209" s="22" t="e">
        <f t="shared" si="97"/>
        <v>#DIV/0!</v>
      </c>
      <c r="J209" s="129"/>
    </row>
    <row r="210" spans="1:10" ht="15.75">
      <c r="A210" s="26" t="s">
        <v>160</v>
      </c>
      <c r="B210" s="205">
        <v>902</v>
      </c>
      <c r="C210" s="203" t="s">
        <v>189</v>
      </c>
      <c r="D210" s="203" t="s">
        <v>277</v>
      </c>
      <c r="E210" s="203" t="s">
        <v>161</v>
      </c>
      <c r="F210" s="204"/>
      <c r="G210" s="27">
        <f>G211</f>
        <v>901.3</v>
      </c>
      <c r="H210" s="27">
        <f aca="true" t="shared" si="101" ref="H210">H211</f>
        <v>330.9</v>
      </c>
      <c r="I210" s="27">
        <f t="shared" si="97"/>
        <v>36.71363585931432</v>
      </c>
      <c r="J210" s="129"/>
    </row>
    <row r="211" spans="1:10" ht="15.75">
      <c r="A211" s="26" t="s">
        <v>224</v>
      </c>
      <c r="B211" s="205">
        <v>902</v>
      </c>
      <c r="C211" s="203" t="s">
        <v>189</v>
      </c>
      <c r="D211" s="203" t="s">
        <v>277</v>
      </c>
      <c r="E211" s="203" t="s">
        <v>225</v>
      </c>
      <c r="F211" s="204"/>
      <c r="G211" s="27">
        <f>G215+G212</f>
        <v>901.3</v>
      </c>
      <c r="H211" s="27">
        <f aca="true" t="shared" si="102" ref="H211">H215+H212</f>
        <v>330.9</v>
      </c>
      <c r="I211" s="27">
        <f t="shared" si="97"/>
        <v>36.71363585931432</v>
      </c>
      <c r="J211" s="129"/>
    </row>
    <row r="212" spans="1:10" ht="31.5" hidden="1">
      <c r="A212" s="26" t="s">
        <v>278</v>
      </c>
      <c r="B212" s="205">
        <v>902</v>
      </c>
      <c r="C212" s="203" t="s">
        <v>189</v>
      </c>
      <c r="D212" s="203" t="s">
        <v>277</v>
      </c>
      <c r="E212" s="203" t="s">
        <v>279</v>
      </c>
      <c r="F212" s="204"/>
      <c r="G212" s="27">
        <f>G213</f>
        <v>0</v>
      </c>
      <c r="H212" s="27">
        <f aca="true" t="shared" si="103" ref="H212:H213">H213</f>
        <v>0</v>
      </c>
      <c r="I212" s="27" t="e">
        <f t="shared" si="97"/>
        <v>#DIV/0!</v>
      </c>
      <c r="J212" s="129"/>
    </row>
    <row r="213" spans="1:10" ht="15.75" hidden="1">
      <c r="A213" s="26" t="s">
        <v>174</v>
      </c>
      <c r="B213" s="205">
        <v>902</v>
      </c>
      <c r="C213" s="203" t="s">
        <v>189</v>
      </c>
      <c r="D213" s="203" t="s">
        <v>277</v>
      </c>
      <c r="E213" s="203" t="s">
        <v>279</v>
      </c>
      <c r="F213" s="203" t="s">
        <v>184</v>
      </c>
      <c r="G213" s="27">
        <f>G214</f>
        <v>0</v>
      </c>
      <c r="H213" s="27">
        <f t="shared" si="103"/>
        <v>0</v>
      </c>
      <c r="I213" s="27" t="e">
        <f t="shared" si="97"/>
        <v>#DIV/0!</v>
      </c>
      <c r="J213" s="129"/>
    </row>
    <row r="214" spans="1:10" ht="47.25" hidden="1">
      <c r="A214" s="26" t="s">
        <v>223</v>
      </c>
      <c r="B214" s="205">
        <v>902</v>
      </c>
      <c r="C214" s="203" t="s">
        <v>189</v>
      </c>
      <c r="D214" s="203" t="s">
        <v>277</v>
      </c>
      <c r="E214" s="203" t="s">
        <v>279</v>
      </c>
      <c r="F214" s="203" t="s">
        <v>199</v>
      </c>
      <c r="G214" s="27">
        <v>0</v>
      </c>
      <c r="H214" s="27">
        <v>0</v>
      </c>
      <c r="I214" s="27" t="e">
        <f t="shared" si="97"/>
        <v>#DIV/0!</v>
      </c>
      <c r="J214" s="129"/>
    </row>
    <row r="215" spans="1:10" ht="63">
      <c r="A215" s="33" t="s">
        <v>280</v>
      </c>
      <c r="B215" s="205">
        <v>902</v>
      </c>
      <c r="C215" s="203" t="s">
        <v>189</v>
      </c>
      <c r="D215" s="203" t="s">
        <v>277</v>
      </c>
      <c r="E215" s="203" t="s">
        <v>281</v>
      </c>
      <c r="F215" s="203"/>
      <c r="G215" s="27">
        <f>G216+G218</f>
        <v>901.3</v>
      </c>
      <c r="H215" s="27">
        <f aca="true" t="shared" si="104" ref="H215">H216+H218</f>
        <v>330.9</v>
      </c>
      <c r="I215" s="27">
        <f t="shared" si="97"/>
        <v>36.71363585931432</v>
      </c>
      <c r="J215" s="129"/>
    </row>
    <row r="216" spans="1:10" ht="63">
      <c r="A216" s="26" t="s">
        <v>166</v>
      </c>
      <c r="B216" s="205">
        <v>902</v>
      </c>
      <c r="C216" s="203" t="s">
        <v>189</v>
      </c>
      <c r="D216" s="203" t="s">
        <v>277</v>
      </c>
      <c r="E216" s="203" t="s">
        <v>281</v>
      </c>
      <c r="F216" s="203" t="s">
        <v>167</v>
      </c>
      <c r="G216" s="27">
        <f>G217</f>
        <v>689.3599999999999</v>
      </c>
      <c r="H216" s="27">
        <f aca="true" t="shared" si="105" ref="H216">H217</f>
        <v>318.9</v>
      </c>
      <c r="I216" s="27">
        <f t="shared" si="97"/>
        <v>46.260299408146686</v>
      </c>
      <c r="J216" s="129"/>
    </row>
    <row r="217" spans="1:10" ht="31.5">
      <c r="A217" s="26" t="s">
        <v>168</v>
      </c>
      <c r="B217" s="205">
        <v>902</v>
      </c>
      <c r="C217" s="203" t="s">
        <v>189</v>
      </c>
      <c r="D217" s="203" t="s">
        <v>277</v>
      </c>
      <c r="E217" s="203" t="s">
        <v>281</v>
      </c>
      <c r="F217" s="203" t="s">
        <v>169</v>
      </c>
      <c r="G217" s="27">
        <f>901.3-361.1+239.5-90.34</f>
        <v>689.3599999999999</v>
      </c>
      <c r="H217" s="27">
        <v>318.9</v>
      </c>
      <c r="I217" s="27">
        <f t="shared" si="97"/>
        <v>46.260299408146686</v>
      </c>
      <c r="J217" s="129"/>
    </row>
    <row r="218" spans="1:10" ht="31.5">
      <c r="A218" s="26" t="s">
        <v>170</v>
      </c>
      <c r="B218" s="205">
        <v>902</v>
      </c>
      <c r="C218" s="203" t="s">
        <v>189</v>
      </c>
      <c r="D218" s="203" t="s">
        <v>277</v>
      </c>
      <c r="E218" s="203" t="s">
        <v>281</v>
      </c>
      <c r="F218" s="203" t="s">
        <v>171</v>
      </c>
      <c r="G218" s="27">
        <f>G219</f>
        <v>211.94000000000003</v>
      </c>
      <c r="H218" s="27">
        <f aca="true" t="shared" si="106" ref="H218">H219</f>
        <v>12</v>
      </c>
      <c r="I218" s="27">
        <f t="shared" si="97"/>
        <v>5.661979805605359</v>
      </c>
      <c r="J218" s="129"/>
    </row>
    <row r="219" spans="1:10" ht="31.5">
      <c r="A219" s="26" t="s">
        <v>172</v>
      </c>
      <c r="B219" s="205">
        <v>902</v>
      </c>
      <c r="C219" s="203" t="s">
        <v>189</v>
      </c>
      <c r="D219" s="203" t="s">
        <v>277</v>
      </c>
      <c r="E219" s="203" t="s">
        <v>281</v>
      </c>
      <c r="F219" s="203" t="s">
        <v>173</v>
      </c>
      <c r="G219" s="27">
        <f>361.1-239.5+90.34</f>
        <v>211.94000000000003</v>
      </c>
      <c r="H219" s="27">
        <v>12</v>
      </c>
      <c r="I219" s="27">
        <f t="shared" si="97"/>
        <v>5.661979805605359</v>
      </c>
      <c r="J219" s="129"/>
    </row>
    <row r="220" spans="1:10" ht="16.5" customHeight="1">
      <c r="A220" s="24" t="s">
        <v>282</v>
      </c>
      <c r="B220" s="202">
        <v>902</v>
      </c>
      <c r="C220" s="204" t="s">
        <v>283</v>
      </c>
      <c r="D220" s="204"/>
      <c r="E220" s="204"/>
      <c r="F220" s="204"/>
      <c r="G220" s="22">
        <f>G221+G227+G237</f>
        <v>12340.3</v>
      </c>
      <c r="H220" s="22">
        <f aca="true" t="shared" si="107" ref="H220">H221+H227+H237</f>
        <v>8809.1</v>
      </c>
      <c r="I220" s="22">
        <f t="shared" si="97"/>
        <v>71.38481236274646</v>
      </c>
      <c r="J220" s="129"/>
    </row>
    <row r="221" spans="1:10" ht="15.75">
      <c r="A221" s="24" t="s">
        <v>284</v>
      </c>
      <c r="B221" s="202">
        <v>902</v>
      </c>
      <c r="C221" s="204" t="s">
        <v>283</v>
      </c>
      <c r="D221" s="204" t="s">
        <v>157</v>
      </c>
      <c r="E221" s="204"/>
      <c r="F221" s="204"/>
      <c r="G221" s="22">
        <f>G222</f>
        <v>9066.4</v>
      </c>
      <c r="H221" s="22">
        <f aca="true" t="shared" si="108" ref="H221:H225">H222</f>
        <v>7144.7</v>
      </c>
      <c r="I221" s="22">
        <f t="shared" si="97"/>
        <v>78.80415600458836</v>
      </c>
      <c r="J221" s="129"/>
    </row>
    <row r="222" spans="1:10" ht="15.75">
      <c r="A222" s="26" t="s">
        <v>160</v>
      </c>
      <c r="B222" s="205">
        <v>902</v>
      </c>
      <c r="C222" s="203" t="s">
        <v>283</v>
      </c>
      <c r="D222" s="203" t="s">
        <v>157</v>
      </c>
      <c r="E222" s="203" t="s">
        <v>161</v>
      </c>
      <c r="F222" s="203"/>
      <c r="G222" s="27">
        <f>G223</f>
        <v>9066.4</v>
      </c>
      <c r="H222" s="27">
        <f t="shared" si="108"/>
        <v>7144.7</v>
      </c>
      <c r="I222" s="27">
        <f t="shared" si="97"/>
        <v>78.80415600458836</v>
      </c>
      <c r="J222" s="129"/>
    </row>
    <row r="223" spans="1:10" ht="15.75">
      <c r="A223" s="26" t="s">
        <v>180</v>
      </c>
      <c r="B223" s="205">
        <v>902</v>
      </c>
      <c r="C223" s="203" t="s">
        <v>283</v>
      </c>
      <c r="D223" s="203" t="s">
        <v>157</v>
      </c>
      <c r="E223" s="203" t="s">
        <v>181</v>
      </c>
      <c r="F223" s="203"/>
      <c r="G223" s="27">
        <f>G224</f>
        <v>9066.4</v>
      </c>
      <c r="H223" s="27">
        <f t="shared" si="108"/>
        <v>7144.7</v>
      </c>
      <c r="I223" s="27">
        <f t="shared" si="97"/>
        <v>78.80415600458836</v>
      </c>
      <c r="J223" s="129"/>
    </row>
    <row r="224" spans="1:10" ht="15.75">
      <c r="A224" s="26" t="s">
        <v>285</v>
      </c>
      <c r="B224" s="205">
        <v>902</v>
      </c>
      <c r="C224" s="203" t="s">
        <v>283</v>
      </c>
      <c r="D224" s="203" t="s">
        <v>157</v>
      </c>
      <c r="E224" s="203" t="s">
        <v>286</v>
      </c>
      <c r="F224" s="203"/>
      <c r="G224" s="27">
        <f>G225</f>
        <v>9066.4</v>
      </c>
      <c r="H224" s="27">
        <f t="shared" si="108"/>
        <v>7144.7</v>
      </c>
      <c r="I224" s="27">
        <f t="shared" si="97"/>
        <v>78.80415600458836</v>
      </c>
      <c r="J224" s="129"/>
    </row>
    <row r="225" spans="1:10" ht="15.75">
      <c r="A225" s="26" t="s">
        <v>287</v>
      </c>
      <c r="B225" s="205">
        <v>902</v>
      </c>
      <c r="C225" s="203" t="s">
        <v>283</v>
      </c>
      <c r="D225" s="203" t="s">
        <v>157</v>
      </c>
      <c r="E225" s="203" t="s">
        <v>286</v>
      </c>
      <c r="F225" s="203" t="s">
        <v>288</v>
      </c>
      <c r="G225" s="27">
        <f>G226</f>
        <v>9066.4</v>
      </c>
      <c r="H225" s="27">
        <f t="shared" si="108"/>
        <v>7144.7</v>
      </c>
      <c r="I225" s="27">
        <f t="shared" si="97"/>
        <v>78.80415600458836</v>
      </c>
      <c r="J225" s="129"/>
    </row>
    <row r="226" spans="1:10" ht="31.5">
      <c r="A226" s="26" t="s">
        <v>289</v>
      </c>
      <c r="B226" s="205">
        <v>902</v>
      </c>
      <c r="C226" s="203" t="s">
        <v>283</v>
      </c>
      <c r="D226" s="203" t="s">
        <v>157</v>
      </c>
      <c r="E226" s="203" t="s">
        <v>286</v>
      </c>
      <c r="F226" s="203" t="s">
        <v>290</v>
      </c>
      <c r="G226" s="28">
        <v>9066.4</v>
      </c>
      <c r="H226" s="28">
        <v>7144.7</v>
      </c>
      <c r="I226" s="27">
        <f t="shared" si="97"/>
        <v>78.80415600458836</v>
      </c>
      <c r="J226" s="129"/>
    </row>
    <row r="227" spans="1:10" ht="15.75">
      <c r="A227" s="24" t="s">
        <v>291</v>
      </c>
      <c r="B227" s="202">
        <v>902</v>
      </c>
      <c r="C227" s="204" t="s">
        <v>283</v>
      </c>
      <c r="D227" s="204" t="s">
        <v>254</v>
      </c>
      <c r="E227" s="203"/>
      <c r="F227" s="203"/>
      <c r="G227" s="22">
        <f>G228+G232</f>
        <v>10</v>
      </c>
      <c r="H227" s="22">
        <f aca="true" t="shared" si="109" ref="H227">H228+H232</f>
        <v>0</v>
      </c>
      <c r="I227" s="22">
        <f t="shared" si="97"/>
        <v>0</v>
      </c>
      <c r="J227" s="129"/>
    </row>
    <row r="228" spans="1:10" ht="47.25">
      <c r="A228" s="26" t="s">
        <v>292</v>
      </c>
      <c r="B228" s="205">
        <v>902</v>
      </c>
      <c r="C228" s="203" t="s">
        <v>283</v>
      </c>
      <c r="D228" s="203" t="s">
        <v>254</v>
      </c>
      <c r="E228" s="203" t="s">
        <v>293</v>
      </c>
      <c r="F228" s="203"/>
      <c r="G228" s="27">
        <f>G229</f>
        <v>10</v>
      </c>
      <c r="H228" s="27">
        <f aca="true" t="shared" si="110" ref="H228:H230">H229</f>
        <v>0</v>
      </c>
      <c r="I228" s="27">
        <f t="shared" si="97"/>
        <v>0</v>
      </c>
      <c r="J228" s="129"/>
    </row>
    <row r="229" spans="1:10" ht="31.5">
      <c r="A229" s="26" t="s">
        <v>196</v>
      </c>
      <c r="B229" s="205">
        <v>902</v>
      </c>
      <c r="C229" s="203" t="s">
        <v>283</v>
      </c>
      <c r="D229" s="203" t="s">
        <v>254</v>
      </c>
      <c r="E229" s="203" t="s">
        <v>294</v>
      </c>
      <c r="F229" s="203"/>
      <c r="G229" s="27">
        <f>G230</f>
        <v>10</v>
      </c>
      <c r="H229" s="27">
        <f t="shared" si="110"/>
        <v>0</v>
      </c>
      <c r="I229" s="27">
        <f t="shared" si="97"/>
        <v>0</v>
      </c>
      <c r="J229" s="129"/>
    </row>
    <row r="230" spans="1:10" ht="15.75">
      <c r="A230" s="26" t="s">
        <v>287</v>
      </c>
      <c r="B230" s="205">
        <v>902</v>
      </c>
      <c r="C230" s="203" t="s">
        <v>283</v>
      </c>
      <c r="D230" s="203" t="s">
        <v>254</v>
      </c>
      <c r="E230" s="203" t="s">
        <v>294</v>
      </c>
      <c r="F230" s="203" t="s">
        <v>288</v>
      </c>
      <c r="G230" s="27">
        <f>G231</f>
        <v>10</v>
      </c>
      <c r="H230" s="27">
        <f t="shared" si="110"/>
        <v>0</v>
      </c>
      <c r="I230" s="27">
        <f t="shared" si="97"/>
        <v>0</v>
      </c>
      <c r="J230" s="129"/>
    </row>
    <row r="231" spans="1:10" ht="31.5">
      <c r="A231" s="26" t="s">
        <v>289</v>
      </c>
      <c r="B231" s="205">
        <v>902</v>
      </c>
      <c r="C231" s="203" t="s">
        <v>283</v>
      </c>
      <c r="D231" s="203" t="s">
        <v>254</v>
      </c>
      <c r="E231" s="203" t="s">
        <v>294</v>
      </c>
      <c r="F231" s="203" t="s">
        <v>290</v>
      </c>
      <c r="G231" s="27">
        <v>10</v>
      </c>
      <c r="H231" s="27">
        <v>0</v>
      </c>
      <c r="I231" s="27">
        <f t="shared" si="97"/>
        <v>0</v>
      </c>
      <c r="J231" s="129"/>
    </row>
    <row r="232" spans="1:10" ht="15.75" customHeight="1" hidden="1">
      <c r="A232" s="26" t="s">
        <v>160</v>
      </c>
      <c r="B232" s="205">
        <v>902</v>
      </c>
      <c r="C232" s="203" t="s">
        <v>283</v>
      </c>
      <c r="D232" s="203" t="s">
        <v>254</v>
      </c>
      <c r="E232" s="203" t="s">
        <v>161</v>
      </c>
      <c r="F232" s="203"/>
      <c r="G232" s="27">
        <f>G233</f>
        <v>0</v>
      </c>
      <c r="H232" s="27">
        <f aca="true" t="shared" si="111" ref="H232:H235">H233</f>
        <v>0</v>
      </c>
      <c r="I232" s="22" t="e">
        <f t="shared" si="97"/>
        <v>#DIV/0!</v>
      </c>
      <c r="J232" s="129"/>
    </row>
    <row r="233" spans="1:10" ht="31.5" customHeight="1" hidden="1">
      <c r="A233" s="26" t="s">
        <v>224</v>
      </c>
      <c r="B233" s="205">
        <v>902</v>
      </c>
      <c r="C233" s="203" t="s">
        <v>283</v>
      </c>
      <c r="D233" s="203" t="s">
        <v>254</v>
      </c>
      <c r="E233" s="203" t="s">
        <v>225</v>
      </c>
      <c r="F233" s="203"/>
      <c r="G233" s="27">
        <f>G234</f>
        <v>0</v>
      </c>
      <c r="H233" s="27">
        <f t="shared" si="111"/>
        <v>0</v>
      </c>
      <c r="I233" s="22" t="e">
        <f t="shared" si="97"/>
        <v>#DIV/0!</v>
      </c>
      <c r="J233" s="129"/>
    </row>
    <row r="234" spans="1:10" ht="47.25" customHeight="1" hidden="1">
      <c r="A234" s="33" t="s">
        <v>295</v>
      </c>
      <c r="B234" s="205">
        <v>902</v>
      </c>
      <c r="C234" s="203" t="s">
        <v>283</v>
      </c>
      <c r="D234" s="203" t="s">
        <v>254</v>
      </c>
      <c r="E234" s="203" t="s">
        <v>296</v>
      </c>
      <c r="F234" s="203"/>
      <c r="G234" s="27">
        <f>G235</f>
        <v>0</v>
      </c>
      <c r="H234" s="27">
        <f t="shared" si="111"/>
        <v>0</v>
      </c>
      <c r="I234" s="22" t="e">
        <f t="shared" si="97"/>
        <v>#DIV/0!</v>
      </c>
      <c r="J234" s="129"/>
    </row>
    <row r="235" spans="1:10" ht="31.5" customHeight="1" hidden="1">
      <c r="A235" s="26" t="s">
        <v>287</v>
      </c>
      <c r="B235" s="205">
        <v>902</v>
      </c>
      <c r="C235" s="203" t="s">
        <v>283</v>
      </c>
      <c r="D235" s="203" t="s">
        <v>254</v>
      </c>
      <c r="E235" s="203" t="s">
        <v>296</v>
      </c>
      <c r="F235" s="203" t="s">
        <v>288</v>
      </c>
      <c r="G235" s="27">
        <f>G236</f>
        <v>0</v>
      </c>
      <c r="H235" s="27">
        <f t="shared" si="111"/>
        <v>0</v>
      </c>
      <c r="I235" s="22" t="e">
        <f t="shared" si="97"/>
        <v>#DIV/0!</v>
      </c>
      <c r="J235" s="129"/>
    </row>
    <row r="236" spans="1:10" ht="31.5" customHeight="1" hidden="1">
      <c r="A236" s="26" t="s">
        <v>289</v>
      </c>
      <c r="B236" s="205">
        <v>902</v>
      </c>
      <c r="C236" s="203" t="s">
        <v>283</v>
      </c>
      <c r="D236" s="203" t="s">
        <v>254</v>
      </c>
      <c r="E236" s="203" t="s">
        <v>296</v>
      </c>
      <c r="F236" s="203" t="s">
        <v>290</v>
      </c>
      <c r="G236" s="27">
        <f>6250-6250</f>
        <v>0</v>
      </c>
      <c r="H236" s="27">
        <f aca="true" t="shared" si="112" ref="H236">6250-6250</f>
        <v>0</v>
      </c>
      <c r="I236" s="22" t="e">
        <f t="shared" si="97"/>
        <v>#DIV/0!</v>
      </c>
      <c r="J236" s="129"/>
    </row>
    <row r="237" spans="1:10" ht="15.75">
      <c r="A237" s="24" t="s">
        <v>297</v>
      </c>
      <c r="B237" s="202">
        <v>902</v>
      </c>
      <c r="C237" s="204" t="s">
        <v>283</v>
      </c>
      <c r="D237" s="204" t="s">
        <v>159</v>
      </c>
      <c r="E237" s="204"/>
      <c r="F237" s="204"/>
      <c r="G237" s="22">
        <f>G238</f>
        <v>3263.9</v>
      </c>
      <c r="H237" s="22">
        <f aca="true" t="shared" si="113" ref="H237:H239">H238</f>
        <v>1664.3999999999999</v>
      </c>
      <c r="I237" s="22">
        <f t="shared" si="97"/>
        <v>50.99420938141487</v>
      </c>
      <c r="J237" s="129"/>
    </row>
    <row r="238" spans="1:10" ht="15.75">
      <c r="A238" s="26" t="s">
        <v>160</v>
      </c>
      <c r="B238" s="205">
        <v>902</v>
      </c>
      <c r="C238" s="203" t="s">
        <v>283</v>
      </c>
      <c r="D238" s="203" t="s">
        <v>159</v>
      </c>
      <c r="E238" s="203" t="s">
        <v>161</v>
      </c>
      <c r="F238" s="204"/>
      <c r="G238" s="27">
        <f>G239</f>
        <v>3263.9</v>
      </c>
      <c r="H238" s="27">
        <f t="shared" si="113"/>
        <v>1664.3999999999999</v>
      </c>
      <c r="I238" s="27">
        <f t="shared" si="97"/>
        <v>50.99420938141487</v>
      </c>
      <c r="J238" s="129"/>
    </row>
    <row r="239" spans="1:10" ht="15.75">
      <c r="A239" s="26" t="s">
        <v>224</v>
      </c>
      <c r="B239" s="205">
        <v>902</v>
      </c>
      <c r="C239" s="203" t="s">
        <v>283</v>
      </c>
      <c r="D239" s="203" t="s">
        <v>159</v>
      </c>
      <c r="E239" s="203" t="s">
        <v>225</v>
      </c>
      <c r="F239" s="203"/>
      <c r="G239" s="27">
        <f>G240</f>
        <v>3263.9</v>
      </c>
      <c r="H239" s="27">
        <f t="shared" si="113"/>
        <v>1664.3999999999999</v>
      </c>
      <c r="I239" s="27">
        <f t="shared" si="97"/>
        <v>50.99420938141487</v>
      </c>
      <c r="J239" s="129"/>
    </row>
    <row r="240" spans="1:10" ht="47.25">
      <c r="A240" s="33" t="s">
        <v>298</v>
      </c>
      <c r="B240" s="205">
        <v>902</v>
      </c>
      <c r="C240" s="203" t="s">
        <v>283</v>
      </c>
      <c r="D240" s="203" t="s">
        <v>159</v>
      </c>
      <c r="E240" s="203" t="s">
        <v>299</v>
      </c>
      <c r="F240" s="203"/>
      <c r="G240" s="27">
        <f>G241+G243</f>
        <v>3263.9</v>
      </c>
      <c r="H240" s="27">
        <f aca="true" t="shared" si="114" ref="H240">H241+H243</f>
        <v>1664.3999999999999</v>
      </c>
      <c r="I240" s="27">
        <f t="shared" si="97"/>
        <v>50.99420938141487</v>
      </c>
      <c r="J240" s="129"/>
    </row>
    <row r="241" spans="1:10" ht="63">
      <c r="A241" s="26" t="s">
        <v>166</v>
      </c>
      <c r="B241" s="205">
        <v>902</v>
      </c>
      <c r="C241" s="203" t="s">
        <v>283</v>
      </c>
      <c r="D241" s="203" t="s">
        <v>159</v>
      </c>
      <c r="E241" s="203" t="s">
        <v>299</v>
      </c>
      <c r="F241" s="203" t="s">
        <v>167</v>
      </c>
      <c r="G241" s="27">
        <f>G242</f>
        <v>2995.8</v>
      </c>
      <c r="H241" s="27">
        <f aca="true" t="shared" si="115" ref="H241">H242</f>
        <v>1588.6</v>
      </c>
      <c r="I241" s="27">
        <f t="shared" si="97"/>
        <v>53.027571934040985</v>
      </c>
      <c r="J241" s="129"/>
    </row>
    <row r="242" spans="1:10" ht="31.5">
      <c r="A242" s="26" t="s">
        <v>168</v>
      </c>
      <c r="B242" s="205">
        <v>902</v>
      </c>
      <c r="C242" s="203" t="s">
        <v>283</v>
      </c>
      <c r="D242" s="203" t="s">
        <v>159</v>
      </c>
      <c r="E242" s="203" t="s">
        <v>299</v>
      </c>
      <c r="F242" s="203" t="s">
        <v>169</v>
      </c>
      <c r="G242" s="28">
        <f>2972.5+23.3</f>
        <v>2995.8</v>
      </c>
      <c r="H242" s="28">
        <v>1588.6</v>
      </c>
      <c r="I242" s="27">
        <f t="shared" si="97"/>
        <v>53.027571934040985</v>
      </c>
      <c r="J242" s="129"/>
    </row>
    <row r="243" spans="1:10" ht="31.5">
      <c r="A243" s="26" t="s">
        <v>170</v>
      </c>
      <c r="B243" s="205">
        <v>902</v>
      </c>
      <c r="C243" s="203" t="s">
        <v>283</v>
      </c>
      <c r="D243" s="203" t="s">
        <v>159</v>
      </c>
      <c r="E243" s="203" t="s">
        <v>299</v>
      </c>
      <c r="F243" s="203" t="s">
        <v>171</v>
      </c>
      <c r="G243" s="27">
        <f>G244</f>
        <v>268.09999999999997</v>
      </c>
      <c r="H243" s="27">
        <f aca="true" t="shared" si="116" ref="H243">H244</f>
        <v>75.8</v>
      </c>
      <c r="I243" s="27">
        <f t="shared" si="97"/>
        <v>28.273032450578146</v>
      </c>
      <c r="J243" s="129"/>
    </row>
    <row r="244" spans="1:10" ht="31.5">
      <c r="A244" s="26" t="s">
        <v>172</v>
      </c>
      <c r="B244" s="205">
        <v>902</v>
      </c>
      <c r="C244" s="203" t="s">
        <v>283</v>
      </c>
      <c r="D244" s="203" t="s">
        <v>159</v>
      </c>
      <c r="E244" s="203" t="s">
        <v>299</v>
      </c>
      <c r="F244" s="203" t="s">
        <v>173</v>
      </c>
      <c r="G244" s="28">
        <f>291.4-23.3</f>
        <v>268.09999999999997</v>
      </c>
      <c r="H244" s="28">
        <v>75.8</v>
      </c>
      <c r="I244" s="27">
        <f t="shared" si="97"/>
        <v>28.273032450578146</v>
      </c>
      <c r="J244" s="129"/>
    </row>
    <row r="245" spans="1:10" ht="39.75" customHeight="1">
      <c r="A245" s="20" t="s">
        <v>300</v>
      </c>
      <c r="B245" s="202">
        <v>903</v>
      </c>
      <c r="C245" s="203"/>
      <c r="D245" s="203"/>
      <c r="E245" s="203"/>
      <c r="F245" s="203"/>
      <c r="G245" s="22">
        <f>G295+G372+G536+G246+G285</f>
        <v>87595.5</v>
      </c>
      <c r="H245" s="22">
        <f aca="true" t="shared" si="117" ref="H245">H295+H372+H536+H246+H285</f>
        <v>60604.200000000004</v>
      </c>
      <c r="I245" s="22">
        <f t="shared" si="97"/>
        <v>69.18643080980188</v>
      </c>
      <c r="J245" s="129"/>
    </row>
    <row r="246" spans="1:10" ht="15.75">
      <c r="A246" s="24" t="s">
        <v>156</v>
      </c>
      <c r="B246" s="202">
        <v>903</v>
      </c>
      <c r="C246" s="204" t="s">
        <v>157</v>
      </c>
      <c r="D246" s="203"/>
      <c r="E246" s="203"/>
      <c r="F246" s="203"/>
      <c r="G246" s="22">
        <f>G247</f>
        <v>510</v>
      </c>
      <c r="H246" s="22">
        <f aca="true" t="shared" si="118" ref="H246">H247</f>
        <v>282.3</v>
      </c>
      <c r="I246" s="22">
        <f t="shared" si="97"/>
        <v>55.352941176470594</v>
      </c>
      <c r="J246" s="129"/>
    </row>
    <row r="247" spans="1:10" ht="15.75">
      <c r="A247" s="24" t="s">
        <v>178</v>
      </c>
      <c r="B247" s="202">
        <v>903</v>
      </c>
      <c r="C247" s="204" t="s">
        <v>157</v>
      </c>
      <c r="D247" s="204" t="s">
        <v>179</v>
      </c>
      <c r="E247" s="203"/>
      <c r="F247" s="203"/>
      <c r="G247" s="22">
        <f>G273+G253+G269+G278+G248</f>
        <v>510</v>
      </c>
      <c r="H247" s="22">
        <f aca="true" t="shared" si="119" ref="H247">H273+H253+H269+H278+H248</f>
        <v>282.3</v>
      </c>
      <c r="I247" s="22">
        <f t="shared" si="97"/>
        <v>55.352941176470594</v>
      </c>
      <c r="J247" s="129"/>
    </row>
    <row r="248" spans="1:10" ht="31.5">
      <c r="A248" s="26" t="s">
        <v>382</v>
      </c>
      <c r="B248" s="205">
        <v>903</v>
      </c>
      <c r="C248" s="207" t="s">
        <v>157</v>
      </c>
      <c r="D248" s="207" t="s">
        <v>179</v>
      </c>
      <c r="E248" s="208" t="s">
        <v>383</v>
      </c>
      <c r="F248" s="207"/>
      <c r="G248" s="27">
        <f>G249</f>
        <v>350</v>
      </c>
      <c r="H248" s="27">
        <f aca="true" t="shared" si="120" ref="H248:H251">H249</f>
        <v>282.3</v>
      </c>
      <c r="I248" s="27">
        <f t="shared" si="97"/>
        <v>80.65714285714286</v>
      </c>
      <c r="J248" s="129"/>
    </row>
    <row r="249" spans="1:10" ht="78.75">
      <c r="A249" s="31" t="s">
        <v>419</v>
      </c>
      <c r="B249" s="205">
        <v>903</v>
      </c>
      <c r="C249" s="206" t="s">
        <v>157</v>
      </c>
      <c r="D249" s="206" t="s">
        <v>179</v>
      </c>
      <c r="E249" s="206" t="s">
        <v>420</v>
      </c>
      <c r="F249" s="206"/>
      <c r="G249" s="27">
        <f>G250</f>
        <v>350</v>
      </c>
      <c r="H249" s="27">
        <f t="shared" si="120"/>
        <v>282.3</v>
      </c>
      <c r="I249" s="27">
        <f t="shared" si="97"/>
        <v>80.65714285714286</v>
      </c>
      <c r="J249" s="129"/>
    </row>
    <row r="250" spans="1:10" ht="31.5">
      <c r="A250" s="31" t="s">
        <v>196</v>
      </c>
      <c r="B250" s="205">
        <v>903</v>
      </c>
      <c r="C250" s="206" t="s">
        <v>157</v>
      </c>
      <c r="D250" s="206" t="s">
        <v>179</v>
      </c>
      <c r="E250" s="206" t="s">
        <v>421</v>
      </c>
      <c r="F250" s="206"/>
      <c r="G250" s="27">
        <f>G251</f>
        <v>350</v>
      </c>
      <c r="H250" s="27">
        <f t="shared" si="120"/>
        <v>282.3</v>
      </c>
      <c r="I250" s="27">
        <f t="shared" si="97"/>
        <v>80.65714285714286</v>
      </c>
      <c r="J250" s="129"/>
    </row>
    <row r="251" spans="1:10" ht="31.5">
      <c r="A251" s="31" t="s">
        <v>170</v>
      </c>
      <c r="B251" s="205">
        <v>903</v>
      </c>
      <c r="C251" s="206" t="s">
        <v>157</v>
      </c>
      <c r="D251" s="206" t="s">
        <v>179</v>
      </c>
      <c r="E251" s="206" t="s">
        <v>421</v>
      </c>
      <c r="F251" s="206" t="s">
        <v>171</v>
      </c>
      <c r="G251" s="27">
        <f>G252</f>
        <v>350</v>
      </c>
      <c r="H251" s="27">
        <f t="shared" si="120"/>
        <v>282.3</v>
      </c>
      <c r="I251" s="27">
        <f t="shared" si="97"/>
        <v>80.65714285714286</v>
      </c>
      <c r="J251" s="129"/>
    </row>
    <row r="252" spans="1:10" ht="31.5">
      <c r="A252" s="31" t="s">
        <v>172</v>
      </c>
      <c r="B252" s="205">
        <v>903</v>
      </c>
      <c r="C252" s="206" t="s">
        <v>157</v>
      </c>
      <c r="D252" s="206" t="s">
        <v>179</v>
      </c>
      <c r="E252" s="206" t="s">
        <v>421</v>
      </c>
      <c r="F252" s="206" t="s">
        <v>173</v>
      </c>
      <c r="G252" s="27">
        <f>200+150</f>
        <v>350</v>
      </c>
      <c r="H252" s="27">
        <v>282.3</v>
      </c>
      <c r="I252" s="27">
        <f t="shared" si="97"/>
        <v>80.65714285714286</v>
      </c>
      <c r="J252" s="129"/>
    </row>
    <row r="253" spans="1:10" ht="31.5">
      <c r="A253" s="26" t="s">
        <v>373</v>
      </c>
      <c r="B253" s="205">
        <v>903</v>
      </c>
      <c r="C253" s="203" t="s">
        <v>157</v>
      </c>
      <c r="D253" s="203" t="s">
        <v>179</v>
      </c>
      <c r="E253" s="203" t="s">
        <v>374</v>
      </c>
      <c r="F253" s="203"/>
      <c r="G253" s="27">
        <f>G257+G263+G254+G260+G266</f>
        <v>155</v>
      </c>
      <c r="H253" s="27">
        <f aca="true" t="shared" si="121" ref="H253">H257+H263+H254+H260+H266</f>
        <v>0</v>
      </c>
      <c r="I253" s="27">
        <f t="shared" si="97"/>
        <v>0</v>
      </c>
      <c r="J253" s="129"/>
    </row>
    <row r="254" spans="1:10" ht="31.5">
      <c r="A254" s="117" t="s">
        <v>897</v>
      </c>
      <c r="B254" s="205">
        <v>903</v>
      </c>
      <c r="C254" s="203" t="s">
        <v>157</v>
      </c>
      <c r="D254" s="203" t="s">
        <v>179</v>
      </c>
      <c r="E254" s="203" t="s">
        <v>376</v>
      </c>
      <c r="F254" s="203"/>
      <c r="G254" s="27">
        <f>G255</f>
        <v>90</v>
      </c>
      <c r="H254" s="27">
        <f aca="true" t="shared" si="122" ref="H254:H255">H255</f>
        <v>0</v>
      </c>
      <c r="I254" s="27">
        <f t="shared" si="97"/>
        <v>0</v>
      </c>
      <c r="J254" s="129"/>
    </row>
    <row r="255" spans="1:10" ht="31.5">
      <c r="A255" s="26" t="s">
        <v>170</v>
      </c>
      <c r="B255" s="205">
        <v>903</v>
      </c>
      <c r="C255" s="203" t="s">
        <v>157</v>
      </c>
      <c r="D255" s="203" t="s">
        <v>179</v>
      </c>
      <c r="E255" s="203" t="s">
        <v>376</v>
      </c>
      <c r="F255" s="203" t="s">
        <v>171</v>
      </c>
      <c r="G255" s="27">
        <f>G256</f>
        <v>90</v>
      </c>
      <c r="H255" s="27">
        <f t="shared" si="122"/>
        <v>0</v>
      </c>
      <c r="I255" s="27">
        <f t="shared" si="97"/>
        <v>0</v>
      </c>
      <c r="J255" s="129"/>
    </row>
    <row r="256" spans="1:10" ht="31.5">
      <c r="A256" s="26" t="s">
        <v>172</v>
      </c>
      <c r="B256" s="205">
        <v>903</v>
      </c>
      <c r="C256" s="203" t="s">
        <v>157</v>
      </c>
      <c r="D256" s="203" t="s">
        <v>179</v>
      </c>
      <c r="E256" s="203" t="s">
        <v>376</v>
      </c>
      <c r="F256" s="203" t="s">
        <v>173</v>
      </c>
      <c r="G256" s="27">
        <v>90</v>
      </c>
      <c r="H256" s="27">
        <v>0</v>
      </c>
      <c r="I256" s="27">
        <f t="shared" si="97"/>
        <v>0</v>
      </c>
      <c r="J256" s="129"/>
    </row>
    <row r="257" spans="1:10" ht="15.75">
      <c r="A257" s="26" t="s">
        <v>377</v>
      </c>
      <c r="B257" s="205">
        <v>903</v>
      </c>
      <c r="C257" s="203" t="s">
        <v>157</v>
      </c>
      <c r="D257" s="203" t="s">
        <v>179</v>
      </c>
      <c r="E257" s="203" t="s">
        <v>378</v>
      </c>
      <c r="F257" s="203"/>
      <c r="G257" s="27">
        <f>G258</f>
        <v>25</v>
      </c>
      <c r="H257" s="27">
        <f aca="true" t="shared" si="123" ref="H257:H258">H258</f>
        <v>0</v>
      </c>
      <c r="I257" s="27">
        <f t="shared" si="97"/>
        <v>0</v>
      </c>
      <c r="J257" s="129"/>
    </row>
    <row r="258" spans="1:10" ht="31.5">
      <c r="A258" s="26" t="s">
        <v>170</v>
      </c>
      <c r="B258" s="205">
        <v>903</v>
      </c>
      <c r="C258" s="203" t="s">
        <v>157</v>
      </c>
      <c r="D258" s="203" t="s">
        <v>179</v>
      </c>
      <c r="E258" s="203" t="s">
        <v>378</v>
      </c>
      <c r="F258" s="203" t="s">
        <v>171</v>
      </c>
      <c r="G258" s="27">
        <f>G259</f>
        <v>25</v>
      </c>
      <c r="H258" s="27">
        <f t="shared" si="123"/>
        <v>0</v>
      </c>
      <c r="I258" s="27">
        <f t="shared" si="97"/>
        <v>0</v>
      </c>
      <c r="J258" s="129"/>
    </row>
    <row r="259" spans="1:10" ht="31.5">
      <c r="A259" s="26" t="s">
        <v>172</v>
      </c>
      <c r="B259" s="205">
        <v>903</v>
      </c>
      <c r="C259" s="203" t="s">
        <v>157</v>
      </c>
      <c r="D259" s="203" t="s">
        <v>179</v>
      </c>
      <c r="E259" s="203" t="s">
        <v>378</v>
      </c>
      <c r="F259" s="203" t="s">
        <v>173</v>
      </c>
      <c r="G259" s="27">
        <v>25</v>
      </c>
      <c r="H259" s="27">
        <v>0</v>
      </c>
      <c r="I259" s="27">
        <f t="shared" si="97"/>
        <v>0</v>
      </c>
      <c r="J259" s="129"/>
    </row>
    <row r="260" spans="1:10" ht="31.5">
      <c r="A260" s="33" t="s">
        <v>898</v>
      </c>
      <c r="B260" s="205">
        <v>903</v>
      </c>
      <c r="C260" s="203" t="s">
        <v>157</v>
      </c>
      <c r="D260" s="203" t="s">
        <v>179</v>
      </c>
      <c r="E260" s="203" t="s">
        <v>895</v>
      </c>
      <c r="F260" s="203"/>
      <c r="G260" s="27">
        <f>G261</f>
        <v>10</v>
      </c>
      <c r="H260" s="27">
        <f aca="true" t="shared" si="124" ref="H260:H261">H261</f>
        <v>0</v>
      </c>
      <c r="I260" s="27">
        <f t="shared" si="97"/>
        <v>0</v>
      </c>
      <c r="J260" s="129"/>
    </row>
    <row r="261" spans="1:10" ht="31.5">
      <c r="A261" s="26" t="s">
        <v>170</v>
      </c>
      <c r="B261" s="205">
        <v>903</v>
      </c>
      <c r="C261" s="203" t="s">
        <v>157</v>
      </c>
      <c r="D261" s="203" t="s">
        <v>179</v>
      </c>
      <c r="E261" s="203" t="s">
        <v>895</v>
      </c>
      <c r="F261" s="203" t="s">
        <v>171</v>
      </c>
      <c r="G261" s="27">
        <f>G262</f>
        <v>10</v>
      </c>
      <c r="H261" s="27">
        <f t="shared" si="124"/>
        <v>0</v>
      </c>
      <c r="I261" s="27">
        <f t="shared" si="97"/>
        <v>0</v>
      </c>
      <c r="J261" s="129"/>
    </row>
    <row r="262" spans="1:10" ht="31.5">
      <c r="A262" s="26" t="s">
        <v>172</v>
      </c>
      <c r="B262" s="205">
        <v>903</v>
      </c>
      <c r="C262" s="203" t="s">
        <v>157</v>
      </c>
      <c r="D262" s="203" t="s">
        <v>179</v>
      </c>
      <c r="E262" s="203" t="s">
        <v>895</v>
      </c>
      <c r="F262" s="203" t="s">
        <v>173</v>
      </c>
      <c r="G262" s="27">
        <v>10</v>
      </c>
      <c r="H262" s="27">
        <v>0</v>
      </c>
      <c r="I262" s="27">
        <f t="shared" si="97"/>
        <v>0</v>
      </c>
      <c r="J262" s="129"/>
    </row>
    <row r="263" spans="1:10" ht="47.25">
      <c r="A263" s="26" t="s">
        <v>778</v>
      </c>
      <c r="B263" s="205">
        <v>903</v>
      </c>
      <c r="C263" s="203" t="s">
        <v>157</v>
      </c>
      <c r="D263" s="203" t="s">
        <v>179</v>
      </c>
      <c r="E263" s="203" t="s">
        <v>900</v>
      </c>
      <c r="F263" s="203"/>
      <c r="G263" s="27">
        <f>G264</f>
        <v>30</v>
      </c>
      <c r="H263" s="27">
        <f aca="true" t="shared" si="125" ref="H263:H264">H264</f>
        <v>0</v>
      </c>
      <c r="I263" s="27">
        <f t="shared" si="97"/>
        <v>0</v>
      </c>
      <c r="J263" s="129"/>
    </row>
    <row r="264" spans="1:10" ht="31.5">
      <c r="A264" s="26" t="s">
        <v>170</v>
      </c>
      <c r="B264" s="205">
        <v>903</v>
      </c>
      <c r="C264" s="203" t="s">
        <v>157</v>
      </c>
      <c r="D264" s="203" t="s">
        <v>179</v>
      </c>
      <c r="E264" s="203" t="s">
        <v>900</v>
      </c>
      <c r="F264" s="203" t="s">
        <v>171</v>
      </c>
      <c r="G264" s="27">
        <f>G265</f>
        <v>30</v>
      </c>
      <c r="H264" s="27">
        <f t="shared" si="125"/>
        <v>0</v>
      </c>
      <c r="I264" s="27">
        <f t="shared" si="97"/>
        <v>0</v>
      </c>
      <c r="J264" s="129"/>
    </row>
    <row r="265" spans="1:10" ht="31.5">
      <c r="A265" s="26" t="s">
        <v>172</v>
      </c>
      <c r="B265" s="205">
        <v>903</v>
      </c>
      <c r="C265" s="203" t="s">
        <v>157</v>
      </c>
      <c r="D265" s="203" t="s">
        <v>179</v>
      </c>
      <c r="E265" s="203" t="s">
        <v>900</v>
      </c>
      <c r="F265" s="203" t="s">
        <v>173</v>
      </c>
      <c r="G265" s="27">
        <v>30</v>
      </c>
      <c r="H265" s="27">
        <v>0</v>
      </c>
      <c r="I265" s="27">
        <f t="shared" si="97"/>
        <v>0</v>
      </c>
      <c r="J265" s="129"/>
    </row>
    <row r="266" spans="1:10" ht="31.5" hidden="1">
      <c r="A266" s="33" t="s">
        <v>899</v>
      </c>
      <c r="B266" s="205">
        <v>903</v>
      </c>
      <c r="C266" s="203" t="s">
        <v>157</v>
      </c>
      <c r="D266" s="203" t="s">
        <v>179</v>
      </c>
      <c r="E266" s="203" t="s">
        <v>896</v>
      </c>
      <c r="F266" s="203"/>
      <c r="G266" s="27">
        <f>G267</f>
        <v>0</v>
      </c>
      <c r="H266" s="27">
        <f aca="true" t="shared" si="126" ref="H266:H267">H267</f>
        <v>0</v>
      </c>
      <c r="I266" s="27" t="e">
        <f t="shared" si="97"/>
        <v>#DIV/0!</v>
      </c>
      <c r="J266" s="129"/>
    </row>
    <row r="267" spans="1:10" ht="31.5" hidden="1">
      <c r="A267" s="26" t="s">
        <v>170</v>
      </c>
      <c r="B267" s="205">
        <v>903</v>
      </c>
      <c r="C267" s="203" t="s">
        <v>157</v>
      </c>
      <c r="D267" s="203" t="s">
        <v>179</v>
      </c>
      <c r="E267" s="203" t="s">
        <v>896</v>
      </c>
      <c r="F267" s="203" t="s">
        <v>171</v>
      </c>
      <c r="G267" s="27">
        <f>G268</f>
        <v>0</v>
      </c>
      <c r="H267" s="27">
        <f t="shared" si="126"/>
        <v>0</v>
      </c>
      <c r="I267" s="27" t="e">
        <f aca="true" t="shared" si="127" ref="I267:I330">H267/G267*100</f>
        <v>#DIV/0!</v>
      </c>
      <c r="J267" s="129"/>
    </row>
    <row r="268" spans="1:10" ht="31.5" hidden="1">
      <c r="A268" s="26" t="s">
        <v>172</v>
      </c>
      <c r="B268" s="205">
        <v>903</v>
      </c>
      <c r="C268" s="203" t="s">
        <v>157</v>
      </c>
      <c r="D268" s="203" t="s">
        <v>179</v>
      </c>
      <c r="E268" s="203" t="s">
        <v>896</v>
      </c>
      <c r="F268" s="203" t="s">
        <v>173</v>
      </c>
      <c r="G268" s="27">
        <v>0</v>
      </c>
      <c r="H268" s="27">
        <v>0</v>
      </c>
      <c r="I268" s="27" t="e">
        <f t="shared" si="127"/>
        <v>#DIV/0!</v>
      </c>
      <c r="J268" s="129"/>
    </row>
    <row r="269" spans="1:10" ht="47.25" hidden="1">
      <c r="A269" s="31" t="s">
        <v>777</v>
      </c>
      <c r="B269" s="205">
        <v>903</v>
      </c>
      <c r="C269" s="203" t="s">
        <v>157</v>
      </c>
      <c r="D269" s="203" t="s">
        <v>179</v>
      </c>
      <c r="E269" s="203" t="s">
        <v>775</v>
      </c>
      <c r="F269" s="203"/>
      <c r="G269" s="27">
        <f>G270</f>
        <v>0</v>
      </c>
      <c r="H269" s="27">
        <f aca="true" t="shared" si="128" ref="H269:H271">H270</f>
        <v>0</v>
      </c>
      <c r="I269" s="27" t="e">
        <f t="shared" si="127"/>
        <v>#DIV/0!</v>
      </c>
      <c r="J269" s="129"/>
    </row>
    <row r="270" spans="1:10" ht="31.5" hidden="1">
      <c r="A270" s="26" t="s">
        <v>408</v>
      </c>
      <c r="B270" s="205">
        <v>903</v>
      </c>
      <c r="C270" s="203" t="s">
        <v>157</v>
      </c>
      <c r="D270" s="203" t="s">
        <v>179</v>
      </c>
      <c r="E270" s="203" t="s">
        <v>783</v>
      </c>
      <c r="F270" s="203"/>
      <c r="G270" s="27">
        <f>G271</f>
        <v>0</v>
      </c>
      <c r="H270" s="27">
        <f t="shared" si="128"/>
        <v>0</v>
      </c>
      <c r="I270" s="27" t="e">
        <f t="shared" si="127"/>
        <v>#DIV/0!</v>
      </c>
      <c r="J270" s="129"/>
    </row>
    <row r="271" spans="1:10" ht="31.5" hidden="1">
      <c r="A271" s="26" t="s">
        <v>170</v>
      </c>
      <c r="B271" s="205">
        <v>903</v>
      </c>
      <c r="C271" s="203" t="s">
        <v>157</v>
      </c>
      <c r="D271" s="203" t="s">
        <v>179</v>
      </c>
      <c r="E271" s="203" t="s">
        <v>783</v>
      </c>
      <c r="F271" s="203" t="s">
        <v>171</v>
      </c>
      <c r="G271" s="27">
        <f>G272</f>
        <v>0</v>
      </c>
      <c r="H271" s="27">
        <f t="shared" si="128"/>
        <v>0</v>
      </c>
      <c r="I271" s="27" t="e">
        <f t="shared" si="127"/>
        <v>#DIV/0!</v>
      </c>
      <c r="J271" s="129"/>
    </row>
    <row r="272" spans="1:10" ht="31.5" hidden="1">
      <c r="A272" s="26" t="s">
        <v>172</v>
      </c>
      <c r="B272" s="205">
        <v>903</v>
      </c>
      <c r="C272" s="203" t="s">
        <v>157</v>
      </c>
      <c r="D272" s="203" t="s">
        <v>179</v>
      </c>
      <c r="E272" s="203" t="s">
        <v>783</v>
      </c>
      <c r="F272" s="203" t="s">
        <v>173</v>
      </c>
      <c r="G272" s="27">
        <v>0</v>
      </c>
      <c r="H272" s="27">
        <v>0</v>
      </c>
      <c r="I272" s="27" t="e">
        <f t="shared" si="127"/>
        <v>#DIV/0!</v>
      </c>
      <c r="J272" s="129"/>
    </row>
    <row r="273" spans="1:10" ht="15.75" hidden="1">
      <c r="A273" s="26" t="s">
        <v>160</v>
      </c>
      <c r="B273" s="205">
        <v>903</v>
      </c>
      <c r="C273" s="203" t="s">
        <v>157</v>
      </c>
      <c r="D273" s="203" t="s">
        <v>179</v>
      </c>
      <c r="E273" s="203" t="s">
        <v>161</v>
      </c>
      <c r="F273" s="203"/>
      <c r="G273" s="27">
        <f>G274</f>
        <v>0</v>
      </c>
      <c r="H273" s="27">
        <f aca="true" t="shared" si="129" ref="H273:H276">H274</f>
        <v>0</v>
      </c>
      <c r="I273" s="27" t="e">
        <f t="shared" si="127"/>
        <v>#DIV/0!</v>
      </c>
      <c r="J273" s="129"/>
    </row>
    <row r="274" spans="1:10" ht="15.75" hidden="1">
      <c r="A274" s="26" t="s">
        <v>224</v>
      </c>
      <c r="B274" s="205">
        <v>903</v>
      </c>
      <c r="C274" s="203" t="s">
        <v>157</v>
      </c>
      <c r="D274" s="203" t="s">
        <v>179</v>
      </c>
      <c r="E274" s="203" t="s">
        <v>225</v>
      </c>
      <c r="F274" s="203"/>
      <c r="G274" s="27">
        <f>G275</f>
        <v>0</v>
      </c>
      <c r="H274" s="27">
        <f t="shared" si="129"/>
        <v>0</v>
      </c>
      <c r="I274" s="27" t="e">
        <f t="shared" si="127"/>
        <v>#DIV/0!</v>
      </c>
      <c r="J274" s="129"/>
    </row>
    <row r="275" spans="1:10" ht="31.5" hidden="1">
      <c r="A275" s="37" t="s">
        <v>805</v>
      </c>
      <c r="B275" s="205">
        <v>903</v>
      </c>
      <c r="C275" s="203" t="s">
        <v>157</v>
      </c>
      <c r="D275" s="203" t="s">
        <v>179</v>
      </c>
      <c r="E275" s="203" t="s">
        <v>804</v>
      </c>
      <c r="F275" s="204"/>
      <c r="G275" s="27">
        <f>G276</f>
        <v>0</v>
      </c>
      <c r="H275" s="27">
        <f t="shared" si="129"/>
        <v>0</v>
      </c>
      <c r="I275" s="27" t="e">
        <f t="shared" si="127"/>
        <v>#DIV/0!</v>
      </c>
      <c r="J275" s="129"/>
    </row>
    <row r="276" spans="1:10" ht="31.5" hidden="1">
      <c r="A276" s="26" t="s">
        <v>170</v>
      </c>
      <c r="B276" s="205">
        <v>903</v>
      </c>
      <c r="C276" s="203" t="s">
        <v>157</v>
      </c>
      <c r="D276" s="203" t="s">
        <v>179</v>
      </c>
      <c r="E276" s="203" t="s">
        <v>804</v>
      </c>
      <c r="F276" s="203" t="s">
        <v>171</v>
      </c>
      <c r="G276" s="27">
        <f>G277</f>
        <v>0</v>
      </c>
      <c r="H276" s="27">
        <f t="shared" si="129"/>
        <v>0</v>
      </c>
      <c r="I276" s="27" t="e">
        <f t="shared" si="127"/>
        <v>#DIV/0!</v>
      </c>
      <c r="J276" s="129"/>
    </row>
    <row r="277" spans="1:10" ht="53.25" customHeight="1" hidden="1">
      <c r="A277" s="26" t="s">
        <v>172</v>
      </c>
      <c r="B277" s="205">
        <v>903</v>
      </c>
      <c r="C277" s="203" t="s">
        <v>157</v>
      </c>
      <c r="D277" s="203" t="s">
        <v>179</v>
      </c>
      <c r="E277" s="203" t="s">
        <v>804</v>
      </c>
      <c r="F277" s="203" t="s">
        <v>173</v>
      </c>
      <c r="G277" s="27">
        <v>0</v>
      </c>
      <c r="H277" s="27">
        <v>0</v>
      </c>
      <c r="I277" s="27" t="e">
        <f t="shared" si="127"/>
        <v>#DIV/0!</v>
      </c>
      <c r="J277" s="129"/>
    </row>
    <row r="278" spans="1:10" ht="48.75" customHeight="1">
      <c r="A278" s="31" t="s">
        <v>777</v>
      </c>
      <c r="B278" s="205">
        <v>903</v>
      </c>
      <c r="C278" s="203" t="s">
        <v>157</v>
      </c>
      <c r="D278" s="203" t="s">
        <v>179</v>
      </c>
      <c r="E278" s="203" t="s">
        <v>775</v>
      </c>
      <c r="F278" s="210"/>
      <c r="G278" s="27">
        <f>G279+G282</f>
        <v>5</v>
      </c>
      <c r="H278" s="27">
        <f aca="true" t="shared" si="130" ref="H278">H279+H282</f>
        <v>0</v>
      </c>
      <c r="I278" s="27">
        <f t="shared" si="127"/>
        <v>0</v>
      </c>
      <c r="J278" s="129"/>
    </row>
    <row r="279" spans="1:10" ht="38.25" customHeight="1">
      <c r="A279" s="119" t="s">
        <v>906</v>
      </c>
      <c r="B279" s="205">
        <v>903</v>
      </c>
      <c r="C279" s="203" t="s">
        <v>157</v>
      </c>
      <c r="D279" s="203" t="s">
        <v>179</v>
      </c>
      <c r="E279" s="203" t="s">
        <v>905</v>
      </c>
      <c r="F279" s="210"/>
      <c r="G279" s="27">
        <f>G280</f>
        <v>5</v>
      </c>
      <c r="H279" s="27">
        <f aca="true" t="shared" si="131" ref="H279:H280">H280</f>
        <v>0</v>
      </c>
      <c r="I279" s="27">
        <f t="shared" si="127"/>
        <v>0</v>
      </c>
      <c r="J279" s="129"/>
    </row>
    <row r="280" spans="1:10" ht="35.25" customHeight="1">
      <c r="A280" s="26" t="s">
        <v>170</v>
      </c>
      <c r="B280" s="205">
        <v>903</v>
      </c>
      <c r="C280" s="203" t="s">
        <v>157</v>
      </c>
      <c r="D280" s="203" t="s">
        <v>179</v>
      </c>
      <c r="E280" s="203" t="s">
        <v>905</v>
      </c>
      <c r="F280" s="210" t="s">
        <v>171</v>
      </c>
      <c r="G280" s="27">
        <f>G281</f>
        <v>5</v>
      </c>
      <c r="H280" s="27">
        <f t="shared" si="131"/>
        <v>0</v>
      </c>
      <c r="I280" s="27">
        <f t="shared" si="127"/>
        <v>0</v>
      </c>
      <c r="J280" s="129"/>
    </row>
    <row r="281" spans="1:10" ht="32.25" customHeight="1">
      <c r="A281" s="26" t="s">
        <v>172</v>
      </c>
      <c r="B281" s="205">
        <v>903</v>
      </c>
      <c r="C281" s="203" t="s">
        <v>157</v>
      </c>
      <c r="D281" s="203" t="s">
        <v>179</v>
      </c>
      <c r="E281" s="203" t="s">
        <v>905</v>
      </c>
      <c r="F281" s="210" t="s">
        <v>173</v>
      </c>
      <c r="G281" s="27">
        <v>5</v>
      </c>
      <c r="H281" s="27">
        <v>0</v>
      </c>
      <c r="I281" s="27">
        <f t="shared" si="127"/>
        <v>0</v>
      </c>
      <c r="J281" s="129"/>
    </row>
    <row r="282" spans="1:10" ht="51" customHeight="1" hidden="1">
      <c r="A282" s="119" t="s">
        <v>915</v>
      </c>
      <c r="B282" s="203" t="s">
        <v>685</v>
      </c>
      <c r="C282" s="203" t="s">
        <v>157</v>
      </c>
      <c r="D282" s="203" t="s">
        <v>179</v>
      </c>
      <c r="E282" s="203" t="s">
        <v>916</v>
      </c>
      <c r="F282" s="210"/>
      <c r="G282" s="27">
        <f>G283</f>
        <v>0</v>
      </c>
      <c r="H282" s="27">
        <f aca="true" t="shared" si="132" ref="H282:H283">H283</f>
        <v>0</v>
      </c>
      <c r="I282" s="22" t="e">
        <f t="shared" si="127"/>
        <v>#DIV/0!</v>
      </c>
      <c r="J282" s="129"/>
    </row>
    <row r="283" spans="1:10" ht="47.25" customHeight="1" hidden="1">
      <c r="A283" s="31" t="s">
        <v>311</v>
      </c>
      <c r="B283" s="205">
        <v>903</v>
      </c>
      <c r="C283" s="203" t="s">
        <v>157</v>
      </c>
      <c r="D283" s="203" t="s">
        <v>179</v>
      </c>
      <c r="E283" s="203" t="s">
        <v>916</v>
      </c>
      <c r="F283" s="210" t="s">
        <v>312</v>
      </c>
      <c r="G283" s="27">
        <f>G284</f>
        <v>0</v>
      </c>
      <c r="H283" s="27">
        <f t="shared" si="132"/>
        <v>0</v>
      </c>
      <c r="I283" s="22" t="e">
        <f t="shared" si="127"/>
        <v>#DIV/0!</v>
      </c>
      <c r="J283" s="129"/>
    </row>
    <row r="284" spans="1:10" ht="21" customHeight="1" hidden="1">
      <c r="A284" s="242" t="s">
        <v>313</v>
      </c>
      <c r="B284" s="205">
        <v>903</v>
      </c>
      <c r="C284" s="203" t="s">
        <v>157</v>
      </c>
      <c r="D284" s="203" t="s">
        <v>179</v>
      </c>
      <c r="E284" s="203" t="s">
        <v>916</v>
      </c>
      <c r="F284" s="210" t="s">
        <v>314</v>
      </c>
      <c r="G284" s="27">
        <v>0</v>
      </c>
      <c r="H284" s="27">
        <v>0</v>
      </c>
      <c r="I284" s="22" t="e">
        <f t="shared" si="127"/>
        <v>#DIV/0!</v>
      </c>
      <c r="J284" s="129"/>
    </row>
    <row r="285" spans="1:10" ht="21" customHeight="1">
      <c r="A285" s="296" t="s">
        <v>271</v>
      </c>
      <c r="B285" s="202">
        <v>903</v>
      </c>
      <c r="C285" s="204" t="s">
        <v>189</v>
      </c>
      <c r="D285" s="203"/>
      <c r="E285" s="203"/>
      <c r="F285" s="210"/>
      <c r="G285" s="22">
        <f>G286</f>
        <v>20</v>
      </c>
      <c r="H285" s="22">
        <f aca="true" t="shared" si="133" ref="H285:H287">H286</f>
        <v>0</v>
      </c>
      <c r="I285" s="22">
        <f t="shared" si="127"/>
        <v>0</v>
      </c>
      <c r="J285" s="129"/>
    </row>
    <row r="286" spans="1:10" ht="21" customHeight="1">
      <c r="A286" s="24" t="s">
        <v>276</v>
      </c>
      <c r="B286" s="202">
        <v>903</v>
      </c>
      <c r="C286" s="204" t="s">
        <v>189</v>
      </c>
      <c r="D286" s="204" t="s">
        <v>277</v>
      </c>
      <c r="E286" s="203"/>
      <c r="F286" s="210"/>
      <c r="G286" s="22">
        <f>G287</f>
        <v>20</v>
      </c>
      <c r="H286" s="22">
        <f t="shared" si="133"/>
        <v>0</v>
      </c>
      <c r="I286" s="22">
        <f t="shared" si="127"/>
        <v>0</v>
      </c>
      <c r="J286" s="129"/>
    </row>
    <row r="287" spans="1:10" ht="37.5" customHeight="1">
      <c r="A287" s="26" t="s">
        <v>382</v>
      </c>
      <c r="B287" s="205">
        <v>903</v>
      </c>
      <c r="C287" s="203" t="s">
        <v>189</v>
      </c>
      <c r="D287" s="203" t="s">
        <v>277</v>
      </c>
      <c r="E287" s="203" t="s">
        <v>383</v>
      </c>
      <c r="F287" s="210"/>
      <c r="G287" s="27">
        <f>G288</f>
        <v>20</v>
      </c>
      <c r="H287" s="27">
        <f t="shared" si="133"/>
        <v>0</v>
      </c>
      <c r="I287" s="27">
        <f t="shared" si="127"/>
        <v>0</v>
      </c>
      <c r="J287" s="129"/>
    </row>
    <row r="288" spans="1:10" ht="53.25" customHeight="1">
      <c r="A288" s="26" t="s">
        <v>406</v>
      </c>
      <c r="B288" s="205">
        <v>903</v>
      </c>
      <c r="C288" s="203" t="s">
        <v>189</v>
      </c>
      <c r="D288" s="203" t="s">
        <v>277</v>
      </c>
      <c r="E288" s="203" t="s">
        <v>407</v>
      </c>
      <c r="F288" s="203"/>
      <c r="G288" s="27">
        <f>G289+G292</f>
        <v>20</v>
      </c>
      <c r="H288" s="27">
        <f aca="true" t="shared" si="134" ref="H288">H289+H292</f>
        <v>0</v>
      </c>
      <c r="I288" s="27">
        <f t="shared" si="127"/>
        <v>0</v>
      </c>
      <c r="J288" s="129"/>
    </row>
    <row r="289" spans="1:10" ht="36.75" customHeight="1">
      <c r="A289" s="26" t="s">
        <v>408</v>
      </c>
      <c r="B289" s="205">
        <v>903</v>
      </c>
      <c r="C289" s="203" t="s">
        <v>189</v>
      </c>
      <c r="D289" s="203" t="s">
        <v>277</v>
      </c>
      <c r="E289" s="203" t="s">
        <v>409</v>
      </c>
      <c r="F289" s="203"/>
      <c r="G289" s="27">
        <f>G290</f>
        <v>10</v>
      </c>
      <c r="H289" s="27">
        <f aca="true" t="shared" si="135" ref="H289:H290">H290</f>
        <v>0</v>
      </c>
      <c r="I289" s="27">
        <f t="shared" si="127"/>
        <v>0</v>
      </c>
      <c r="J289" s="129"/>
    </row>
    <row r="290" spans="1:10" ht="37.5" customHeight="1">
      <c r="A290" s="26" t="s">
        <v>311</v>
      </c>
      <c r="B290" s="205">
        <v>903</v>
      </c>
      <c r="C290" s="203" t="s">
        <v>189</v>
      </c>
      <c r="D290" s="203" t="s">
        <v>277</v>
      </c>
      <c r="E290" s="203" t="s">
        <v>409</v>
      </c>
      <c r="F290" s="203" t="s">
        <v>312</v>
      </c>
      <c r="G290" s="27">
        <f>G291</f>
        <v>10</v>
      </c>
      <c r="H290" s="27">
        <f t="shared" si="135"/>
        <v>0</v>
      </c>
      <c r="I290" s="27">
        <f t="shared" si="127"/>
        <v>0</v>
      </c>
      <c r="J290" s="129"/>
    </row>
    <row r="291" spans="1:10" ht="21" customHeight="1">
      <c r="A291" s="41" t="s">
        <v>410</v>
      </c>
      <c r="B291" s="205">
        <v>903</v>
      </c>
      <c r="C291" s="203" t="s">
        <v>189</v>
      </c>
      <c r="D291" s="203" t="s">
        <v>277</v>
      </c>
      <c r="E291" s="203" t="s">
        <v>409</v>
      </c>
      <c r="F291" s="203" t="s">
        <v>411</v>
      </c>
      <c r="G291" s="27">
        <v>10</v>
      </c>
      <c r="H291" s="27">
        <v>0</v>
      </c>
      <c r="I291" s="27">
        <f t="shared" si="127"/>
        <v>0</v>
      </c>
      <c r="J291" s="129"/>
    </row>
    <row r="292" spans="1:10" ht="47.25" customHeight="1">
      <c r="A292" s="26" t="s">
        <v>414</v>
      </c>
      <c r="B292" s="205">
        <v>903</v>
      </c>
      <c r="C292" s="203" t="s">
        <v>189</v>
      </c>
      <c r="D292" s="203" t="s">
        <v>277</v>
      </c>
      <c r="E292" s="203" t="s">
        <v>415</v>
      </c>
      <c r="F292" s="203"/>
      <c r="G292" s="27">
        <f>G293</f>
        <v>10</v>
      </c>
      <c r="H292" s="27">
        <f aca="true" t="shared" si="136" ref="H292:H293">H293</f>
        <v>0</v>
      </c>
      <c r="I292" s="27">
        <f t="shared" si="127"/>
        <v>0</v>
      </c>
      <c r="J292" s="129"/>
    </row>
    <row r="293" spans="1:10" ht="21" customHeight="1">
      <c r="A293" s="26" t="s">
        <v>287</v>
      </c>
      <c r="B293" s="205">
        <v>903</v>
      </c>
      <c r="C293" s="203" t="s">
        <v>189</v>
      </c>
      <c r="D293" s="203" t="s">
        <v>277</v>
      </c>
      <c r="E293" s="203" t="s">
        <v>415</v>
      </c>
      <c r="F293" s="203" t="s">
        <v>288</v>
      </c>
      <c r="G293" s="27">
        <f>G294</f>
        <v>10</v>
      </c>
      <c r="H293" s="27">
        <f t="shared" si="136"/>
        <v>0</v>
      </c>
      <c r="I293" s="27">
        <f t="shared" si="127"/>
        <v>0</v>
      </c>
      <c r="J293" s="129"/>
    </row>
    <row r="294" spans="1:10" ht="29.25" customHeight="1">
      <c r="A294" s="26" t="s">
        <v>289</v>
      </c>
      <c r="B294" s="205">
        <v>903</v>
      </c>
      <c r="C294" s="203" t="s">
        <v>189</v>
      </c>
      <c r="D294" s="203" t="s">
        <v>277</v>
      </c>
      <c r="E294" s="203" t="s">
        <v>415</v>
      </c>
      <c r="F294" s="203" t="s">
        <v>290</v>
      </c>
      <c r="G294" s="27">
        <v>10</v>
      </c>
      <c r="H294" s="27">
        <v>0</v>
      </c>
      <c r="I294" s="27">
        <f t="shared" si="127"/>
        <v>0</v>
      </c>
      <c r="J294" s="129"/>
    </row>
    <row r="295" spans="1:10" ht="15.75">
      <c r="A295" s="24" t="s">
        <v>302</v>
      </c>
      <c r="B295" s="202">
        <v>903</v>
      </c>
      <c r="C295" s="204" t="s">
        <v>303</v>
      </c>
      <c r="D295" s="203"/>
      <c r="E295" s="203"/>
      <c r="F295" s="203"/>
      <c r="G295" s="22">
        <f>G296+G353+G359</f>
        <v>17822.4</v>
      </c>
      <c r="H295" s="22">
        <f aca="true" t="shared" si="137" ref="H295">H296+H353+H359</f>
        <v>11968.600000000002</v>
      </c>
      <c r="I295" s="22">
        <f t="shared" si="127"/>
        <v>67.15481641080888</v>
      </c>
      <c r="J295" s="129"/>
    </row>
    <row r="296" spans="1:10" ht="15.75">
      <c r="A296" s="24" t="s">
        <v>304</v>
      </c>
      <c r="B296" s="202">
        <v>903</v>
      </c>
      <c r="C296" s="204" t="s">
        <v>303</v>
      </c>
      <c r="D296" s="204" t="s">
        <v>254</v>
      </c>
      <c r="E296" s="204"/>
      <c r="F296" s="204"/>
      <c r="G296" s="22">
        <f>G297+G342+G338</f>
        <v>16822.4</v>
      </c>
      <c r="H296" s="22">
        <f aca="true" t="shared" si="138" ref="H296">H297+H342+H338</f>
        <v>11347.500000000002</v>
      </c>
      <c r="I296" s="22">
        <f t="shared" si="127"/>
        <v>67.45470325280579</v>
      </c>
      <c r="J296" s="129"/>
    </row>
    <row r="297" spans="1:10" ht="31.5">
      <c r="A297" s="26" t="s">
        <v>305</v>
      </c>
      <c r="B297" s="205">
        <v>903</v>
      </c>
      <c r="C297" s="203" t="s">
        <v>303</v>
      </c>
      <c r="D297" s="203" t="s">
        <v>254</v>
      </c>
      <c r="E297" s="203" t="s">
        <v>306</v>
      </c>
      <c r="F297" s="203"/>
      <c r="G297" s="27">
        <f>G298</f>
        <v>15654</v>
      </c>
      <c r="H297" s="27">
        <f aca="true" t="shared" si="139" ref="H297">H298</f>
        <v>10674.900000000001</v>
      </c>
      <c r="I297" s="27">
        <f t="shared" si="127"/>
        <v>68.19279417401304</v>
      </c>
      <c r="J297" s="129"/>
    </row>
    <row r="298" spans="1:10" ht="47.25">
      <c r="A298" s="26" t="s">
        <v>307</v>
      </c>
      <c r="B298" s="205">
        <v>903</v>
      </c>
      <c r="C298" s="203" t="s">
        <v>303</v>
      </c>
      <c r="D298" s="203" t="s">
        <v>254</v>
      </c>
      <c r="E298" s="203" t="s">
        <v>308</v>
      </c>
      <c r="F298" s="203"/>
      <c r="G298" s="27">
        <f>G302+G314+G317+G320+G323+G308+G299+G331+G326</f>
        <v>15654</v>
      </c>
      <c r="H298" s="27">
        <f aca="true" t="shared" si="140" ref="H298">H302+H314+H317+H320+H323+H308+H299+H331+H326</f>
        <v>10674.900000000001</v>
      </c>
      <c r="I298" s="27">
        <f t="shared" si="127"/>
        <v>68.19279417401304</v>
      </c>
      <c r="J298" s="129"/>
    </row>
    <row r="299" spans="1:10" ht="15.75">
      <c r="A299" s="279" t="s">
        <v>983</v>
      </c>
      <c r="B299" s="205">
        <v>903</v>
      </c>
      <c r="C299" s="203" t="s">
        <v>303</v>
      </c>
      <c r="D299" s="203" t="s">
        <v>254</v>
      </c>
      <c r="E299" s="203" t="s">
        <v>984</v>
      </c>
      <c r="F299" s="203"/>
      <c r="G299" s="28">
        <f>G300</f>
        <v>45</v>
      </c>
      <c r="H299" s="28">
        <f aca="true" t="shared" si="141" ref="H299:H300">H300</f>
        <v>27.6</v>
      </c>
      <c r="I299" s="27">
        <f t="shared" si="127"/>
        <v>61.33333333333334</v>
      </c>
      <c r="J299" s="129"/>
    </row>
    <row r="300" spans="1:10" ht="15.75">
      <c r="A300" s="26" t="s">
        <v>287</v>
      </c>
      <c r="B300" s="205">
        <v>903</v>
      </c>
      <c r="C300" s="203" t="s">
        <v>303</v>
      </c>
      <c r="D300" s="203" t="s">
        <v>254</v>
      </c>
      <c r="E300" s="203" t="s">
        <v>984</v>
      </c>
      <c r="F300" s="203" t="s">
        <v>288</v>
      </c>
      <c r="G300" s="28">
        <f>G301</f>
        <v>45</v>
      </c>
      <c r="H300" s="28">
        <f t="shared" si="141"/>
        <v>27.6</v>
      </c>
      <c r="I300" s="27">
        <f t="shared" si="127"/>
        <v>61.33333333333334</v>
      </c>
      <c r="J300" s="129"/>
    </row>
    <row r="301" spans="1:10" ht="15.75">
      <c r="A301" s="26" t="s">
        <v>1039</v>
      </c>
      <c r="B301" s="205">
        <v>903</v>
      </c>
      <c r="C301" s="203" t="s">
        <v>303</v>
      </c>
      <c r="D301" s="203" t="s">
        <v>254</v>
      </c>
      <c r="E301" s="203" t="s">
        <v>984</v>
      </c>
      <c r="F301" s="203" t="s">
        <v>1038</v>
      </c>
      <c r="G301" s="28">
        <v>45</v>
      </c>
      <c r="H301" s="28">
        <v>27.6</v>
      </c>
      <c r="I301" s="27">
        <f t="shared" si="127"/>
        <v>61.33333333333334</v>
      </c>
      <c r="J301" s="129"/>
    </row>
    <row r="302" spans="1:10" ht="31.5" hidden="1">
      <c r="A302" s="26" t="s">
        <v>309</v>
      </c>
      <c r="B302" s="205">
        <v>903</v>
      </c>
      <c r="C302" s="203" t="s">
        <v>303</v>
      </c>
      <c r="D302" s="203" t="s">
        <v>254</v>
      </c>
      <c r="E302" s="203" t="s">
        <v>310</v>
      </c>
      <c r="F302" s="203"/>
      <c r="G302" s="27">
        <f>G303</f>
        <v>0</v>
      </c>
      <c r="H302" s="27">
        <f aca="true" t="shared" si="142" ref="H302:H303">H303</f>
        <v>0</v>
      </c>
      <c r="I302" s="27" t="e">
        <f t="shared" si="127"/>
        <v>#DIV/0!</v>
      </c>
      <c r="J302" s="129"/>
    </row>
    <row r="303" spans="1:10" ht="31.5" hidden="1">
      <c r="A303" s="26" t="s">
        <v>311</v>
      </c>
      <c r="B303" s="205">
        <v>903</v>
      </c>
      <c r="C303" s="203" t="s">
        <v>303</v>
      </c>
      <c r="D303" s="203" t="s">
        <v>254</v>
      </c>
      <c r="E303" s="203" t="s">
        <v>310</v>
      </c>
      <c r="F303" s="203" t="s">
        <v>312</v>
      </c>
      <c r="G303" s="27">
        <f>G304</f>
        <v>0</v>
      </c>
      <c r="H303" s="27">
        <f t="shared" si="142"/>
        <v>0</v>
      </c>
      <c r="I303" s="27" t="e">
        <f t="shared" si="127"/>
        <v>#DIV/0!</v>
      </c>
      <c r="J303" s="129"/>
    </row>
    <row r="304" spans="1:10" ht="15.75" hidden="1">
      <c r="A304" s="26" t="s">
        <v>313</v>
      </c>
      <c r="B304" s="205">
        <v>903</v>
      </c>
      <c r="C304" s="203" t="s">
        <v>303</v>
      </c>
      <c r="D304" s="203" t="s">
        <v>254</v>
      </c>
      <c r="E304" s="203" t="s">
        <v>310</v>
      </c>
      <c r="F304" s="203" t="s">
        <v>314</v>
      </c>
      <c r="G304" s="28">
        <v>0</v>
      </c>
      <c r="H304" s="28">
        <v>0</v>
      </c>
      <c r="I304" s="27" t="e">
        <f t="shared" si="127"/>
        <v>#DIV/0!</v>
      </c>
      <c r="J304" s="129"/>
    </row>
    <row r="305" spans="1:10" ht="47.25" customHeight="1" hidden="1">
      <c r="A305" s="26" t="s">
        <v>315</v>
      </c>
      <c r="B305" s="205">
        <v>903</v>
      </c>
      <c r="C305" s="203" t="s">
        <v>303</v>
      </c>
      <c r="D305" s="203" t="s">
        <v>254</v>
      </c>
      <c r="E305" s="203" t="s">
        <v>316</v>
      </c>
      <c r="F305" s="203"/>
      <c r="G305" s="27">
        <f>G306</f>
        <v>0</v>
      </c>
      <c r="H305" s="27">
        <f aca="true" t="shared" si="143" ref="H305:H306">H306</f>
        <v>0</v>
      </c>
      <c r="I305" s="27" t="e">
        <f t="shared" si="127"/>
        <v>#DIV/0!</v>
      </c>
      <c r="J305" s="129"/>
    </row>
    <row r="306" spans="1:10" ht="47.25" customHeight="1" hidden="1">
      <c r="A306" s="26" t="s">
        <v>311</v>
      </c>
      <c r="B306" s="205">
        <v>903</v>
      </c>
      <c r="C306" s="203" t="s">
        <v>303</v>
      </c>
      <c r="D306" s="203" t="s">
        <v>254</v>
      </c>
      <c r="E306" s="203" t="s">
        <v>316</v>
      </c>
      <c r="F306" s="203" t="s">
        <v>312</v>
      </c>
      <c r="G306" s="27">
        <f>G307</f>
        <v>0</v>
      </c>
      <c r="H306" s="27">
        <f t="shared" si="143"/>
        <v>0</v>
      </c>
      <c r="I306" s="27" t="e">
        <f t="shared" si="127"/>
        <v>#DIV/0!</v>
      </c>
      <c r="J306" s="129"/>
    </row>
    <row r="307" spans="1:10" ht="15.75" customHeight="1" hidden="1">
      <c r="A307" s="26" t="s">
        <v>313</v>
      </c>
      <c r="B307" s="205">
        <v>903</v>
      </c>
      <c r="C307" s="203" t="s">
        <v>303</v>
      </c>
      <c r="D307" s="203" t="s">
        <v>254</v>
      </c>
      <c r="E307" s="203" t="s">
        <v>316</v>
      </c>
      <c r="F307" s="203" t="s">
        <v>314</v>
      </c>
      <c r="G307" s="27">
        <v>0</v>
      </c>
      <c r="H307" s="27">
        <v>0</v>
      </c>
      <c r="I307" s="27" t="e">
        <f t="shared" si="127"/>
        <v>#DIV/0!</v>
      </c>
      <c r="J307" s="129"/>
    </row>
    <row r="308" spans="1:10" ht="47.25" customHeight="1" hidden="1">
      <c r="A308" s="26" t="s">
        <v>317</v>
      </c>
      <c r="B308" s="205">
        <v>903</v>
      </c>
      <c r="C308" s="203" t="s">
        <v>303</v>
      </c>
      <c r="D308" s="203" t="s">
        <v>254</v>
      </c>
      <c r="E308" s="203" t="s">
        <v>318</v>
      </c>
      <c r="F308" s="203"/>
      <c r="G308" s="27">
        <f>G309</f>
        <v>0</v>
      </c>
      <c r="H308" s="27">
        <f aca="true" t="shared" si="144" ref="H308:H309">H309</f>
        <v>0</v>
      </c>
      <c r="I308" s="27" t="e">
        <f t="shared" si="127"/>
        <v>#DIV/0!</v>
      </c>
      <c r="J308" s="289"/>
    </row>
    <row r="309" spans="1:10" ht="47.25" customHeight="1" hidden="1">
      <c r="A309" s="26" t="s">
        <v>311</v>
      </c>
      <c r="B309" s="205">
        <v>903</v>
      </c>
      <c r="C309" s="203" t="s">
        <v>303</v>
      </c>
      <c r="D309" s="203" t="s">
        <v>254</v>
      </c>
      <c r="E309" s="203" t="s">
        <v>318</v>
      </c>
      <c r="F309" s="203" t="s">
        <v>312</v>
      </c>
      <c r="G309" s="27">
        <f>G310</f>
        <v>0</v>
      </c>
      <c r="H309" s="27">
        <f t="shared" si="144"/>
        <v>0</v>
      </c>
      <c r="I309" s="27" t="e">
        <f t="shared" si="127"/>
        <v>#DIV/0!</v>
      </c>
      <c r="J309" s="129"/>
    </row>
    <row r="310" spans="1:10" ht="15.75" customHeight="1" hidden="1">
      <c r="A310" s="26" t="s">
        <v>313</v>
      </c>
      <c r="B310" s="205">
        <v>903</v>
      </c>
      <c r="C310" s="203" t="s">
        <v>303</v>
      </c>
      <c r="D310" s="203" t="s">
        <v>254</v>
      </c>
      <c r="E310" s="203" t="s">
        <v>318</v>
      </c>
      <c r="F310" s="203" t="s">
        <v>314</v>
      </c>
      <c r="G310" s="27">
        <v>0</v>
      </c>
      <c r="H310" s="27">
        <v>0</v>
      </c>
      <c r="I310" s="27" t="e">
        <f t="shared" si="127"/>
        <v>#DIV/0!</v>
      </c>
      <c r="J310" s="129"/>
    </row>
    <row r="311" spans="1:10" ht="31.5" customHeight="1" hidden="1">
      <c r="A311" s="26" t="s">
        <v>319</v>
      </c>
      <c r="B311" s="205">
        <v>903</v>
      </c>
      <c r="C311" s="203" t="s">
        <v>303</v>
      </c>
      <c r="D311" s="203" t="s">
        <v>254</v>
      </c>
      <c r="E311" s="203" t="s">
        <v>320</v>
      </c>
      <c r="F311" s="203"/>
      <c r="G311" s="27">
        <f>G312</f>
        <v>0</v>
      </c>
      <c r="H311" s="27">
        <f aca="true" t="shared" si="145" ref="H311:H312">H312</f>
        <v>0</v>
      </c>
      <c r="I311" s="27" t="e">
        <f t="shared" si="127"/>
        <v>#DIV/0!</v>
      </c>
      <c r="J311" s="129"/>
    </row>
    <row r="312" spans="1:10" ht="47.25" customHeight="1" hidden="1">
      <c r="A312" s="26" t="s">
        <v>311</v>
      </c>
      <c r="B312" s="205">
        <v>903</v>
      </c>
      <c r="C312" s="203" t="s">
        <v>303</v>
      </c>
      <c r="D312" s="203" t="s">
        <v>254</v>
      </c>
      <c r="E312" s="203" t="s">
        <v>320</v>
      </c>
      <c r="F312" s="203" t="s">
        <v>312</v>
      </c>
      <c r="G312" s="27">
        <f>G313</f>
        <v>0</v>
      </c>
      <c r="H312" s="27">
        <f t="shared" si="145"/>
        <v>0</v>
      </c>
      <c r="I312" s="27" t="e">
        <f t="shared" si="127"/>
        <v>#DIV/0!</v>
      </c>
      <c r="J312" s="129"/>
    </row>
    <row r="313" spans="1:10" ht="15.75" customHeight="1" hidden="1">
      <c r="A313" s="26" t="s">
        <v>313</v>
      </c>
      <c r="B313" s="205">
        <v>903</v>
      </c>
      <c r="C313" s="203" t="s">
        <v>303</v>
      </c>
      <c r="D313" s="203" t="s">
        <v>254</v>
      </c>
      <c r="E313" s="203" t="s">
        <v>320</v>
      </c>
      <c r="F313" s="203" t="s">
        <v>314</v>
      </c>
      <c r="G313" s="27">
        <v>0</v>
      </c>
      <c r="H313" s="27">
        <v>0</v>
      </c>
      <c r="I313" s="27" t="e">
        <f t="shared" si="127"/>
        <v>#DIV/0!</v>
      </c>
      <c r="J313" s="129"/>
    </row>
    <row r="314" spans="1:10" ht="39.75" customHeight="1" hidden="1">
      <c r="A314" s="26" t="s">
        <v>321</v>
      </c>
      <c r="B314" s="205">
        <v>903</v>
      </c>
      <c r="C314" s="203" t="s">
        <v>303</v>
      </c>
      <c r="D314" s="203" t="s">
        <v>254</v>
      </c>
      <c r="E314" s="203" t="s">
        <v>322</v>
      </c>
      <c r="F314" s="203"/>
      <c r="G314" s="27">
        <f>G315</f>
        <v>0</v>
      </c>
      <c r="H314" s="27">
        <f aca="true" t="shared" si="146" ref="H314:H315">H315</f>
        <v>0</v>
      </c>
      <c r="I314" s="27" t="e">
        <f t="shared" si="127"/>
        <v>#DIV/0!</v>
      </c>
      <c r="J314" s="129"/>
    </row>
    <row r="315" spans="1:10" ht="31.5" hidden="1">
      <c r="A315" s="26" t="s">
        <v>311</v>
      </c>
      <c r="B315" s="205">
        <v>903</v>
      </c>
      <c r="C315" s="203" t="s">
        <v>303</v>
      </c>
      <c r="D315" s="203" t="s">
        <v>254</v>
      </c>
      <c r="E315" s="203" t="s">
        <v>322</v>
      </c>
      <c r="F315" s="203" t="s">
        <v>312</v>
      </c>
      <c r="G315" s="27">
        <f>G316</f>
        <v>0</v>
      </c>
      <c r="H315" s="27">
        <f t="shared" si="146"/>
        <v>0</v>
      </c>
      <c r="I315" s="27" t="e">
        <f t="shared" si="127"/>
        <v>#DIV/0!</v>
      </c>
      <c r="J315" s="129"/>
    </row>
    <row r="316" spans="1:10" ht="15.75" hidden="1">
      <c r="A316" s="26" t="s">
        <v>313</v>
      </c>
      <c r="B316" s="205">
        <v>903</v>
      </c>
      <c r="C316" s="203" t="s">
        <v>303</v>
      </c>
      <c r="D316" s="203" t="s">
        <v>254</v>
      </c>
      <c r="E316" s="203" t="s">
        <v>322</v>
      </c>
      <c r="F316" s="203" t="s">
        <v>314</v>
      </c>
      <c r="G316" s="27">
        <v>0</v>
      </c>
      <c r="H316" s="27">
        <v>0</v>
      </c>
      <c r="I316" s="27" t="e">
        <f t="shared" si="127"/>
        <v>#DIV/0!</v>
      </c>
      <c r="J316" s="129"/>
    </row>
    <row r="317" spans="1:10" ht="31.5" customHeight="1" hidden="1">
      <c r="A317" s="26" t="s">
        <v>323</v>
      </c>
      <c r="B317" s="205">
        <v>903</v>
      </c>
      <c r="C317" s="203" t="s">
        <v>303</v>
      </c>
      <c r="D317" s="203" t="s">
        <v>254</v>
      </c>
      <c r="E317" s="203" t="s">
        <v>325</v>
      </c>
      <c r="F317" s="203"/>
      <c r="G317" s="27">
        <f>G318</f>
        <v>0</v>
      </c>
      <c r="H317" s="27">
        <f aca="true" t="shared" si="147" ref="H317:H318">H318</f>
        <v>0</v>
      </c>
      <c r="I317" s="27" t="e">
        <f t="shared" si="127"/>
        <v>#DIV/0!</v>
      </c>
      <c r="J317" s="129"/>
    </row>
    <row r="318" spans="1:10" ht="47.25" customHeight="1" hidden="1">
      <c r="A318" s="26" t="s">
        <v>311</v>
      </c>
      <c r="B318" s="205">
        <v>903</v>
      </c>
      <c r="C318" s="203" t="s">
        <v>303</v>
      </c>
      <c r="D318" s="203" t="s">
        <v>254</v>
      </c>
      <c r="E318" s="203" t="s">
        <v>325</v>
      </c>
      <c r="F318" s="203" t="s">
        <v>312</v>
      </c>
      <c r="G318" s="27">
        <f>G319</f>
        <v>0</v>
      </c>
      <c r="H318" s="27">
        <f t="shared" si="147"/>
        <v>0</v>
      </c>
      <c r="I318" s="27" t="e">
        <f t="shared" si="127"/>
        <v>#DIV/0!</v>
      </c>
      <c r="J318" s="129"/>
    </row>
    <row r="319" spans="1:10" ht="15.75" customHeight="1" hidden="1">
      <c r="A319" s="26" t="s">
        <v>313</v>
      </c>
      <c r="B319" s="205">
        <v>903</v>
      </c>
      <c r="C319" s="203" t="s">
        <v>303</v>
      </c>
      <c r="D319" s="203" t="s">
        <v>254</v>
      </c>
      <c r="E319" s="203" t="s">
        <v>325</v>
      </c>
      <c r="F319" s="203" t="s">
        <v>314</v>
      </c>
      <c r="G319" s="27">
        <v>0</v>
      </c>
      <c r="H319" s="27">
        <v>0</v>
      </c>
      <c r="I319" s="27" t="e">
        <f t="shared" si="127"/>
        <v>#DIV/0!</v>
      </c>
      <c r="J319" s="129"/>
    </row>
    <row r="320" spans="1:10" ht="47.25" customHeight="1" hidden="1">
      <c r="A320" s="70" t="s">
        <v>326</v>
      </c>
      <c r="B320" s="205">
        <v>903</v>
      </c>
      <c r="C320" s="203" t="s">
        <v>303</v>
      </c>
      <c r="D320" s="203" t="s">
        <v>254</v>
      </c>
      <c r="E320" s="203" t="s">
        <v>327</v>
      </c>
      <c r="F320" s="203"/>
      <c r="G320" s="27">
        <f>G321</f>
        <v>0</v>
      </c>
      <c r="H320" s="27">
        <f aca="true" t="shared" si="148" ref="H320:H321">H321</f>
        <v>0</v>
      </c>
      <c r="I320" s="27" t="e">
        <f t="shared" si="127"/>
        <v>#DIV/0!</v>
      </c>
      <c r="J320" s="129"/>
    </row>
    <row r="321" spans="1:10" ht="47.25" customHeight="1" hidden="1">
      <c r="A321" s="31" t="s">
        <v>311</v>
      </c>
      <c r="B321" s="205">
        <v>903</v>
      </c>
      <c r="C321" s="203" t="s">
        <v>303</v>
      </c>
      <c r="D321" s="203" t="s">
        <v>254</v>
      </c>
      <c r="E321" s="203" t="s">
        <v>327</v>
      </c>
      <c r="F321" s="203" t="s">
        <v>312</v>
      </c>
      <c r="G321" s="27">
        <f>G322</f>
        <v>0</v>
      </c>
      <c r="H321" s="27">
        <f t="shared" si="148"/>
        <v>0</v>
      </c>
      <c r="I321" s="27" t="e">
        <f t="shared" si="127"/>
        <v>#DIV/0!</v>
      </c>
      <c r="J321" s="129"/>
    </row>
    <row r="322" spans="1:10" ht="15.75" customHeight="1" hidden="1">
      <c r="A322" s="242" t="s">
        <v>313</v>
      </c>
      <c r="B322" s="205">
        <v>903</v>
      </c>
      <c r="C322" s="203" t="s">
        <v>303</v>
      </c>
      <c r="D322" s="203" t="s">
        <v>254</v>
      </c>
      <c r="E322" s="203" t="s">
        <v>327</v>
      </c>
      <c r="F322" s="203" t="s">
        <v>314</v>
      </c>
      <c r="G322" s="27">
        <v>0</v>
      </c>
      <c r="H322" s="27">
        <v>0</v>
      </c>
      <c r="I322" s="27" t="e">
        <f t="shared" si="127"/>
        <v>#DIV/0!</v>
      </c>
      <c r="J322" s="129"/>
    </row>
    <row r="323" spans="1:10" ht="48" customHeight="1" hidden="1">
      <c r="A323" s="70" t="s">
        <v>837</v>
      </c>
      <c r="B323" s="205">
        <v>903</v>
      </c>
      <c r="C323" s="203" t="s">
        <v>303</v>
      </c>
      <c r="D323" s="203" t="s">
        <v>254</v>
      </c>
      <c r="E323" s="203" t="s">
        <v>843</v>
      </c>
      <c r="F323" s="203"/>
      <c r="G323" s="27">
        <f>G324</f>
        <v>0</v>
      </c>
      <c r="H323" s="27">
        <f aca="true" t="shared" si="149" ref="H323:H324">H324</f>
        <v>0</v>
      </c>
      <c r="I323" s="27" t="e">
        <f t="shared" si="127"/>
        <v>#DIV/0!</v>
      </c>
      <c r="J323" s="129"/>
    </row>
    <row r="324" spans="1:10" ht="51.75" customHeight="1" hidden="1">
      <c r="A324" s="31" t="s">
        <v>311</v>
      </c>
      <c r="B324" s="205">
        <v>903</v>
      </c>
      <c r="C324" s="203" t="s">
        <v>303</v>
      </c>
      <c r="D324" s="203" t="s">
        <v>254</v>
      </c>
      <c r="E324" s="203" t="s">
        <v>843</v>
      </c>
      <c r="F324" s="203" t="s">
        <v>312</v>
      </c>
      <c r="G324" s="27">
        <f>G325</f>
        <v>0</v>
      </c>
      <c r="H324" s="27">
        <f t="shared" si="149"/>
        <v>0</v>
      </c>
      <c r="I324" s="27" t="e">
        <f t="shared" si="127"/>
        <v>#DIV/0!</v>
      </c>
      <c r="J324" s="129"/>
    </row>
    <row r="325" spans="1:10" ht="15.75" customHeight="1" hidden="1">
      <c r="A325" s="242" t="s">
        <v>313</v>
      </c>
      <c r="B325" s="205">
        <v>903</v>
      </c>
      <c r="C325" s="203" t="s">
        <v>303</v>
      </c>
      <c r="D325" s="203" t="s">
        <v>254</v>
      </c>
      <c r="E325" s="203" t="s">
        <v>843</v>
      </c>
      <c r="F325" s="203" t="s">
        <v>314</v>
      </c>
      <c r="G325" s="27">
        <v>0</v>
      </c>
      <c r="H325" s="27">
        <v>0</v>
      </c>
      <c r="I325" s="27" t="e">
        <f t="shared" si="127"/>
        <v>#DIV/0!</v>
      </c>
      <c r="J325" s="129"/>
    </row>
    <row r="326" spans="1:10" ht="36" customHeight="1">
      <c r="A326" s="33" t="s">
        <v>1025</v>
      </c>
      <c r="B326" s="205">
        <v>903</v>
      </c>
      <c r="C326" s="203" t="s">
        <v>303</v>
      </c>
      <c r="D326" s="203" t="s">
        <v>254</v>
      </c>
      <c r="E326" s="203" t="s">
        <v>1024</v>
      </c>
      <c r="F326" s="203"/>
      <c r="G326" s="28">
        <f>G329+G327</f>
        <v>300</v>
      </c>
      <c r="H326" s="28">
        <f aca="true" t="shared" si="150" ref="H326">H329+H327</f>
        <v>264.6</v>
      </c>
      <c r="I326" s="27">
        <f t="shared" si="127"/>
        <v>88.20000000000002</v>
      </c>
      <c r="J326" s="129"/>
    </row>
    <row r="327" spans="1:10" ht="63">
      <c r="A327" s="26" t="s">
        <v>166</v>
      </c>
      <c r="B327" s="205">
        <v>903</v>
      </c>
      <c r="C327" s="203" t="s">
        <v>303</v>
      </c>
      <c r="D327" s="203" t="s">
        <v>254</v>
      </c>
      <c r="E327" s="203" t="s">
        <v>1024</v>
      </c>
      <c r="F327" s="203" t="s">
        <v>167</v>
      </c>
      <c r="G327" s="28">
        <f>G328</f>
        <v>300</v>
      </c>
      <c r="H327" s="28">
        <f aca="true" t="shared" si="151" ref="H327">H328</f>
        <v>264.6</v>
      </c>
      <c r="I327" s="27">
        <f t="shared" si="127"/>
        <v>88.20000000000002</v>
      </c>
      <c r="J327" s="129"/>
    </row>
    <row r="328" spans="1:10" ht="24.75" customHeight="1">
      <c r="A328" s="48" t="s">
        <v>381</v>
      </c>
      <c r="B328" s="205">
        <v>903</v>
      </c>
      <c r="C328" s="203" t="s">
        <v>303</v>
      </c>
      <c r="D328" s="203" t="s">
        <v>254</v>
      </c>
      <c r="E328" s="203" t="s">
        <v>1024</v>
      </c>
      <c r="F328" s="203" t="s">
        <v>248</v>
      </c>
      <c r="G328" s="28">
        <v>300</v>
      </c>
      <c r="H328" s="28">
        <v>264.6</v>
      </c>
      <c r="I328" s="27">
        <f t="shared" si="127"/>
        <v>88.20000000000002</v>
      </c>
      <c r="J328" s="129"/>
    </row>
    <row r="329" spans="1:10" ht="30.75" customHeight="1" hidden="1">
      <c r="A329" s="26" t="s">
        <v>170</v>
      </c>
      <c r="B329" s="205">
        <v>903</v>
      </c>
      <c r="C329" s="203" t="s">
        <v>303</v>
      </c>
      <c r="D329" s="203" t="s">
        <v>254</v>
      </c>
      <c r="E329" s="203" t="s">
        <v>1024</v>
      </c>
      <c r="F329" s="203" t="s">
        <v>171</v>
      </c>
      <c r="G329" s="28">
        <f>G330</f>
        <v>0</v>
      </c>
      <c r="H329" s="28">
        <f aca="true" t="shared" si="152" ref="H329">H330</f>
        <v>0</v>
      </c>
      <c r="I329" s="27" t="e">
        <f t="shared" si="127"/>
        <v>#DIV/0!</v>
      </c>
      <c r="J329" s="129"/>
    </row>
    <row r="330" spans="1:10" ht="39" customHeight="1" hidden="1">
      <c r="A330" s="26" t="s">
        <v>172</v>
      </c>
      <c r="B330" s="205">
        <v>903</v>
      </c>
      <c r="C330" s="203" t="s">
        <v>303</v>
      </c>
      <c r="D330" s="203" t="s">
        <v>254</v>
      </c>
      <c r="E330" s="203" t="s">
        <v>1024</v>
      </c>
      <c r="F330" s="203" t="s">
        <v>173</v>
      </c>
      <c r="G330" s="28">
        <f>300-300</f>
        <v>0</v>
      </c>
      <c r="H330" s="28">
        <f aca="true" t="shared" si="153" ref="H330">300-300</f>
        <v>0</v>
      </c>
      <c r="I330" s="27" t="e">
        <f t="shared" si="127"/>
        <v>#DIV/0!</v>
      </c>
      <c r="J330" s="129"/>
    </row>
    <row r="331" spans="1:10" ht="15.75" customHeight="1">
      <c r="A331" s="26" t="s">
        <v>985</v>
      </c>
      <c r="B331" s="205">
        <v>903</v>
      </c>
      <c r="C331" s="203" t="s">
        <v>303</v>
      </c>
      <c r="D331" s="203" t="s">
        <v>254</v>
      </c>
      <c r="E331" s="203" t="s">
        <v>986</v>
      </c>
      <c r="F331" s="203"/>
      <c r="G331" s="28">
        <f>G332+G334+G336</f>
        <v>15309</v>
      </c>
      <c r="H331" s="28">
        <f aca="true" t="shared" si="154" ref="H331">H332+H334+H336</f>
        <v>10382.7</v>
      </c>
      <c r="I331" s="27">
        <f aca="true" t="shared" si="155" ref="I331:I394">H331/G331*100</f>
        <v>67.82088967274153</v>
      </c>
      <c r="J331" s="129"/>
    </row>
    <row r="332" spans="1:10" ht="69.75" customHeight="1">
      <c r="A332" s="26" t="s">
        <v>166</v>
      </c>
      <c r="B332" s="205">
        <v>903</v>
      </c>
      <c r="C332" s="203" t="s">
        <v>303</v>
      </c>
      <c r="D332" s="203" t="s">
        <v>254</v>
      </c>
      <c r="E332" s="203" t="s">
        <v>986</v>
      </c>
      <c r="F332" s="203" t="s">
        <v>167</v>
      </c>
      <c r="G332" s="28">
        <f>G333</f>
        <v>13271.6</v>
      </c>
      <c r="H332" s="28">
        <f aca="true" t="shared" si="156" ref="H332">H333</f>
        <v>9212.4</v>
      </c>
      <c r="I332" s="27">
        <f t="shared" si="155"/>
        <v>69.41438861930739</v>
      </c>
      <c r="J332" s="129"/>
    </row>
    <row r="333" spans="1:11" ht="15.75" customHeight="1">
      <c r="A333" s="48" t="s">
        <v>381</v>
      </c>
      <c r="B333" s="205">
        <v>903</v>
      </c>
      <c r="C333" s="203" t="s">
        <v>303</v>
      </c>
      <c r="D333" s="203" t="s">
        <v>254</v>
      </c>
      <c r="E333" s="203" t="s">
        <v>986</v>
      </c>
      <c r="F333" s="203" t="s">
        <v>248</v>
      </c>
      <c r="G333" s="28">
        <f>11649.6+640.6+981.4</f>
        <v>13271.6</v>
      </c>
      <c r="H333" s="28">
        <v>9212.4</v>
      </c>
      <c r="I333" s="27">
        <f t="shared" si="155"/>
        <v>69.41438861930739</v>
      </c>
      <c r="J333" s="129"/>
      <c r="K333" s="290"/>
    </row>
    <row r="334" spans="1:10" ht="34.5" customHeight="1">
      <c r="A334" s="26" t="s">
        <v>170</v>
      </c>
      <c r="B334" s="205">
        <v>903</v>
      </c>
      <c r="C334" s="203" t="s">
        <v>303</v>
      </c>
      <c r="D334" s="203" t="s">
        <v>254</v>
      </c>
      <c r="E334" s="203" t="s">
        <v>986</v>
      </c>
      <c r="F334" s="203" t="s">
        <v>171</v>
      </c>
      <c r="G334" s="28">
        <f>G335</f>
        <v>1965.3</v>
      </c>
      <c r="H334" s="28">
        <f aca="true" t="shared" si="157" ref="H334">H335</f>
        <v>1131.6</v>
      </c>
      <c r="I334" s="27">
        <f t="shared" si="155"/>
        <v>57.57899557319492</v>
      </c>
      <c r="J334" s="289"/>
    </row>
    <row r="335" spans="1:11" ht="37.5" customHeight="1">
      <c r="A335" s="26" t="s">
        <v>172</v>
      </c>
      <c r="B335" s="205">
        <v>903</v>
      </c>
      <c r="C335" s="203" t="s">
        <v>303</v>
      </c>
      <c r="D335" s="203" t="s">
        <v>254</v>
      </c>
      <c r="E335" s="203" t="s">
        <v>986</v>
      </c>
      <c r="F335" s="203" t="s">
        <v>173</v>
      </c>
      <c r="G335" s="28">
        <f>2136-73-2-237.3+141.6</f>
        <v>1965.3</v>
      </c>
      <c r="H335" s="28">
        <v>1131.6</v>
      </c>
      <c r="I335" s="27">
        <f t="shared" si="155"/>
        <v>57.57899557319492</v>
      </c>
      <c r="J335" s="129"/>
      <c r="K335" s="290"/>
    </row>
    <row r="336" spans="1:10" ht="21" customHeight="1">
      <c r="A336" s="26" t="s">
        <v>174</v>
      </c>
      <c r="B336" s="205">
        <v>903</v>
      </c>
      <c r="C336" s="203" t="s">
        <v>303</v>
      </c>
      <c r="D336" s="203" t="s">
        <v>254</v>
      </c>
      <c r="E336" s="203" t="s">
        <v>986</v>
      </c>
      <c r="F336" s="203" t="s">
        <v>184</v>
      </c>
      <c r="G336" s="28">
        <f>G337</f>
        <v>72.1</v>
      </c>
      <c r="H336" s="28">
        <f aca="true" t="shared" si="158" ref="H336">H337</f>
        <v>38.7</v>
      </c>
      <c r="I336" s="27">
        <f t="shared" si="155"/>
        <v>53.67545076282941</v>
      </c>
      <c r="J336" s="129"/>
    </row>
    <row r="337" spans="1:11" ht="21" customHeight="1">
      <c r="A337" s="26" t="s">
        <v>774</v>
      </c>
      <c r="B337" s="205">
        <v>903</v>
      </c>
      <c r="C337" s="203" t="s">
        <v>303</v>
      </c>
      <c r="D337" s="203" t="s">
        <v>254</v>
      </c>
      <c r="E337" s="203" t="s">
        <v>986</v>
      </c>
      <c r="F337" s="203" t="s">
        <v>177</v>
      </c>
      <c r="G337" s="28">
        <f>73-2.9+2</f>
        <v>72.1</v>
      </c>
      <c r="H337" s="28">
        <v>38.7</v>
      </c>
      <c r="I337" s="27">
        <f t="shared" si="155"/>
        <v>53.67545076282941</v>
      </c>
      <c r="J337" s="129"/>
      <c r="K337" s="290"/>
    </row>
    <row r="338" spans="1:10" ht="51" customHeight="1">
      <c r="A338" s="31" t="s">
        <v>777</v>
      </c>
      <c r="B338" s="205">
        <v>903</v>
      </c>
      <c r="C338" s="203" t="s">
        <v>303</v>
      </c>
      <c r="D338" s="203" t="s">
        <v>254</v>
      </c>
      <c r="E338" s="203" t="s">
        <v>775</v>
      </c>
      <c r="F338" s="204"/>
      <c r="G338" s="27">
        <f>G339</f>
        <v>221</v>
      </c>
      <c r="H338" s="27">
        <f aca="true" t="shared" si="159" ref="H338:H340">H339</f>
        <v>136.2</v>
      </c>
      <c r="I338" s="27">
        <f t="shared" si="155"/>
        <v>61.628959276018094</v>
      </c>
      <c r="J338" s="129"/>
    </row>
    <row r="339" spans="1:10" ht="32.25" customHeight="1">
      <c r="A339" s="119" t="s">
        <v>909</v>
      </c>
      <c r="B339" s="203" t="s">
        <v>685</v>
      </c>
      <c r="C339" s="203" t="s">
        <v>303</v>
      </c>
      <c r="D339" s="203" t="s">
        <v>254</v>
      </c>
      <c r="E339" s="203" t="s">
        <v>910</v>
      </c>
      <c r="F339" s="210"/>
      <c r="G339" s="27">
        <f>G340</f>
        <v>221</v>
      </c>
      <c r="H339" s="27">
        <f t="shared" si="159"/>
        <v>136.2</v>
      </c>
      <c r="I339" s="27">
        <f t="shared" si="155"/>
        <v>61.628959276018094</v>
      </c>
      <c r="J339" s="129"/>
    </row>
    <row r="340" spans="1:10" ht="33" customHeight="1">
      <c r="A340" s="26" t="s">
        <v>170</v>
      </c>
      <c r="B340" s="205">
        <v>903</v>
      </c>
      <c r="C340" s="203" t="s">
        <v>303</v>
      </c>
      <c r="D340" s="203" t="s">
        <v>254</v>
      </c>
      <c r="E340" s="203" t="s">
        <v>910</v>
      </c>
      <c r="F340" s="210" t="s">
        <v>171</v>
      </c>
      <c r="G340" s="27">
        <f>G341</f>
        <v>221</v>
      </c>
      <c r="H340" s="27">
        <f t="shared" si="159"/>
        <v>136.2</v>
      </c>
      <c r="I340" s="27">
        <f t="shared" si="155"/>
        <v>61.628959276018094</v>
      </c>
      <c r="J340" s="129"/>
    </row>
    <row r="341" spans="1:10" ht="34.5" customHeight="1">
      <c r="A341" s="26" t="s">
        <v>172</v>
      </c>
      <c r="B341" s="205">
        <v>903</v>
      </c>
      <c r="C341" s="203" t="s">
        <v>303</v>
      </c>
      <c r="D341" s="203" t="s">
        <v>254</v>
      </c>
      <c r="E341" s="203" t="s">
        <v>910</v>
      </c>
      <c r="F341" s="210" t="s">
        <v>173</v>
      </c>
      <c r="G341" s="27">
        <v>221</v>
      </c>
      <c r="H341" s="27">
        <v>136.2</v>
      </c>
      <c r="I341" s="27">
        <f t="shared" si="155"/>
        <v>61.628959276018094</v>
      </c>
      <c r="J341" s="129"/>
    </row>
    <row r="342" spans="1:10" ht="15.75">
      <c r="A342" s="26" t="s">
        <v>160</v>
      </c>
      <c r="B342" s="205">
        <v>903</v>
      </c>
      <c r="C342" s="203" t="s">
        <v>303</v>
      </c>
      <c r="D342" s="203" t="s">
        <v>254</v>
      </c>
      <c r="E342" s="203" t="s">
        <v>161</v>
      </c>
      <c r="F342" s="203"/>
      <c r="G342" s="27">
        <f>G343</f>
        <v>947.4000000000001</v>
      </c>
      <c r="H342" s="27">
        <f aca="true" t="shared" si="160" ref="H342">H343</f>
        <v>536.4</v>
      </c>
      <c r="I342" s="27">
        <f t="shared" si="155"/>
        <v>56.61811272957568</v>
      </c>
      <c r="J342" s="129"/>
    </row>
    <row r="343" spans="1:10" ht="15.75">
      <c r="A343" s="26" t="s">
        <v>224</v>
      </c>
      <c r="B343" s="205">
        <v>903</v>
      </c>
      <c r="C343" s="203" t="s">
        <v>303</v>
      </c>
      <c r="D343" s="203" t="s">
        <v>254</v>
      </c>
      <c r="E343" s="203" t="s">
        <v>225</v>
      </c>
      <c r="F343" s="203"/>
      <c r="G343" s="27">
        <f>G344+G347+G350</f>
        <v>947.4000000000001</v>
      </c>
      <c r="H343" s="27">
        <f aca="true" t="shared" si="161" ref="H343">H344+H347+H350</f>
        <v>536.4</v>
      </c>
      <c r="I343" s="27">
        <f t="shared" si="155"/>
        <v>56.61811272957568</v>
      </c>
      <c r="J343" s="129"/>
    </row>
    <row r="344" spans="1:10" ht="47.25">
      <c r="A344" s="33" t="s">
        <v>328</v>
      </c>
      <c r="B344" s="205">
        <v>903</v>
      </c>
      <c r="C344" s="203" t="s">
        <v>303</v>
      </c>
      <c r="D344" s="203" t="s">
        <v>254</v>
      </c>
      <c r="E344" s="203" t="s">
        <v>329</v>
      </c>
      <c r="F344" s="203"/>
      <c r="G344" s="27">
        <f>G345</f>
        <v>65.5</v>
      </c>
      <c r="H344" s="27">
        <f aca="true" t="shared" si="162" ref="H344:H345">H345</f>
        <v>39.6</v>
      </c>
      <c r="I344" s="27">
        <f t="shared" si="155"/>
        <v>60.45801526717558</v>
      </c>
      <c r="J344" s="129"/>
    </row>
    <row r="345" spans="1:10" ht="63">
      <c r="A345" s="26" t="s">
        <v>166</v>
      </c>
      <c r="B345" s="205">
        <v>903</v>
      </c>
      <c r="C345" s="203" t="s">
        <v>303</v>
      </c>
      <c r="D345" s="203" t="s">
        <v>254</v>
      </c>
      <c r="E345" s="203" t="s">
        <v>329</v>
      </c>
      <c r="F345" s="203" t="s">
        <v>167</v>
      </c>
      <c r="G345" s="27">
        <f>G346</f>
        <v>65.5</v>
      </c>
      <c r="H345" s="27">
        <f t="shared" si="162"/>
        <v>39.6</v>
      </c>
      <c r="I345" s="27">
        <f t="shared" si="155"/>
        <v>60.45801526717558</v>
      </c>
      <c r="J345" s="129"/>
    </row>
    <row r="346" spans="1:10" ht="15.75">
      <c r="A346" s="48" t="s">
        <v>381</v>
      </c>
      <c r="B346" s="205">
        <v>903</v>
      </c>
      <c r="C346" s="203" t="s">
        <v>303</v>
      </c>
      <c r="D346" s="203" t="s">
        <v>254</v>
      </c>
      <c r="E346" s="203" t="s">
        <v>329</v>
      </c>
      <c r="F346" s="203" t="s">
        <v>248</v>
      </c>
      <c r="G346" s="27">
        <f>126.7-61.2</f>
        <v>65.5</v>
      </c>
      <c r="H346" s="27">
        <v>39.6</v>
      </c>
      <c r="I346" s="27">
        <f t="shared" si="155"/>
        <v>60.45801526717558</v>
      </c>
      <c r="J346" s="129"/>
    </row>
    <row r="347" spans="1:10" ht="63">
      <c r="A347" s="33" t="s">
        <v>330</v>
      </c>
      <c r="B347" s="205">
        <v>903</v>
      </c>
      <c r="C347" s="203" t="s">
        <v>303</v>
      </c>
      <c r="D347" s="203" t="s">
        <v>254</v>
      </c>
      <c r="E347" s="203" t="s">
        <v>331</v>
      </c>
      <c r="F347" s="203"/>
      <c r="G347" s="27">
        <f>G348</f>
        <v>321.50000000000006</v>
      </c>
      <c r="H347" s="27">
        <f aca="true" t="shared" si="163" ref="H347:H348">H348</f>
        <v>191.2</v>
      </c>
      <c r="I347" s="27">
        <f t="shared" si="155"/>
        <v>59.471228615863126</v>
      </c>
      <c r="J347" s="129"/>
    </row>
    <row r="348" spans="1:10" ht="63">
      <c r="A348" s="26" t="s">
        <v>166</v>
      </c>
      <c r="B348" s="205">
        <v>903</v>
      </c>
      <c r="C348" s="203" t="s">
        <v>303</v>
      </c>
      <c r="D348" s="203" t="s">
        <v>254</v>
      </c>
      <c r="E348" s="203" t="s">
        <v>331</v>
      </c>
      <c r="F348" s="203" t="s">
        <v>167</v>
      </c>
      <c r="G348" s="27">
        <f>G349</f>
        <v>321.50000000000006</v>
      </c>
      <c r="H348" s="27">
        <f t="shared" si="163"/>
        <v>191.2</v>
      </c>
      <c r="I348" s="27">
        <f t="shared" si="155"/>
        <v>59.471228615863126</v>
      </c>
      <c r="J348" s="129"/>
    </row>
    <row r="349" spans="1:10" ht="15.75">
      <c r="A349" s="48" t="s">
        <v>381</v>
      </c>
      <c r="B349" s="205">
        <v>903</v>
      </c>
      <c r="C349" s="203" t="s">
        <v>303</v>
      </c>
      <c r="D349" s="203" t="s">
        <v>254</v>
      </c>
      <c r="E349" s="203" t="s">
        <v>331</v>
      </c>
      <c r="F349" s="203" t="s">
        <v>248</v>
      </c>
      <c r="G349" s="27">
        <f>393.3-82.6+10.8</f>
        <v>321.50000000000006</v>
      </c>
      <c r="H349" s="27">
        <v>191.2</v>
      </c>
      <c r="I349" s="27">
        <f t="shared" si="155"/>
        <v>59.471228615863126</v>
      </c>
      <c r="J349" s="129"/>
    </row>
    <row r="350" spans="1:10" ht="82.5" customHeight="1">
      <c r="A350" s="33" t="s">
        <v>332</v>
      </c>
      <c r="B350" s="205">
        <v>903</v>
      </c>
      <c r="C350" s="203" t="s">
        <v>303</v>
      </c>
      <c r="D350" s="203" t="s">
        <v>254</v>
      </c>
      <c r="E350" s="203" t="s">
        <v>333</v>
      </c>
      <c r="F350" s="203"/>
      <c r="G350" s="27">
        <f>G351</f>
        <v>560.4</v>
      </c>
      <c r="H350" s="27">
        <f aca="true" t="shared" si="164" ref="H350:H351">H351</f>
        <v>305.6</v>
      </c>
      <c r="I350" s="27">
        <f t="shared" si="155"/>
        <v>54.532476802284094</v>
      </c>
      <c r="J350" s="129"/>
    </row>
    <row r="351" spans="1:10" ht="66" customHeight="1">
      <c r="A351" s="26" t="s">
        <v>166</v>
      </c>
      <c r="B351" s="205">
        <v>903</v>
      </c>
      <c r="C351" s="203" t="s">
        <v>303</v>
      </c>
      <c r="D351" s="203" t="s">
        <v>254</v>
      </c>
      <c r="E351" s="203" t="s">
        <v>333</v>
      </c>
      <c r="F351" s="203" t="s">
        <v>167</v>
      </c>
      <c r="G351" s="27">
        <f>G352</f>
        <v>560.4</v>
      </c>
      <c r="H351" s="27">
        <f t="shared" si="164"/>
        <v>305.6</v>
      </c>
      <c r="I351" s="27">
        <f t="shared" si="155"/>
        <v>54.532476802284094</v>
      </c>
      <c r="J351" s="129"/>
    </row>
    <row r="352" spans="1:10" ht="15.75">
      <c r="A352" s="48" t="s">
        <v>381</v>
      </c>
      <c r="B352" s="205">
        <v>903</v>
      </c>
      <c r="C352" s="203" t="s">
        <v>303</v>
      </c>
      <c r="D352" s="203" t="s">
        <v>254</v>
      </c>
      <c r="E352" s="203" t="s">
        <v>333</v>
      </c>
      <c r="F352" s="203" t="s">
        <v>248</v>
      </c>
      <c r="G352" s="27">
        <f>600-0.3-10.2-29.1</f>
        <v>560.4</v>
      </c>
      <c r="H352" s="27">
        <v>305.6</v>
      </c>
      <c r="I352" s="27">
        <f t="shared" si="155"/>
        <v>54.532476802284094</v>
      </c>
      <c r="J352" s="129"/>
    </row>
    <row r="353" spans="1:10" ht="15.75" customHeight="1" hidden="1">
      <c r="A353" s="24" t="s">
        <v>334</v>
      </c>
      <c r="B353" s="202">
        <v>903</v>
      </c>
      <c r="C353" s="204" t="s">
        <v>303</v>
      </c>
      <c r="D353" s="204" t="s">
        <v>258</v>
      </c>
      <c r="E353" s="204"/>
      <c r="F353" s="204"/>
      <c r="G353" s="27">
        <f>G354</f>
        <v>0</v>
      </c>
      <c r="H353" s="27">
        <f aca="true" t="shared" si="165" ref="H353:H357">H354</f>
        <v>0</v>
      </c>
      <c r="I353" s="22" t="e">
        <f t="shared" si="155"/>
        <v>#DIV/0!</v>
      </c>
      <c r="J353" s="129"/>
    </row>
    <row r="354" spans="1:10" ht="15.75" customHeight="1" hidden="1">
      <c r="A354" s="26" t="s">
        <v>160</v>
      </c>
      <c r="B354" s="205">
        <v>903</v>
      </c>
      <c r="C354" s="203" t="s">
        <v>303</v>
      </c>
      <c r="D354" s="203" t="s">
        <v>258</v>
      </c>
      <c r="E354" s="203" t="s">
        <v>161</v>
      </c>
      <c r="F354" s="203"/>
      <c r="G354" s="27">
        <f>G355</f>
        <v>0</v>
      </c>
      <c r="H354" s="27">
        <f t="shared" si="165"/>
        <v>0</v>
      </c>
      <c r="I354" s="22" t="e">
        <f t="shared" si="155"/>
        <v>#DIV/0!</v>
      </c>
      <c r="J354" s="129"/>
    </row>
    <row r="355" spans="1:10" ht="31.5" customHeight="1" hidden="1">
      <c r="A355" s="26" t="s">
        <v>224</v>
      </c>
      <c r="B355" s="205">
        <v>903</v>
      </c>
      <c r="C355" s="203" t="s">
        <v>303</v>
      </c>
      <c r="D355" s="203" t="s">
        <v>258</v>
      </c>
      <c r="E355" s="203" t="s">
        <v>225</v>
      </c>
      <c r="F355" s="203"/>
      <c r="G355" s="27">
        <f>G356</f>
        <v>0</v>
      </c>
      <c r="H355" s="27">
        <f t="shared" si="165"/>
        <v>0</v>
      </c>
      <c r="I355" s="22" t="e">
        <f t="shared" si="155"/>
        <v>#DIV/0!</v>
      </c>
      <c r="J355" s="129"/>
    </row>
    <row r="356" spans="1:10" ht="31.5" customHeight="1" hidden="1">
      <c r="A356" s="38" t="s">
        <v>335</v>
      </c>
      <c r="B356" s="211">
        <v>903</v>
      </c>
      <c r="C356" s="203" t="s">
        <v>303</v>
      </c>
      <c r="D356" s="203" t="s">
        <v>258</v>
      </c>
      <c r="E356" s="203" t="s">
        <v>336</v>
      </c>
      <c r="F356" s="203"/>
      <c r="G356" s="27">
        <f>G357</f>
        <v>0</v>
      </c>
      <c r="H356" s="27">
        <f t="shared" si="165"/>
        <v>0</v>
      </c>
      <c r="I356" s="22" t="e">
        <f t="shared" si="155"/>
        <v>#DIV/0!</v>
      </c>
      <c r="J356" s="129"/>
    </row>
    <row r="357" spans="1:10" ht="15.75" customHeight="1" hidden="1">
      <c r="A357" s="26" t="s">
        <v>174</v>
      </c>
      <c r="B357" s="205">
        <v>903</v>
      </c>
      <c r="C357" s="203" t="s">
        <v>303</v>
      </c>
      <c r="D357" s="203" t="s">
        <v>258</v>
      </c>
      <c r="E357" s="203" t="s">
        <v>336</v>
      </c>
      <c r="F357" s="203" t="s">
        <v>184</v>
      </c>
      <c r="G357" s="27">
        <f>G358</f>
        <v>0</v>
      </c>
      <c r="H357" s="27">
        <f t="shared" si="165"/>
        <v>0</v>
      </c>
      <c r="I357" s="22" t="e">
        <f t="shared" si="155"/>
        <v>#DIV/0!</v>
      </c>
      <c r="J357" s="129"/>
    </row>
    <row r="358" spans="1:10" ht="63" customHeight="1" hidden="1">
      <c r="A358" s="26" t="s">
        <v>223</v>
      </c>
      <c r="B358" s="205">
        <v>903</v>
      </c>
      <c r="C358" s="203" t="s">
        <v>303</v>
      </c>
      <c r="D358" s="203" t="s">
        <v>258</v>
      </c>
      <c r="E358" s="203" t="s">
        <v>336</v>
      </c>
      <c r="F358" s="203" t="s">
        <v>199</v>
      </c>
      <c r="G358" s="27"/>
      <c r="H358" s="27"/>
      <c r="I358" s="22" t="e">
        <f t="shared" si="155"/>
        <v>#DIV/0!</v>
      </c>
      <c r="J358" s="129"/>
    </row>
    <row r="359" spans="1:10" ht="19.5" customHeight="1">
      <c r="A359" s="24" t="s">
        <v>506</v>
      </c>
      <c r="B359" s="202">
        <v>903</v>
      </c>
      <c r="C359" s="204" t="s">
        <v>303</v>
      </c>
      <c r="D359" s="204" t="s">
        <v>303</v>
      </c>
      <c r="E359" s="203"/>
      <c r="F359" s="203"/>
      <c r="G359" s="22">
        <f>G360</f>
        <v>1000</v>
      </c>
      <c r="H359" s="22">
        <f aca="true" t="shared" si="166" ref="H359:H360">H360</f>
        <v>621.1</v>
      </c>
      <c r="I359" s="22">
        <f t="shared" si="155"/>
        <v>62.11</v>
      </c>
      <c r="J359" s="129"/>
    </row>
    <row r="360" spans="1:10" ht="36" customHeight="1">
      <c r="A360" s="26" t="s">
        <v>382</v>
      </c>
      <c r="B360" s="205">
        <v>903</v>
      </c>
      <c r="C360" s="203" t="s">
        <v>303</v>
      </c>
      <c r="D360" s="203" t="s">
        <v>303</v>
      </c>
      <c r="E360" s="203" t="s">
        <v>383</v>
      </c>
      <c r="F360" s="203"/>
      <c r="G360" s="27">
        <f>G361</f>
        <v>1000</v>
      </c>
      <c r="H360" s="27">
        <f t="shared" si="166"/>
        <v>621.1</v>
      </c>
      <c r="I360" s="27">
        <f t="shared" si="155"/>
        <v>62.11</v>
      </c>
      <c r="J360" s="129"/>
    </row>
    <row r="361" spans="1:10" ht="23.25" customHeight="1">
      <c r="A361" s="26" t="s">
        <v>384</v>
      </c>
      <c r="B361" s="205">
        <v>903</v>
      </c>
      <c r="C361" s="203" t="s">
        <v>303</v>
      </c>
      <c r="D361" s="203" t="s">
        <v>303</v>
      </c>
      <c r="E361" s="203" t="s">
        <v>385</v>
      </c>
      <c r="F361" s="203"/>
      <c r="G361" s="27">
        <f>G362+G370</f>
        <v>1000</v>
      </c>
      <c r="H361" s="27">
        <f aca="true" t="shared" si="167" ref="H361">H362+H370</f>
        <v>621.1</v>
      </c>
      <c r="I361" s="27">
        <f t="shared" si="155"/>
        <v>62.11</v>
      </c>
      <c r="J361" s="129"/>
    </row>
    <row r="362" spans="1:10" ht="38.25" customHeight="1">
      <c r="A362" s="26" t="s">
        <v>196</v>
      </c>
      <c r="B362" s="205">
        <v>903</v>
      </c>
      <c r="C362" s="203" t="s">
        <v>303</v>
      </c>
      <c r="D362" s="203" t="s">
        <v>303</v>
      </c>
      <c r="E362" s="203" t="s">
        <v>386</v>
      </c>
      <c r="F362" s="203"/>
      <c r="G362" s="27">
        <f>G365+G364+G367</f>
        <v>723.1999999999999</v>
      </c>
      <c r="H362" s="27">
        <f aca="true" t="shared" si="168" ref="H362">H365+H364+H367</f>
        <v>344.3</v>
      </c>
      <c r="I362" s="27">
        <f t="shared" si="155"/>
        <v>47.60785398230089</v>
      </c>
      <c r="J362" s="129"/>
    </row>
    <row r="363" spans="1:10" ht="63" customHeight="1">
      <c r="A363" s="26" t="s">
        <v>166</v>
      </c>
      <c r="B363" s="205">
        <v>903</v>
      </c>
      <c r="C363" s="203" t="s">
        <v>303</v>
      </c>
      <c r="D363" s="203" t="s">
        <v>303</v>
      </c>
      <c r="E363" s="203" t="s">
        <v>386</v>
      </c>
      <c r="F363" s="203" t="s">
        <v>167</v>
      </c>
      <c r="G363" s="27">
        <f>G364</f>
        <v>40</v>
      </c>
      <c r="H363" s="27">
        <f aca="true" t="shared" si="169" ref="H363">H364</f>
        <v>24</v>
      </c>
      <c r="I363" s="27">
        <f t="shared" si="155"/>
        <v>60</v>
      </c>
      <c r="J363" s="129"/>
    </row>
    <row r="364" spans="1:10" ht="20.25" customHeight="1">
      <c r="A364" s="26" t="s">
        <v>381</v>
      </c>
      <c r="B364" s="205">
        <v>903</v>
      </c>
      <c r="C364" s="203" t="s">
        <v>303</v>
      </c>
      <c r="D364" s="203" t="s">
        <v>303</v>
      </c>
      <c r="E364" s="203" t="s">
        <v>386</v>
      </c>
      <c r="F364" s="203" t="s">
        <v>248</v>
      </c>
      <c r="G364" s="27">
        <f>40</f>
        <v>40</v>
      </c>
      <c r="H364" s="27">
        <v>24</v>
      </c>
      <c r="I364" s="27">
        <f t="shared" si="155"/>
        <v>60</v>
      </c>
      <c r="J364" s="129"/>
    </row>
    <row r="365" spans="1:10" ht="27" customHeight="1">
      <c r="A365" s="26" t="s">
        <v>170</v>
      </c>
      <c r="B365" s="205">
        <v>903</v>
      </c>
      <c r="C365" s="203" t="s">
        <v>303</v>
      </c>
      <c r="D365" s="203" t="s">
        <v>303</v>
      </c>
      <c r="E365" s="203" t="s">
        <v>386</v>
      </c>
      <c r="F365" s="203" t="s">
        <v>171</v>
      </c>
      <c r="G365" s="27">
        <f>G366</f>
        <v>658.1999999999999</v>
      </c>
      <c r="H365" s="27">
        <f aca="true" t="shared" si="170" ref="H365">H366</f>
        <v>295.3</v>
      </c>
      <c r="I365" s="27">
        <f t="shared" si="155"/>
        <v>44.86478274080827</v>
      </c>
      <c r="J365" s="129"/>
    </row>
    <row r="366" spans="1:10" ht="39" customHeight="1">
      <c r="A366" s="26" t="s">
        <v>172</v>
      </c>
      <c r="B366" s="205">
        <v>903</v>
      </c>
      <c r="C366" s="203" t="s">
        <v>303</v>
      </c>
      <c r="D366" s="203" t="s">
        <v>303</v>
      </c>
      <c r="E366" s="203" t="s">
        <v>386</v>
      </c>
      <c r="F366" s="203" t="s">
        <v>173</v>
      </c>
      <c r="G366" s="27">
        <f>706.4-40-8.2</f>
        <v>658.1999999999999</v>
      </c>
      <c r="H366" s="27">
        <v>295.3</v>
      </c>
      <c r="I366" s="27">
        <f t="shared" si="155"/>
        <v>44.86478274080827</v>
      </c>
      <c r="J366" s="129"/>
    </row>
    <row r="367" spans="1:10" ht="21" customHeight="1">
      <c r="A367" s="26" t="s">
        <v>287</v>
      </c>
      <c r="B367" s="205">
        <v>903</v>
      </c>
      <c r="C367" s="203" t="s">
        <v>303</v>
      </c>
      <c r="D367" s="203" t="s">
        <v>303</v>
      </c>
      <c r="E367" s="203" t="s">
        <v>386</v>
      </c>
      <c r="F367" s="203" t="s">
        <v>288</v>
      </c>
      <c r="G367" s="27">
        <f>G368</f>
        <v>25</v>
      </c>
      <c r="H367" s="27">
        <f aca="true" t="shared" si="171" ref="H367">H368</f>
        <v>25</v>
      </c>
      <c r="I367" s="27">
        <f t="shared" si="155"/>
        <v>100</v>
      </c>
      <c r="J367" s="129"/>
    </row>
    <row r="368" spans="1:10" ht="17.25" customHeight="1">
      <c r="A368" s="26" t="s">
        <v>387</v>
      </c>
      <c r="B368" s="205">
        <v>903</v>
      </c>
      <c r="C368" s="203" t="s">
        <v>303</v>
      </c>
      <c r="D368" s="203" t="s">
        <v>303</v>
      </c>
      <c r="E368" s="203" t="s">
        <v>386</v>
      </c>
      <c r="F368" s="203" t="s">
        <v>388</v>
      </c>
      <c r="G368" s="27">
        <v>25</v>
      </c>
      <c r="H368" s="27">
        <v>25</v>
      </c>
      <c r="I368" s="27">
        <f t="shared" si="155"/>
        <v>100</v>
      </c>
      <c r="J368" s="129"/>
    </row>
    <row r="369" spans="1:10" ht="38.25" customHeight="1">
      <c r="A369" s="119" t="s">
        <v>1035</v>
      </c>
      <c r="B369" s="205">
        <v>903</v>
      </c>
      <c r="C369" s="203" t="s">
        <v>303</v>
      </c>
      <c r="D369" s="203" t="s">
        <v>303</v>
      </c>
      <c r="E369" s="203" t="s">
        <v>1034</v>
      </c>
      <c r="F369" s="203"/>
      <c r="G369" s="27">
        <f>G370</f>
        <v>276.8</v>
      </c>
      <c r="H369" s="27">
        <f aca="true" t="shared" si="172" ref="H369:H370">H370</f>
        <v>276.8</v>
      </c>
      <c r="I369" s="27">
        <f t="shared" si="155"/>
        <v>100</v>
      </c>
      <c r="J369" s="129"/>
    </row>
    <row r="370" spans="1:10" ht="66.75" customHeight="1">
      <c r="A370" s="26" t="s">
        <v>166</v>
      </c>
      <c r="B370" s="205">
        <v>903</v>
      </c>
      <c r="C370" s="203" t="s">
        <v>303</v>
      </c>
      <c r="D370" s="203" t="s">
        <v>303</v>
      </c>
      <c r="E370" s="203" t="s">
        <v>1034</v>
      </c>
      <c r="F370" s="203" t="s">
        <v>167</v>
      </c>
      <c r="G370" s="27">
        <f>G371</f>
        <v>276.8</v>
      </c>
      <c r="H370" s="27">
        <f t="shared" si="172"/>
        <v>276.8</v>
      </c>
      <c r="I370" s="27">
        <f t="shared" si="155"/>
        <v>100</v>
      </c>
      <c r="J370" s="129"/>
    </row>
    <row r="371" spans="1:10" ht="21.75" customHeight="1">
      <c r="A371" s="26" t="s">
        <v>381</v>
      </c>
      <c r="B371" s="205">
        <v>903</v>
      </c>
      <c r="C371" s="203" t="s">
        <v>303</v>
      </c>
      <c r="D371" s="203" t="s">
        <v>303</v>
      </c>
      <c r="E371" s="203" t="s">
        <v>1034</v>
      </c>
      <c r="F371" s="203" t="s">
        <v>248</v>
      </c>
      <c r="G371" s="27">
        <f>160.5+108.1+8.2</f>
        <v>276.8</v>
      </c>
      <c r="H371" s="27">
        <v>276.8</v>
      </c>
      <c r="I371" s="27">
        <f t="shared" si="155"/>
        <v>100</v>
      </c>
      <c r="J371" s="129"/>
    </row>
    <row r="372" spans="1:10" ht="15.75">
      <c r="A372" s="24" t="s">
        <v>337</v>
      </c>
      <c r="B372" s="202">
        <v>903</v>
      </c>
      <c r="C372" s="204" t="s">
        <v>338</v>
      </c>
      <c r="D372" s="204"/>
      <c r="E372" s="204"/>
      <c r="F372" s="204"/>
      <c r="G372" s="22">
        <f>G373+G492</f>
        <v>66866.1</v>
      </c>
      <c r="H372" s="22">
        <f aca="true" t="shared" si="173" ref="H372">H373+H492</f>
        <v>47125.7</v>
      </c>
      <c r="I372" s="22">
        <f t="shared" si="155"/>
        <v>70.4777159128467</v>
      </c>
      <c r="J372" s="129"/>
    </row>
    <row r="373" spans="1:10" ht="15.75">
      <c r="A373" s="24" t="s">
        <v>339</v>
      </c>
      <c r="B373" s="202">
        <v>903</v>
      </c>
      <c r="C373" s="204" t="s">
        <v>338</v>
      </c>
      <c r="D373" s="204" t="s">
        <v>157</v>
      </c>
      <c r="E373" s="204"/>
      <c r="F373" s="204"/>
      <c r="G373" s="22">
        <f>G374+G471+G452+G467+Q463+G463</f>
        <v>48003</v>
      </c>
      <c r="H373" s="22">
        <f aca="true" t="shared" si="174" ref="H373">H374+H471+H452+H467+R463+H463</f>
        <v>34334.6</v>
      </c>
      <c r="I373" s="22">
        <f t="shared" si="155"/>
        <v>71.52594629502322</v>
      </c>
      <c r="J373" s="129"/>
    </row>
    <row r="374" spans="1:10" ht="35.25" customHeight="1">
      <c r="A374" s="26" t="s">
        <v>305</v>
      </c>
      <c r="B374" s="205">
        <v>903</v>
      </c>
      <c r="C374" s="203" t="s">
        <v>338</v>
      </c>
      <c r="D374" s="203" t="s">
        <v>157</v>
      </c>
      <c r="E374" s="203" t="s">
        <v>306</v>
      </c>
      <c r="F374" s="203"/>
      <c r="G374" s="27">
        <f>G375+G416</f>
        <v>45193.3</v>
      </c>
      <c r="H374" s="27">
        <f aca="true" t="shared" si="175" ref="H374">H375+H416</f>
        <v>32435.6</v>
      </c>
      <c r="I374" s="27">
        <f t="shared" si="155"/>
        <v>71.77081558549607</v>
      </c>
      <c r="J374" s="129"/>
    </row>
    <row r="375" spans="1:10" ht="46.5" customHeight="1">
      <c r="A375" s="26" t="s">
        <v>340</v>
      </c>
      <c r="B375" s="205">
        <v>903</v>
      </c>
      <c r="C375" s="203" t="s">
        <v>338</v>
      </c>
      <c r="D375" s="203" t="s">
        <v>157</v>
      </c>
      <c r="E375" s="203" t="s">
        <v>341</v>
      </c>
      <c r="F375" s="203"/>
      <c r="G375" s="27">
        <f>G381+G402+G384+G387+G390+G393+G396+G399+G409+G376</f>
        <v>25674.600000000002</v>
      </c>
      <c r="H375" s="27">
        <f aca="true" t="shared" si="176" ref="H375">H381+H402+H384+H387+H390+H393+H396+H399+H409+H376</f>
        <v>18037</v>
      </c>
      <c r="I375" s="27">
        <f t="shared" si="155"/>
        <v>70.25231162316062</v>
      </c>
      <c r="J375" s="129"/>
    </row>
    <row r="376" spans="1:10" ht="35.25" customHeight="1">
      <c r="A376" s="33" t="s">
        <v>1025</v>
      </c>
      <c r="B376" s="205">
        <v>903</v>
      </c>
      <c r="C376" s="203" t="s">
        <v>338</v>
      </c>
      <c r="D376" s="203" t="s">
        <v>157</v>
      </c>
      <c r="E376" s="203" t="s">
        <v>1026</v>
      </c>
      <c r="F376" s="203"/>
      <c r="G376" s="28">
        <f>G379+G377</f>
        <v>2000</v>
      </c>
      <c r="H376" s="28">
        <f aca="true" t="shared" si="177" ref="H376">H379+H377</f>
        <v>1597.7</v>
      </c>
      <c r="I376" s="27">
        <f t="shared" si="155"/>
        <v>79.885</v>
      </c>
      <c r="J376" s="129"/>
    </row>
    <row r="377" spans="1:10" ht="66" customHeight="1">
      <c r="A377" s="26" t="s">
        <v>166</v>
      </c>
      <c r="B377" s="205">
        <v>903</v>
      </c>
      <c r="C377" s="203" t="s">
        <v>338</v>
      </c>
      <c r="D377" s="203" t="s">
        <v>157</v>
      </c>
      <c r="E377" s="203" t="s">
        <v>1026</v>
      </c>
      <c r="F377" s="203" t="s">
        <v>167</v>
      </c>
      <c r="G377" s="28">
        <f>G378</f>
        <v>1125</v>
      </c>
      <c r="H377" s="28">
        <f aca="true" t="shared" si="178" ref="H377">H378</f>
        <v>730.1</v>
      </c>
      <c r="I377" s="27">
        <f t="shared" si="155"/>
        <v>64.89777777777778</v>
      </c>
      <c r="J377" s="129"/>
    </row>
    <row r="378" spans="1:10" ht="35.25" customHeight="1">
      <c r="A378" s="26" t="s">
        <v>247</v>
      </c>
      <c r="B378" s="205">
        <v>903</v>
      </c>
      <c r="C378" s="203" t="s">
        <v>338</v>
      </c>
      <c r="D378" s="203" t="s">
        <v>157</v>
      </c>
      <c r="E378" s="203" t="s">
        <v>1026</v>
      </c>
      <c r="F378" s="203" t="s">
        <v>248</v>
      </c>
      <c r="G378" s="28">
        <f>164.9+960.1</f>
        <v>1125</v>
      </c>
      <c r="H378" s="28">
        <v>730.1</v>
      </c>
      <c r="I378" s="27">
        <f t="shared" si="155"/>
        <v>64.89777777777778</v>
      </c>
      <c r="J378" s="129"/>
    </row>
    <row r="379" spans="1:10" ht="33.75" customHeight="1">
      <c r="A379" s="26" t="s">
        <v>170</v>
      </c>
      <c r="B379" s="205">
        <v>903</v>
      </c>
      <c r="C379" s="203" t="s">
        <v>338</v>
      </c>
      <c r="D379" s="203" t="s">
        <v>157</v>
      </c>
      <c r="E379" s="203" t="s">
        <v>1026</v>
      </c>
      <c r="F379" s="203" t="s">
        <v>171</v>
      </c>
      <c r="G379" s="28">
        <f>G380</f>
        <v>874.9999999999999</v>
      </c>
      <c r="H379" s="28">
        <f aca="true" t="shared" si="179" ref="H379">H380</f>
        <v>867.6</v>
      </c>
      <c r="I379" s="27">
        <f t="shared" si="155"/>
        <v>99.15428571428573</v>
      </c>
      <c r="J379" s="129"/>
    </row>
    <row r="380" spans="1:10" ht="36.75" customHeight="1">
      <c r="A380" s="26" t="s">
        <v>172</v>
      </c>
      <c r="B380" s="205">
        <v>903</v>
      </c>
      <c r="C380" s="203" t="s">
        <v>338</v>
      </c>
      <c r="D380" s="203" t="s">
        <v>157</v>
      </c>
      <c r="E380" s="203" t="s">
        <v>1026</v>
      </c>
      <c r="F380" s="203" t="s">
        <v>173</v>
      </c>
      <c r="G380" s="28">
        <f>2000-164.9-960.1</f>
        <v>874.9999999999999</v>
      </c>
      <c r="H380" s="28">
        <v>867.6</v>
      </c>
      <c r="I380" s="27">
        <f t="shared" si="155"/>
        <v>99.15428571428573</v>
      </c>
      <c r="J380" s="129"/>
    </row>
    <row r="381" spans="1:10" ht="52.5" customHeight="1" hidden="1">
      <c r="A381" s="26" t="s">
        <v>342</v>
      </c>
      <c r="B381" s="205">
        <v>903</v>
      </c>
      <c r="C381" s="203" t="s">
        <v>338</v>
      </c>
      <c r="D381" s="203" t="s">
        <v>157</v>
      </c>
      <c r="E381" s="203" t="s">
        <v>343</v>
      </c>
      <c r="F381" s="203"/>
      <c r="G381" s="27">
        <f>G382</f>
        <v>0</v>
      </c>
      <c r="H381" s="27">
        <f aca="true" t="shared" si="180" ref="H381:H382">H382</f>
        <v>0</v>
      </c>
      <c r="I381" s="27" t="e">
        <f t="shared" si="155"/>
        <v>#DIV/0!</v>
      </c>
      <c r="J381" s="129"/>
    </row>
    <row r="382" spans="1:10" ht="31.5" hidden="1">
      <c r="A382" s="26" t="s">
        <v>311</v>
      </c>
      <c r="B382" s="205">
        <v>903</v>
      </c>
      <c r="C382" s="203" t="s">
        <v>338</v>
      </c>
      <c r="D382" s="203" t="s">
        <v>157</v>
      </c>
      <c r="E382" s="203" t="s">
        <v>343</v>
      </c>
      <c r="F382" s="203" t="s">
        <v>312</v>
      </c>
      <c r="G382" s="27">
        <f>G383</f>
        <v>0</v>
      </c>
      <c r="H382" s="27">
        <f t="shared" si="180"/>
        <v>0</v>
      </c>
      <c r="I382" s="27" t="e">
        <f t="shared" si="155"/>
        <v>#DIV/0!</v>
      </c>
      <c r="J382" s="129"/>
    </row>
    <row r="383" spans="1:11" ht="15.75" hidden="1">
      <c r="A383" s="26" t="s">
        <v>313</v>
      </c>
      <c r="B383" s="205">
        <v>903</v>
      </c>
      <c r="C383" s="203" t="s">
        <v>338</v>
      </c>
      <c r="D383" s="203" t="s">
        <v>157</v>
      </c>
      <c r="E383" s="203" t="s">
        <v>343</v>
      </c>
      <c r="F383" s="203" t="s">
        <v>314</v>
      </c>
      <c r="G383" s="28">
        <v>0</v>
      </c>
      <c r="H383" s="28">
        <v>0</v>
      </c>
      <c r="I383" s="27" t="e">
        <f t="shared" si="155"/>
        <v>#DIV/0!</v>
      </c>
      <c r="J383" s="285"/>
      <c r="K383" s="271"/>
    </row>
    <row r="384" spans="1:10" ht="31.5" hidden="1">
      <c r="A384" s="26" t="s">
        <v>771</v>
      </c>
      <c r="B384" s="205">
        <v>903</v>
      </c>
      <c r="C384" s="203" t="s">
        <v>338</v>
      </c>
      <c r="D384" s="203" t="s">
        <v>157</v>
      </c>
      <c r="E384" s="203" t="s">
        <v>344</v>
      </c>
      <c r="F384" s="203"/>
      <c r="G384" s="27">
        <f>G385</f>
        <v>0</v>
      </c>
      <c r="H384" s="27">
        <f aca="true" t="shared" si="181" ref="H384:H385">H385</f>
        <v>0</v>
      </c>
      <c r="I384" s="27" t="e">
        <f t="shared" si="155"/>
        <v>#DIV/0!</v>
      </c>
      <c r="J384" s="129"/>
    </row>
    <row r="385" spans="1:10" ht="31.5" hidden="1">
      <c r="A385" s="26" t="s">
        <v>311</v>
      </c>
      <c r="B385" s="205">
        <v>903</v>
      </c>
      <c r="C385" s="203" t="s">
        <v>338</v>
      </c>
      <c r="D385" s="203" t="s">
        <v>157</v>
      </c>
      <c r="E385" s="203" t="s">
        <v>344</v>
      </c>
      <c r="F385" s="203" t="s">
        <v>312</v>
      </c>
      <c r="G385" s="27">
        <f>G386</f>
        <v>0</v>
      </c>
      <c r="H385" s="27">
        <f t="shared" si="181"/>
        <v>0</v>
      </c>
      <c r="I385" s="27" t="e">
        <f t="shared" si="155"/>
        <v>#DIV/0!</v>
      </c>
      <c r="J385" s="129"/>
    </row>
    <row r="386" spans="1:10" ht="15.75" hidden="1">
      <c r="A386" s="26" t="s">
        <v>313</v>
      </c>
      <c r="B386" s="205">
        <v>903</v>
      </c>
      <c r="C386" s="203" t="s">
        <v>338</v>
      </c>
      <c r="D386" s="203" t="s">
        <v>157</v>
      </c>
      <c r="E386" s="203" t="s">
        <v>344</v>
      </c>
      <c r="F386" s="203" t="s">
        <v>314</v>
      </c>
      <c r="G386" s="27">
        <v>0</v>
      </c>
      <c r="H386" s="27">
        <v>0</v>
      </c>
      <c r="I386" s="27" t="e">
        <f t="shared" si="155"/>
        <v>#DIV/0!</v>
      </c>
      <c r="J386" s="129"/>
    </row>
    <row r="387" spans="1:10" ht="31.5" hidden="1">
      <c r="A387" s="26" t="s">
        <v>317</v>
      </c>
      <c r="B387" s="205">
        <v>903</v>
      </c>
      <c r="C387" s="203" t="s">
        <v>338</v>
      </c>
      <c r="D387" s="203" t="s">
        <v>157</v>
      </c>
      <c r="E387" s="203" t="s">
        <v>345</v>
      </c>
      <c r="F387" s="203"/>
      <c r="G387" s="27">
        <f>G388</f>
        <v>0</v>
      </c>
      <c r="H387" s="27">
        <f aca="true" t="shared" si="182" ref="H387:H388">H388</f>
        <v>0</v>
      </c>
      <c r="I387" s="27" t="e">
        <f t="shared" si="155"/>
        <v>#DIV/0!</v>
      </c>
      <c r="J387" s="129"/>
    </row>
    <row r="388" spans="1:10" ht="31.5" hidden="1">
      <c r="A388" s="26" t="s">
        <v>311</v>
      </c>
      <c r="B388" s="205">
        <v>903</v>
      </c>
      <c r="C388" s="203" t="s">
        <v>338</v>
      </c>
      <c r="D388" s="203" t="s">
        <v>157</v>
      </c>
      <c r="E388" s="203" t="s">
        <v>345</v>
      </c>
      <c r="F388" s="203" t="s">
        <v>312</v>
      </c>
      <c r="G388" s="27">
        <f>G389</f>
        <v>0</v>
      </c>
      <c r="H388" s="27">
        <f t="shared" si="182"/>
        <v>0</v>
      </c>
      <c r="I388" s="27" t="e">
        <f t="shared" si="155"/>
        <v>#DIV/0!</v>
      </c>
      <c r="J388" s="129"/>
    </row>
    <row r="389" spans="1:10" ht="15.75" hidden="1">
      <c r="A389" s="26" t="s">
        <v>313</v>
      </c>
      <c r="B389" s="205">
        <v>903</v>
      </c>
      <c r="C389" s="203" t="s">
        <v>338</v>
      </c>
      <c r="D389" s="203" t="s">
        <v>157</v>
      </c>
      <c r="E389" s="203" t="s">
        <v>345</v>
      </c>
      <c r="F389" s="203" t="s">
        <v>314</v>
      </c>
      <c r="G389" s="27">
        <v>0</v>
      </c>
      <c r="H389" s="27">
        <v>0</v>
      </c>
      <c r="I389" s="27" t="e">
        <f t="shared" si="155"/>
        <v>#DIV/0!</v>
      </c>
      <c r="J389" s="129"/>
    </row>
    <row r="390" spans="1:10" ht="15.75" hidden="1">
      <c r="A390" s="26" t="s">
        <v>346</v>
      </c>
      <c r="B390" s="205">
        <v>903</v>
      </c>
      <c r="C390" s="203" t="s">
        <v>338</v>
      </c>
      <c r="D390" s="203" t="s">
        <v>157</v>
      </c>
      <c r="E390" s="203" t="s">
        <v>347</v>
      </c>
      <c r="F390" s="203"/>
      <c r="G390" s="27">
        <f>G391</f>
        <v>0</v>
      </c>
      <c r="H390" s="27">
        <f aca="true" t="shared" si="183" ref="H390:H391">H391</f>
        <v>0</v>
      </c>
      <c r="I390" s="27" t="e">
        <f t="shared" si="155"/>
        <v>#DIV/0!</v>
      </c>
      <c r="J390" s="129"/>
    </row>
    <row r="391" spans="1:10" ht="31.5" hidden="1">
      <c r="A391" s="26" t="s">
        <v>311</v>
      </c>
      <c r="B391" s="205">
        <v>903</v>
      </c>
      <c r="C391" s="203" t="s">
        <v>338</v>
      </c>
      <c r="D391" s="203" t="s">
        <v>157</v>
      </c>
      <c r="E391" s="203" t="s">
        <v>347</v>
      </c>
      <c r="F391" s="203" t="s">
        <v>312</v>
      </c>
      <c r="G391" s="27">
        <f>G392</f>
        <v>0</v>
      </c>
      <c r="H391" s="27">
        <f t="shared" si="183"/>
        <v>0</v>
      </c>
      <c r="I391" s="27" t="e">
        <f t="shared" si="155"/>
        <v>#DIV/0!</v>
      </c>
      <c r="J391" s="129"/>
    </row>
    <row r="392" spans="1:10" ht="15.75" hidden="1">
      <c r="A392" s="26" t="s">
        <v>313</v>
      </c>
      <c r="B392" s="205">
        <v>903</v>
      </c>
      <c r="C392" s="203" t="s">
        <v>338</v>
      </c>
      <c r="D392" s="203" t="s">
        <v>157</v>
      </c>
      <c r="E392" s="203" t="s">
        <v>347</v>
      </c>
      <c r="F392" s="203" t="s">
        <v>314</v>
      </c>
      <c r="G392" s="27">
        <v>0</v>
      </c>
      <c r="H392" s="27">
        <v>0</v>
      </c>
      <c r="I392" s="27" t="e">
        <f t="shared" si="155"/>
        <v>#DIV/0!</v>
      </c>
      <c r="J392" s="129"/>
    </row>
    <row r="393" spans="1:10" ht="31.5" customHeight="1" hidden="1">
      <c r="A393" s="26" t="s">
        <v>323</v>
      </c>
      <c r="B393" s="205">
        <v>903</v>
      </c>
      <c r="C393" s="203" t="s">
        <v>338</v>
      </c>
      <c r="D393" s="203" t="s">
        <v>157</v>
      </c>
      <c r="E393" s="203" t="s">
        <v>324</v>
      </c>
      <c r="F393" s="203"/>
      <c r="G393" s="27">
        <f>G394</f>
        <v>0</v>
      </c>
      <c r="H393" s="27">
        <f aca="true" t="shared" si="184" ref="H393:H394">H394</f>
        <v>0</v>
      </c>
      <c r="I393" s="27" t="e">
        <f t="shared" si="155"/>
        <v>#DIV/0!</v>
      </c>
      <c r="J393" s="129"/>
    </row>
    <row r="394" spans="1:10" ht="47.25" customHeight="1" hidden="1">
      <c r="A394" s="26" t="s">
        <v>311</v>
      </c>
      <c r="B394" s="205">
        <v>903</v>
      </c>
      <c r="C394" s="203" t="s">
        <v>338</v>
      </c>
      <c r="D394" s="203" t="s">
        <v>157</v>
      </c>
      <c r="E394" s="203" t="s">
        <v>324</v>
      </c>
      <c r="F394" s="203" t="s">
        <v>312</v>
      </c>
      <c r="G394" s="27">
        <f>G395</f>
        <v>0</v>
      </c>
      <c r="H394" s="27">
        <f t="shared" si="184"/>
        <v>0</v>
      </c>
      <c r="I394" s="27" t="e">
        <f t="shared" si="155"/>
        <v>#DIV/0!</v>
      </c>
      <c r="J394" s="129"/>
    </row>
    <row r="395" spans="1:10" ht="15.75" customHeight="1" hidden="1">
      <c r="A395" s="26" t="s">
        <v>313</v>
      </c>
      <c r="B395" s="205">
        <v>903</v>
      </c>
      <c r="C395" s="203" t="s">
        <v>338</v>
      </c>
      <c r="D395" s="203" t="s">
        <v>157</v>
      </c>
      <c r="E395" s="203" t="s">
        <v>324</v>
      </c>
      <c r="F395" s="203" t="s">
        <v>314</v>
      </c>
      <c r="G395" s="27">
        <v>0</v>
      </c>
      <c r="H395" s="27">
        <v>0</v>
      </c>
      <c r="I395" s="27" t="e">
        <f aca="true" t="shared" si="185" ref="I395:I458">H395/G395*100</f>
        <v>#DIV/0!</v>
      </c>
      <c r="J395" s="129"/>
    </row>
    <row r="396" spans="1:10" ht="47.25" customHeight="1" hidden="1">
      <c r="A396" s="37" t="s">
        <v>326</v>
      </c>
      <c r="B396" s="205">
        <v>903</v>
      </c>
      <c r="C396" s="203" t="s">
        <v>338</v>
      </c>
      <c r="D396" s="203" t="s">
        <v>157</v>
      </c>
      <c r="E396" s="203" t="s">
        <v>348</v>
      </c>
      <c r="F396" s="203"/>
      <c r="G396" s="27">
        <f>G397</f>
        <v>0</v>
      </c>
      <c r="H396" s="27">
        <f aca="true" t="shared" si="186" ref="H396:H397">H397</f>
        <v>0</v>
      </c>
      <c r="I396" s="27" t="e">
        <f t="shared" si="185"/>
        <v>#DIV/0!</v>
      </c>
      <c r="J396" s="129"/>
    </row>
    <row r="397" spans="1:10" ht="47.25" customHeight="1" hidden="1">
      <c r="A397" s="26" t="s">
        <v>311</v>
      </c>
      <c r="B397" s="205">
        <v>903</v>
      </c>
      <c r="C397" s="203" t="s">
        <v>338</v>
      </c>
      <c r="D397" s="203" t="s">
        <v>157</v>
      </c>
      <c r="E397" s="203" t="s">
        <v>348</v>
      </c>
      <c r="F397" s="203" t="s">
        <v>312</v>
      </c>
      <c r="G397" s="27">
        <f>G398</f>
        <v>0</v>
      </c>
      <c r="H397" s="27">
        <f t="shared" si="186"/>
        <v>0</v>
      </c>
      <c r="I397" s="27" t="e">
        <f t="shared" si="185"/>
        <v>#DIV/0!</v>
      </c>
      <c r="J397" s="129"/>
    </row>
    <row r="398" spans="1:10" ht="15.75" customHeight="1" hidden="1">
      <c r="A398" s="26" t="s">
        <v>313</v>
      </c>
      <c r="B398" s="205">
        <v>903</v>
      </c>
      <c r="C398" s="203" t="s">
        <v>338</v>
      </c>
      <c r="D398" s="203" t="s">
        <v>157</v>
      </c>
      <c r="E398" s="203" t="s">
        <v>348</v>
      </c>
      <c r="F398" s="203" t="s">
        <v>314</v>
      </c>
      <c r="G398" s="27">
        <v>0</v>
      </c>
      <c r="H398" s="27">
        <v>0</v>
      </c>
      <c r="I398" s="27" t="e">
        <f t="shared" si="185"/>
        <v>#DIV/0!</v>
      </c>
      <c r="J398" s="129"/>
    </row>
    <row r="399" spans="1:10" ht="44.25" customHeight="1" hidden="1">
      <c r="A399" s="70" t="s">
        <v>837</v>
      </c>
      <c r="B399" s="205">
        <v>903</v>
      </c>
      <c r="C399" s="203" t="s">
        <v>338</v>
      </c>
      <c r="D399" s="203" t="s">
        <v>157</v>
      </c>
      <c r="E399" s="203" t="s">
        <v>842</v>
      </c>
      <c r="F399" s="203"/>
      <c r="G399" s="27">
        <f>G400</f>
        <v>0</v>
      </c>
      <c r="H399" s="27">
        <f aca="true" t="shared" si="187" ref="H399:H400">H400</f>
        <v>0</v>
      </c>
      <c r="I399" s="27" t="e">
        <f t="shared" si="185"/>
        <v>#DIV/0!</v>
      </c>
      <c r="J399" s="129"/>
    </row>
    <row r="400" spans="1:10" ht="54.75" customHeight="1" hidden="1">
      <c r="A400" s="31" t="s">
        <v>311</v>
      </c>
      <c r="B400" s="205">
        <v>903</v>
      </c>
      <c r="C400" s="203" t="s">
        <v>338</v>
      </c>
      <c r="D400" s="203" t="s">
        <v>157</v>
      </c>
      <c r="E400" s="203" t="s">
        <v>842</v>
      </c>
      <c r="F400" s="203" t="s">
        <v>312</v>
      </c>
      <c r="G400" s="27">
        <f>G401</f>
        <v>0</v>
      </c>
      <c r="H400" s="27">
        <f t="shared" si="187"/>
        <v>0</v>
      </c>
      <c r="I400" s="27" t="e">
        <f t="shared" si="185"/>
        <v>#DIV/0!</v>
      </c>
      <c r="J400" s="129"/>
    </row>
    <row r="401" spans="1:10" ht="15.75" customHeight="1" hidden="1">
      <c r="A401" s="242" t="s">
        <v>313</v>
      </c>
      <c r="B401" s="205">
        <v>903</v>
      </c>
      <c r="C401" s="203" t="s">
        <v>338</v>
      </c>
      <c r="D401" s="203" t="s">
        <v>157</v>
      </c>
      <c r="E401" s="203" t="s">
        <v>842</v>
      </c>
      <c r="F401" s="203" t="s">
        <v>314</v>
      </c>
      <c r="G401" s="27">
        <v>0</v>
      </c>
      <c r="H401" s="27">
        <v>0</v>
      </c>
      <c r="I401" s="27" t="e">
        <f t="shared" si="185"/>
        <v>#DIV/0!</v>
      </c>
      <c r="J401" s="129"/>
    </row>
    <row r="402" spans="1:10" ht="47.25" customHeight="1" hidden="1">
      <c r="A402" s="26" t="s">
        <v>349</v>
      </c>
      <c r="B402" s="205">
        <v>903</v>
      </c>
      <c r="C402" s="203" t="s">
        <v>338</v>
      </c>
      <c r="D402" s="203" t="s">
        <v>157</v>
      </c>
      <c r="E402" s="203" t="s">
        <v>350</v>
      </c>
      <c r="F402" s="203"/>
      <c r="G402" s="27">
        <f>G403+G405+G407</f>
        <v>0</v>
      </c>
      <c r="H402" s="27">
        <f aca="true" t="shared" si="188" ref="H402">H403+H405+H407</f>
        <v>0</v>
      </c>
      <c r="I402" s="27" t="e">
        <f t="shared" si="185"/>
        <v>#DIV/0!</v>
      </c>
      <c r="J402" s="129"/>
    </row>
    <row r="403" spans="1:10" ht="94.5" customHeight="1" hidden="1">
      <c r="A403" s="26" t="s">
        <v>166</v>
      </c>
      <c r="B403" s="205">
        <v>903</v>
      </c>
      <c r="C403" s="203" t="s">
        <v>338</v>
      </c>
      <c r="D403" s="203" t="s">
        <v>157</v>
      </c>
      <c r="E403" s="203" t="s">
        <v>350</v>
      </c>
      <c r="F403" s="203" t="s">
        <v>167</v>
      </c>
      <c r="G403" s="27">
        <f>G404</f>
        <v>0</v>
      </c>
      <c r="H403" s="27">
        <f aca="true" t="shared" si="189" ref="H403">H404</f>
        <v>0</v>
      </c>
      <c r="I403" s="27" t="e">
        <f t="shared" si="185"/>
        <v>#DIV/0!</v>
      </c>
      <c r="J403" s="129"/>
    </row>
    <row r="404" spans="1:10" ht="31.5" customHeight="1" hidden="1">
      <c r="A404" s="26" t="s">
        <v>247</v>
      </c>
      <c r="B404" s="205">
        <v>903</v>
      </c>
      <c r="C404" s="203" t="s">
        <v>338</v>
      </c>
      <c r="D404" s="203" t="s">
        <v>157</v>
      </c>
      <c r="E404" s="203" t="s">
        <v>350</v>
      </c>
      <c r="F404" s="203" t="s">
        <v>248</v>
      </c>
      <c r="G404" s="28">
        <v>0</v>
      </c>
      <c r="H404" s="28">
        <v>0</v>
      </c>
      <c r="I404" s="27" t="e">
        <f t="shared" si="185"/>
        <v>#DIV/0!</v>
      </c>
      <c r="J404" s="129"/>
    </row>
    <row r="405" spans="1:10" ht="31.5" customHeight="1" hidden="1">
      <c r="A405" s="26" t="s">
        <v>170</v>
      </c>
      <c r="B405" s="205">
        <v>903</v>
      </c>
      <c r="C405" s="203" t="s">
        <v>338</v>
      </c>
      <c r="D405" s="203" t="s">
        <v>157</v>
      </c>
      <c r="E405" s="203" t="s">
        <v>350</v>
      </c>
      <c r="F405" s="203" t="s">
        <v>171</v>
      </c>
      <c r="G405" s="27">
        <f>G406</f>
        <v>0</v>
      </c>
      <c r="H405" s="27">
        <f aca="true" t="shared" si="190" ref="H405">H406</f>
        <v>0</v>
      </c>
      <c r="I405" s="27" t="e">
        <f t="shared" si="185"/>
        <v>#DIV/0!</v>
      </c>
      <c r="J405" s="129"/>
    </row>
    <row r="406" spans="1:10" ht="47.25" customHeight="1" hidden="1">
      <c r="A406" s="26" t="s">
        <v>172</v>
      </c>
      <c r="B406" s="205">
        <v>903</v>
      </c>
      <c r="C406" s="203" t="s">
        <v>338</v>
      </c>
      <c r="D406" s="203" t="s">
        <v>157</v>
      </c>
      <c r="E406" s="203" t="s">
        <v>350</v>
      </c>
      <c r="F406" s="203" t="s">
        <v>173</v>
      </c>
      <c r="G406" s="28">
        <v>0</v>
      </c>
      <c r="H406" s="28">
        <v>0</v>
      </c>
      <c r="I406" s="27" t="e">
        <f t="shared" si="185"/>
        <v>#DIV/0!</v>
      </c>
      <c r="J406" s="129"/>
    </row>
    <row r="407" spans="1:10" ht="15.75" customHeight="1" hidden="1">
      <c r="A407" s="26" t="s">
        <v>174</v>
      </c>
      <c r="B407" s="205">
        <v>903</v>
      </c>
      <c r="C407" s="203" t="s">
        <v>338</v>
      </c>
      <c r="D407" s="203" t="s">
        <v>157</v>
      </c>
      <c r="E407" s="203" t="s">
        <v>350</v>
      </c>
      <c r="F407" s="203" t="s">
        <v>184</v>
      </c>
      <c r="G407" s="27">
        <f>G408</f>
        <v>0</v>
      </c>
      <c r="H407" s="27">
        <f aca="true" t="shared" si="191" ref="H407">H408</f>
        <v>0</v>
      </c>
      <c r="I407" s="27" t="e">
        <f t="shared" si="185"/>
        <v>#DIV/0!</v>
      </c>
      <c r="J407" s="129"/>
    </row>
    <row r="408" spans="1:10" ht="15.75" customHeight="1" hidden="1">
      <c r="A408" s="26" t="s">
        <v>176</v>
      </c>
      <c r="B408" s="205">
        <v>903</v>
      </c>
      <c r="C408" s="203" t="s">
        <v>338</v>
      </c>
      <c r="D408" s="203" t="s">
        <v>157</v>
      </c>
      <c r="E408" s="203" t="s">
        <v>350</v>
      </c>
      <c r="F408" s="203" t="s">
        <v>177</v>
      </c>
      <c r="G408" s="27">
        <v>0</v>
      </c>
      <c r="H408" s="27">
        <v>0</v>
      </c>
      <c r="I408" s="27" t="e">
        <f t="shared" si="185"/>
        <v>#DIV/0!</v>
      </c>
      <c r="J408" s="129"/>
    </row>
    <row r="409" spans="1:10" ht="16.5" customHeight="1">
      <c r="A409" s="26" t="s">
        <v>985</v>
      </c>
      <c r="B409" s="205">
        <v>903</v>
      </c>
      <c r="C409" s="203" t="s">
        <v>338</v>
      </c>
      <c r="D409" s="203" t="s">
        <v>157</v>
      </c>
      <c r="E409" s="203" t="s">
        <v>350</v>
      </c>
      <c r="F409" s="203"/>
      <c r="G409" s="27">
        <f>G410+G412+G414</f>
        <v>23674.600000000002</v>
      </c>
      <c r="H409" s="27">
        <f aca="true" t="shared" si="192" ref="H409">H410+H412+H414</f>
        <v>16439.3</v>
      </c>
      <c r="I409" s="27">
        <f t="shared" si="185"/>
        <v>69.43855440007434</v>
      </c>
      <c r="J409" s="129"/>
    </row>
    <row r="410" spans="1:10" ht="68.25" customHeight="1">
      <c r="A410" s="26" t="s">
        <v>166</v>
      </c>
      <c r="B410" s="205">
        <v>903</v>
      </c>
      <c r="C410" s="203" t="s">
        <v>338</v>
      </c>
      <c r="D410" s="203" t="s">
        <v>157</v>
      </c>
      <c r="E410" s="203" t="s">
        <v>350</v>
      </c>
      <c r="F410" s="203" t="s">
        <v>167</v>
      </c>
      <c r="G410" s="27">
        <f>G411</f>
        <v>18095.4</v>
      </c>
      <c r="H410" s="27">
        <f aca="true" t="shared" si="193" ref="H410">H411</f>
        <v>12752.8</v>
      </c>
      <c r="I410" s="27">
        <f t="shared" si="185"/>
        <v>70.47536943090508</v>
      </c>
      <c r="J410" s="129"/>
    </row>
    <row r="411" spans="1:11" ht="21" customHeight="1">
      <c r="A411" s="26" t="s">
        <v>247</v>
      </c>
      <c r="B411" s="205">
        <v>903</v>
      </c>
      <c r="C411" s="203" t="s">
        <v>338</v>
      </c>
      <c r="D411" s="203" t="s">
        <v>157</v>
      </c>
      <c r="E411" s="203" t="s">
        <v>350</v>
      </c>
      <c r="F411" s="203" t="s">
        <v>248</v>
      </c>
      <c r="G411" s="28">
        <f>15080+423.4+2594-2</f>
        <v>18095.4</v>
      </c>
      <c r="H411" s="28">
        <v>12752.8</v>
      </c>
      <c r="I411" s="27">
        <f t="shared" si="185"/>
        <v>70.47536943090508</v>
      </c>
      <c r="J411" s="129"/>
      <c r="K411" s="290"/>
    </row>
    <row r="412" spans="1:10" ht="27" customHeight="1">
      <c r="A412" s="26" t="s">
        <v>170</v>
      </c>
      <c r="B412" s="205">
        <v>903</v>
      </c>
      <c r="C412" s="203" t="s">
        <v>338</v>
      </c>
      <c r="D412" s="203" t="s">
        <v>157</v>
      </c>
      <c r="E412" s="203" t="s">
        <v>350</v>
      </c>
      <c r="F412" s="203" t="s">
        <v>171</v>
      </c>
      <c r="G412" s="27">
        <f>G413</f>
        <v>5481.2</v>
      </c>
      <c r="H412" s="27">
        <f aca="true" t="shared" si="194" ref="H412">H413</f>
        <v>3655.7</v>
      </c>
      <c r="I412" s="27">
        <f t="shared" si="185"/>
        <v>66.69524921550025</v>
      </c>
      <c r="J412" s="129"/>
    </row>
    <row r="413" spans="1:11" ht="35.25" customHeight="1">
      <c r="A413" s="26" t="s">
        <v>172</v>
      </c>
      <c r="B413" s="205">
        <v>903</v>
      </c>
      <c r="C413" s="203" t="s">
        <v>338</v>
      </c>
      <c r="D413" s="203" t="s">
        <v>157</v>
      </c>
      <c r="E413" s="203" t="s">
        <v>350</v>
      </c>
      <c r="F413" s="203" t="s">
        <v>173</v>
      </c>
      <c r="G413" s="28">
        <f>6603-96-1145.8+120</f>
        <v>5481.2</v>
      </c>
      <c r="H413" s="28">
        <v>3655.7</v>
      </c>
      <c r="I413" s="27">
        <f t="shared" si="185"/>
        <v>66.69524921550025</v>
      </c>
      <c r="J413" s="129"/>
      <c r="K413" s="290"/>
    </row>
    <row r="414" spans="1:10" ht="15.75" customHeight="1">
      <c r="A414" s="26" t="s">
        <v>174</v>
      </c>
      <c r="B414" s="205">
        <v>903</v>
      </c>
      <c r="C414" s="203" t="s">
        <v>338</v>
      </c>
      <c r="D414" s="203" t="s">
        <v>157</v>
      </c>
      <c r="E414" s="203" t="s">
        <v>350</v>
      </c>
      <c r="F414" s="203" t="s">
        <v>184</v>
      </c>
      <c r="G414" s="27">
        <f>G415</f>
        <v>98</v>
      </c>
      <c r="H414" s="27">
        <f aca="true" t="shared" si="195" ref="H414">H415</f>
        <v>30.8</v>
      </c>
      <c r="I414" s="27">
        <f t="shared" si="185"/>
        <v>31.428571428571427</v>
      </c>
      <c r="J414" s="129"/>
    </row>
    <row r="415" spans="1:10" ht="15.75" customHeight="1">
      <c r="A415" s="26" t="s">
        <v>608</v>
      </c>
      <c r="B415" s="205">
        <v>903</v>
      </c>
      <c r="C415" s="203" t="s">
        <v>338</v>
      </c>
      <c r="D415" s="203" t="s">
        <v>157</v>
      </c>
      <c r="E415" s="203" t="s">
        <v>350</v>
      </c>
      <c r="F415" s="203" t="s">
        <v>177</v>
      </c>
      <c r="G415" s="27">
        <f>96+2</f>
        <v>98</v>
      </c>
      <c r="H415" s="27">
        <v>30.8</v>
      </c>
      <c r="I415" s="27">
        <f t="shared" si="185"/>
        <v>31.428571428571427</v>
      </c>
      <c r="J415" s="129"/>
    </row>
    <row r="416" spans="1:10" ht="37.5" customHeight="1">
      <c r="A416" s="26" t="s">
        <v>351</v>
      </c>
      <c r="B416" s="205">
        <v>903</v>
      </c>
      <c r="C416" s="203" t="s">
        <v>338</v>
      </c>
      <c r="D416" s="203" t="s">
        <v>157</v>
      </c>
      <c r="E416" s="203" t="s">
        <v>352</v>
      </c>
      <c r="F416" s="203"/>
      <c r="G416" s="27">
        <f>G423+G446+G434+G437+G440+G443+G426+G431+G449+G456+G417+G420</f>
        <v>19518.699999999997</v>
      </c>
      <c r="H416" s="27">
        <f aca="true" t="shared" si="196" ref="H416">H423+H446+H434+H437+H440+H443+H426+H431+H449+H456+H417+H420</f>
        <v>14398.6</v>
      </c>
      <c r="I416" s="27">
        <f t="shared" si="185"/>
        <v>73.76823251548517</v>
      </c>
      <c r="J416" s="129"/>
    </row>
    <row r="417" spans="1:10" ht="15.75">
      <c r="A417" s="26" t="s">
        <v>368</v>
      </c>
      <c r="B417" s="205">
        <v>903</v>
      </c>
      <c r="C417" s="203" t="s">
        <v>338</v>
      </c>
      <c r="D417" s="203" t="s">
        <v>157</v>
      </c>
      <c r="E417" s="203" t="s">
        <v>355</v>
      </c>
      <c r="F417" s="203"/>
      <c r="G417" s="27">
        <f>G418</f>
        <v>3.5</v>
      </c>
      <c r="H417" s="27">
        <f aca="true" t="shared" si="197" ref="H417:H418">H418</f>
        <v>0</v>
      </c>
      <c r="I417" s="27">
        <f t="shared" si="185"/>
        <v>0</v>
      </c>
      <c r="J417" s="129"/>
    </row>
    <row r="418" spans="1:10" ht="31.5">
      <c r="A418" s="26" t="s">
        <v>170</v>
      </c>
      <c r="B418" s="205">
        <v>903</v>
      </c>
      <c r="C418" s="203" t="s">
        <v>338</v>
      </c>
      <c r="D418" s="203" t="s">
        <v>157</v>
      </c>
      <c r="E418" s="203" t="s">
        <v>355</v>
      </c>
      <c r="F418" s="203" t="s">
        <v>171</v>
      </c>
      <c r="G418" s="27">
        <f>G419</f>
        <v>3.5</v>
      </c>
      <c r="H418" s="27">
        <f t="shared" si="197"/>
        <v>0</v>
      </c>
      <c r="I418" s="27">
        <f t="shared" si="185"/>
        <v>0</v>
      </c>
      <c r="J418" s="129"/>
    </row>
    <row r="419" spans="1:10" ht="31.5">
      <c r="A419" s="26" t="s">
        <v>172</v>
      </c>
      <c r="B419" s="205">
        <v>903</v>
      </c>
      <c r="C419" s="203" t="s">
        <v>338</v>
      </c>
      <c r="D419" s="203" t="s">
        <v>157</v>
      </c>
      <c r="E419" s="203" t="s">
        <v>355</v>
      </c>
      <c r="F419" s="203" t="s">
        <v>173</v>
      </c>
      <c r="G419" s="27">
        <v>3.5</v>
      </c>
      <c r="H419" s="27">
        <v>0</v>
      </c>
      <c r="I419" s="27">
        <f t="shared" si="185"/>
        <v>0</v>
      </c>
      <c r="J419" s="129"/>
    </row>
    <row r="420" spans="1:10" ht="31.5">
      <c r="A420" s="26" t="s">
        <v>1040</v>
      </c>
      <c r="B420" s="205">
        <v>903</v>
      </c>
      <c r="C420" s="203" t="s">
        <v>338</v>
      </c>
      <c r="D420" s="203" t="s">
        <v>157</v>
      </c>
      <c r="E420" s="203" t="s">
        <v>1041</v>
      </c>
      <c r="F420" s="203"/>
      <c r="G420" s="27">
        <f>G421</f>
        <v>227.5</v>
      </c>
      <c r="H420" s="27">
        <f aca="true" t="shared" si="198" ref="H420:H421">H421</f>
        <v>103.6</v>
      </c>
      <c r="I420" s="27">
        <f t="shared" si="185"/>
        <v>45.53846153846153</v>
      </c>
      <c r="J420" s="129"/>
    </row>
    <row r="421" spans="1:10" ht="31.5">
      <c r="A421" s="26" t="s">
        <v>170</v>
      </c>
      <c r="B421" s="205">
        <v>903</v>
      </c>
      <c r="C421" s="203" t="s">
        <v>338</v>
      </c>
      <c r="D421" s="203" t="s">
        <v>157</v>
      </c>
      <c r="E421" s="203" t="s">
        <v>1041</v>
      </c>
      <c r="F421" s="203" t="s">
        <v>171</v>
      </c>
      <c r="G421" s="27">
        <f>G422</f>
        <v>227.5</v>
      </c>
      <c r="H421" s="27">
        <f t="shared" si="198"/>
        <v>103.6</v>
      </c>
      <c r="I421" s="27">
        <f t="shared" si="185"/>
        <v>45.53846153846153</v>
      </c>
      <c r="J421" s="129"/>
    </row>
    <row r="422" spans="1:10" ht="31.5">
      <c r="A422" s="26" t="s">
        <v>172</v>
      </c>
      <c r="B422" s="205">
        <v>903</v>
      </c>
      <c r="C422" s="203" t="s">
        <v>338</v>
      </c>
      <c r="D422" s="203" t="s">
        <v>157</v>
      </c>
      <c r="E422" s="203" t="s">
        <v>1041</v>
      </c>
      <c r="F422" s="203" t="s">
        <v>173</v>
      </c>
      <c r="G422" s="27">
        <v>227.5</v>
      </c>
      <c r="H422" s="27">
        <v>103.6</v>
      </c>
      <c r="I422" s="27">
        <f t="shared" si="185"/>
        <v>45.53846153846153</v>
      </c>
      <c r="J422" s="129"/>
    </row>
    <row r="423" spans="1:10" ht="51" customHeight="1" hidden="1">
      <c r="A423" s="26" t="s">
        <v>342</v>
      </c>
      <c r="B423" s="205">
        <v>903</v>
      </c>
      <c r="C423" s="203" t="s">
        <v>338</v>
      </c>
      <c r="D423" s="203" t="s">
        <v>157</v>
      </c>
      <c r="E423" s="203" t="s">
        <v>353</v>
      </c>
      <c r="F423" s="203"/>
      <c r="G423" s="27">
        <f>G424</f>
        <v>0</v>
      </c>
      <c r="H423" s="27">
        <f aca="true" t="shared" si="199" ref="H423:H424">H424</f>
        <v>0</v>
      </c>
      <c r="I423" s="27" t="e">
        <f t="shared" si="185"/>
        <v>#DIV/0!</v>
      </c>
      <c r="J423" s="129"/>
    </row>
    <row r="424" spans="1:10" ht="31.5" hidden="1">
      <c r="A424" s="26" t="s">
        <v>311</v>
      </c>
      <c r="B424" s="205">
        <v>903</v>
      </c>
      <c r="C424" s="203" t="s">
        <v>338</v>
      </c>
      <c r="D424" s="203" t="s">
        <v>157</v>
      </c>
      <c r="E424" s="203" t="s">
        <v>353</v>
      </c>
      <c r="F424" s="203" t="s">
        <v>312</v>
      </c>
      <c r="G424" s="27">
        <f>G425</f>
        <v>0</v>
      </c>
      <c r="H424" s="27">
        <f t="shared" si="199"/>
        <v>0</v>
      </c>
      <c r="I424" s="27" t="e">
        <f t="shared" si="185"/>
        <v>#DIV/0!</v>
      </c>
      <c r="J424" s="129"/>
    </row>
    <row r="425" spans="1:10" ht="15.75" hidden="1">
      <c r="A425" s="26" t="s">
        <v>313</v>
      </c>
      <c r="B425" s="205">
        <v>903</v>
      </c>
      <c r="C425" s="203" t="s">
        <v>338</v>
      </c>
      <c r="D425" s="203" t="s">
        <v>157</v>
      </c>
      <c r="E425" s="203" t="s">
        <v>353</v>
      </c>
      <c r="F425" s="203" t="s">
        <v>314</v>
      </c>
      <c r="G425" s="28">
        <v>0</v>
      </c>
      <c r="H425" s="28">
        <v>0</v>
      </c>
      <c r="I425" s="27" t="e">
        <f t="shared" si="185"/>
        <v>#DIV/0!</v>
      </c>
      <c r="J425" s="129"/>
    </row>
    <row r="426" spans="1:10" ht="38.25" customHeight="1" hidden="1">
      <c r="A426" s="26" t="s">
        <v>354</v>
      </c>
      <c r="B426" s="205">
        <v>903</v>
      </c>
      <c r="C426" s="203" t="s">
        <v>338</v>
      </c>
      <c r="D426" s="203" t="s">
        <v>157</v>
      </c>
      <c r="E426" s="203" t="s">
        <v>355</v>
      </c>
      <c r="F426" s="203"/>
      <c r="G426" s="28">
        <f>G427+G429</f>
        <v>0</v>
      </c>
      <c r="H426" s="28">
        <f aca="true" t="shared" si="200" ref="H426">H427+H429</f>
        <v>0</v>
      </c>
      <c r="I426" s="27" t="e">
        <f t="shared" si="185"/>
        <v>#DIV/0!</v>
      </c>
      <c r="J426" s="129"/>
    </row>
    <row r="427" spans="1:10" ht="31.5" customHeight="1" hidden="1">
      <c r="A427" s="26" t="s">
        <v>170</v>
      </c>
      <c r="B427" s="205">
        <v>903</v>
      </c>
      <c r="C427" s="203" t="s">
        <v>338</v>
      </c>
      <c r="D427" s="203" t="s">
        <v>157</v>
      </c>
      <c r="E427" s="203" t="s">
        <v>355</v>
      </c>
      <c r="F427" s="203" t="s">
        <v>171</v>
      </c>
      <c r="G427" s="28">
        <f>G428</f>
        <v>0</v>
      </c>
      <c r="H427" s="28">
        <f aca="true" t="shared" si="201" ref="H427">H428</f>
        <v>0</v>
      </c>
      <c r="I427" s="27" t="e">
        <f t="shared" si="185"/>
        <v>#DIV/0!</v>
      </c>
      <c r="J427" s="129"/>
    </row>
    <row r="428" spans="1:10" ht="47.25" customHeight="1" hidden="1">
      <c r="A428" s="26" t="s">
        <v>172</v>
      </c>
      <c r="B428" s="205">
        <v>903</v>
      </c>
      <c r="C428" s="203" t="s">
        <v>338</v>
      </c>
      <c r="D428" s="203" t="s">
        <v>157</v>
      </c>
      <c r="E428" s="203" t="s">
        <v>355</v>
      </c>
      <c r="F428" s="203" t="s">
        <v>173</v>
      </c>
      <c r="G428" s="28">
        <v>0</v>
      </c>
      <c r="H428" s="28">
        <v>0</v>
      </c>
      <c r="I428" s="27" t="e">
        <f t="shared" si="185"/>
        <v>#DIV/0!</v>
      </c>
      <c r="J428" s="129"/>
    </row>
    <row r="429" spans="1:10" ht="31.5" hidden="1">
      <c r="A429" s="26" t="s">
        <v>311</v>
      </c>
      <c r="B429" s="205">
        <v>903</v>
      </c>
      <c r="C429" s="203" t="s">
        <v>338</v>
      </c>
      <c r="D429" s="203" t="s">
        <v>157</v>
      </c>
      <c r="E429" s="203" t="s">
        <v>355</v>
      </c>
      <c r="F429" s="203" t="s">
        <v>312</v>
      </c>
      <c r="G429" s="28">
        <f>G430</f>
        <v>0</v>
      </c>
      <c r="H429" s="28">
        <f aca="true" t="shared" si="202" ref="H429">H430</f>
        <v>0</v>
      </c>
      <c r="I429" s="27" t="e">
        <f t="shared" si="185"/>
        <v>#DIV/0!</v>
      </c>
      <c r="J429" s="129"/>
    </row>
    <row r="430" spans="1:10" ht="15.75" hidden="1">
      <c r="A430" s="26" t="s">
        <v>313</v>
      </c>
      <c r="B430" s="205">
        <v>903</v>
      </c>
      <c r="C430" s="203" t="s">
        <v>338</v>
      </c>
      <c r="D430" s="203" t="s">
        <v>157</v>
      </c>
      <c r="E430" s="203" t="s">
        <v>355</v>
      </c>
      <c r="F430" s="203" t="s">
        <v>314</v>
      </c>
      <c r="G430" s="28">
        <v>0</v>
      </c>
      <c r="H430" s="28">
        <v>0</v>
      </c>
      <c r="I430" s="27" t="e">
        <f t="shared" si="185"/>
        <v>#DIV/0!</v>
      </c>
      <c r="J430" s="129"/>
    </row>
    <row r="431" spans="1:10" ht="15.75" hidden="1">
      <c r="A431" s="26" t="s">
        <v>744</v>
      </c>
      <c r="B431" s="205">
        <v>903</v>
      </c>
      <c r="C431" s="203" t="s">
        <v>338</v>
      </c>
      <c r="D431" s="203" t="s">
        <v>157</v>
      </c>
      <c r="E431" s="203" t="s">
        <v>745</v>
      </c>
      <c r="F431" s="203"/>
      <c r="G431" s="28">
        <f>G432</f>
        <v>0</v>
      </c>
      <c r="H431" s="28">
        <f aca="true" t="shared" si="203" ref="H431:H432">H432</f>
        <v>0</v>
      </c>
      <c r="I431" s="27" t="e">
        <f t="shared" si="185"/>
        <v>#DIV/0!</v>
      </c>
      <c r="J431" s="129"/>
    </row>
    <row r="432" spans="1:10" ht="31.5" hidden="1">
      <c r="A432" s="26" t="s">
        <v>311</v>
      </c>
      <c r="B432" s="205">
        <v>903</v>
      </c>
      <c r="C432" s="203" t="s">
        <v>338</v>
      </c>
      <c r="D432" s="203" t="s">
        <v>157</v>
      </c>
      <c r="E432" s="203" t="s">
        <v>745</v>
      </c>
      <c r="F432" s="203" t="s">
        <v>312</v>
      </c>
      <c r="G432" s="28">
        <f>G433</f>
        <v>0</v>
      </c>
      <c r="H432" s="28">
        <f t="shared" si="203"/>
        <v>0</v>
      </c>
      <c r="I432" s="27" t="e">
        <f t="shared" si="185"/>
        <v>#DIV/0!</v>
      </c>
      <c r="J432" s="129"/>
    </row>
    <row r="433" spans="1:10" ht="15.75" hidden="1">
      <c r="A433" s="26" t="s">
        <v>313</v>
      </c>
      <c r="B433" s="205">
        <v>903</v>
      </c>
      <c r="C433" s="203" t="s">
        <v>338</v>
      </c>
      <c r="D433" s="203" t="s">
        <v>157</v>
      </c>
      <c r="E433" s="203" t="s">
        <v>745</v>
      </c>
      <c r="F433" s="203" t="s">
        <v>314</v>
      </c>
      <c r="G433" s="28">
        <v>0</v>
      </c>
      <c r="H433" s="28">
        <v>0</v>
      </c>
      <c r="I433" s="27" t="e">
        <f t="shared" si="185"/>
        <v>#DIV/0!</v>
      </c>
      <c r="J433" s="129"/>
    </row>
    <row r="434" spans="1:10" ht="47.25" customHeight="1" hidden="1">
      <c r="A434" s="26" t="s">
        <v>315</v>
      </c>
      <c r="B434" s="205">
        <v>903</v>
      </c>
      <c r="C434" s="203" t="s">
        <v>338</v>
      </c>
      <c r="D434" s="203" t="s">
        <v>157</v>
      </c>
      <c r="E434" s="203" t="s">
        <v>356</v>
      </c>
      <c r="F434" s="203"/>
      <c r="G434" s="27">
        <f>G435</f>
        <v>0</v>
      </c>
      <c r="H434" s="27">
        <f aca="true" t="shared" si="204" ref="H434:H435">H435</f>
        <v>0</v>
      </c>
      <c r="I434" s="27" t="e">
        <f t="shared" si="185"/>
        <v>#DIV/0!</v>
      </c>
      <c r="J434" s="129"/>
    </row>
    <row r="435" spans="1:10" ht="47.25" customHeight="1" hidden="1">
      <c r="A435" s="26" t="s">
        <v>311</v>
      </c>
      <c r="B435" s="205">
        <v>903</v>
      </c>
      <c r="C435" s="203" t="s">
        <v>338</v>
      </c>
      <c r="D435" s="203" t="s">
        <v>157</v>
      </c>
      <c r="E435" s="203" t="s">
        <v>356</v>
      </c>
      <c r="F435" s="203" t="s">
        <v>312</v>
      </c>
      <c r="G435" s="27">
        <f>G436</f>
        <v>0</v>
      </c>
      <c r="H435" s="27">
        <f t="shared" si="204"/>
        <v>0</v>
      </c>
      <c r="I435" s="27" t="e">
        <f t="shared" si="185"/>
        <v>#DIV/0!</v>
      </c>
      <c r="J435" s="129"/>
    </row>
    <row r="436" spans="1:10" ht="15.75" customHeight="1" hidden="1">
      <c r="A436" s="26" t="s">
        <v>313</v>
      </c>
      <c r="B436" s="205">
        <v>903</v>
      </c>
      <c r="C436" s="203" t="s">
        <v>338</v>
      </c>
      <c r="D436" s="203" t="s">
        <v>157</v>
      </c>
      <c r="E436" s="203" t="s">
        <v>356</v>
      </c>
      <c r="F436" s="203" t="s">
        <v>314</v>
      </c>
      <c r="G436" s="27">
        <v>0</v>
      </c>
      <c r="H436" s="27">
        <v>0</v>
      </c>
      <c r="I436" s="27" t="e">
        <f t="shared" si="185"/>
        <v>#DIV/0!</v>
      </c>
      <c r="J436" s="129"/>
    </row>
    <row r="437" spans="1:10" ht="47.25" customHeight="1" hidden="1">
      <c r="A437" s="26" t="s">
        <v>317</v>
      </c>
      <c r="B437" s="205">
        <v>903</v>
      </c>
      <c r="C437" s="203" t="s">
        <v>338</v>
      </c>
      <c r="D437" s="203" t="s">
        <v>157</v>
      </c>
      <c r="E437" s="203" t="s">
        <v>357</v>
      </c>
      <c r="F437" s="203"/>
      <c r="G437" s="27">
        <f>G438</f>
        <v>0</v>
      </c>
      <c r="H437" s="27">
        <f aca="true" t="shared" si="205" ref="H437:H438">H438</f>
        <v>0</v>
      </c>
      <c r="I437" s="27" t="e">
        <f t="shared" si="185"/>
        <v>#DIV/0!</v>
      </c>
      <c r="J437" s="129"/>
    </row>
    <row r="438" spans="1:10" ht="47.25" customHeight="1" hidden="1">
      <c r="A438" s="26" t="s">
        <v>311</v>
      </c>
      <c r="B438" s="205">
        <v>903</v>
      </c>
      <c r="C438" s="203" t="s">
        <v>338</v>
      </c>
      <c r="D438" s="203" t="s">
        <v>157</v>
      </c>
      <c r="E438" s="203" t="s">
        <v>357</v>
      </c>
      <c r="F438" s="203" t="s">
        <v>312</v>
      </c>
      <c r="G438" s="27">
        <f>G439</f>
        <v>0</v>
      </c>
      <c r="H438" s="27">
        <f t="shared" si="205"/>
        <v>0</v>
      </c>
      <c r="I438" s="27" t="e">
        <f t="shared" si="185"/>
        <v>#DIV/0!</v>
      </c>
      <c r="J438" s="129"/>
    </row>
    <row r="439" spans="1:10" ht="15.75" customHeight="1" hidden="1">
      <c r="A439" s="26" t="s">
        <v>313</v>
      </c>
      <c r="B439" s="205">
        <v>903</v>
      </c>
      <c r="C439" s="203" t="s">
        <v>338</v>
      </c>
      <c r="D439" s="203" t="s">
        <v>157</v>
      </c>
      <c r="E439" s="203" t="s">
        <v>357</v>
      </c>
      <c r="F439" s="203" t="s">
        <v>314</v>
      </c>
      <c r="G439" s="27">
        <v>0</v>
      </c>
      <c r="H439" s="27">
        <v>0</v>
      </c>
      <c r="I439" s="27" t="e">
        <f t="shared" si="185"/>
        <v>#DIV/0!</v>
      </c>
      <c r="J439" s="129"/>
    </row>
    <row r="440" spans="1:10" ht="31.5" customHeight="1" hidden="1">
      <c r="A440" s="26" t="s">
        <v>319</v>
      </c>
      <c r="B440" s="205">
        <v>903</v>
      </c>
      <c r="C440" s="203" t="s">
        <v>338</v>
      </c>
      <c r="D440" s="203" t="s">
        <v>157</v>
      </c>
      <c r="E440" s="203" t="s">
        <v>358</v>
      </c>
      <c r="F440" s="203"/>
      <c r="G440" s="27">
        <f>G441</f>
        <v>0</v>
      </c>
      <c r="H440" s="27">
        <f aca="true" t="shared" si="206" ref="H440:H441">H441</f>
        <v>0</v>
      </c>
      <c r="I440" s="27" t="e">
        <f t="shared" si="185"/>
        <v>#DIV/0!</v>
      </c>
      <c r="J440" s="129"/>
    </row>
    <row r="441" spans="1:10" ht="47.25" customHeight="1" hidden="1">
      <c r="A441" s="26" t="s">
        <v>311</v>
      </c>
      <c r="B441" s="205">
        <v>903</v>
      </c>
      <c r="C441" s="203" t="s">
        <v>338</v>
      </c>
      <c r="D441" s="203" t="s">
        <v>157</v>
      </c>
      <c r="E441" s="203" t="s">
        <v>358</v>
      </c>
      <c r="F441" s="203" t="s">
        <v>312</v>
      </c>
      <c r="G441" s="27">
        <f>G442</f>
        <v>0</v>
      </c>
      <c r="H441" s="27">
        <f t="shared" si="206"/>
        <v>0</v>
      </c>
      <c r="I441" s="27" t="e">
        <f t="shared" si="185"/>
        <v>#DIV/0!</v>
      </c>
      <c r="J441" s="129"/>
    </row>
    <row r="442" spans="1:10" ht="15.75" customHeight="1" hidden="1">
      <c r="A442" s="26" t="s">
        <v>313</v>
      </c>
      <c r="B442" s="205">
        <v>903</v>
      </c>
      <c r="C442" s="203" t="s">
        <v>338</v>
      </c>
      <c r="D442" s="203" t="s">
        <v>157</v>
      </c>
      <c r="E442" s="203" t="s">
        <v>358</v>
      </c>
      <c r="F442" s="203" t="s">
        <v>314</v>
      </c>
      <c r="G442" s="27">
        <v>0</v>
      </c>
      <c r="H442" s="27">
        <v>0</v>
      </c>
      <c r="I442" s="27" t="e">
        <f t="shared" si="185"/>
        <v>#DIV/0!</v>
      </c>
      <c r="J442" s="129"/>
    </row>
    <row r="443" spans="1:10" ht="31.5" customHeight="1" hidden="1">
      <c r="A443" s="26" t="s">
        <v>323</v>
      </c>
      <c r="B443" s="205">
        <v>903</v>
      </c>
      <c r="C443" s="203" t="s">
        <v>338</v>
      </c>
      <c r="D443" s="203" t="s">
        <v>157</v>
      </c>
      <c r="E443" s="203" t="s">
        <v>359</v>
      </c>
      <c r="F443" s="203"/>
      <c r="G443" s="27">
        <f>G444</f>
        <v>0</v>
      </c>
      <c r="H443" s="27">
        <f aca="true" t="shared" si="207" ref="H443:H444">H444</f>
        <v>0</v>
      </c>
      <c r="I443" s="27" t="e">
        <f t="shared" si="185"/>
        <v>#DIV/0!</v>
      </c>
      <c r="J443" s="129"/>
    </row>
    <row r="444" spans="1:10" ht="47.25" customHeight="1" hidden="1">
      <c r="A444" s="26" t="s">
        <v>311</v>
      </c>
      <c r="B444" s="205">
        <v>903</v>
      </c>
      <c r="C444" s="203" t="s">
        <v>338</v>
      </c>
      <c r="D444" s="203" t="s">
        <v>157</v>
      </c>
      <c r="E444" s="203" t="s">
        <v>359</v>
      </c>
      <c r="F444" s="203" t="s">
        <v>312</v>
      </c>
      <c r="G444" s="27">
        <f>G445</f>
        <v>0</v>
      </c>
      <c r="H444" s="27">
        <f t="shared" si="207"/>
        <v>0</v>
      </c>
      <c r="I444" s="27" t="e">
        <f t="shared" si="185"/>
        <v>#DIV/0!</v>
      </c>
      <c r="J444" s="129"/>
    </row>
    <row r="445" spans="1:10" ht="15.75" customHeight="1" hidden="1">
      <c r="A445" s="26" t="s">
        <v>313</v>
      </c>
      <c r="B445" s="205">
        <v>903</v>
      </c>
      <c r="C445" s="203" t="s">
        <v>338</v>
      </c>
      <c r="D445" s="203" t="s">
        <v>157</v>
      </c>
      <c r="E445" s="203" t="s">
        <v>359</v>
      </c>
      <c r="F445" s="203" t="s">
        <v>314</v>
      </c>
      <c r="G445" s="27">
        <v>0</v>
      </c>
      <c r="H445" s="27">
        <v>0</v>
      </c>
      <c r="I445" s="27" t="e">
        <f t="shared" si="185"/>
        <v>#DIV/0!</v>
      </c>
      <c r="J445" s="129"/>
    </row>
    <row r="446" spans="1:10" ht="47.25" customHeight="1" hidden="1">
      <c r="A446" s="37" t="s">
        <v>360</v>
      </c>
      <c r="B446" s="205">
        <v>903</v>
      </c>
      <c r="C446" s="203" t="s">
        <v>338</v>
      </c>
      <c r="D446" s="203" t="s">
        <v>157</v>
      </c>
      <c r="E446" s="203" t="s">
        <v>361</v>
      </c>
      <c r="F446" s="203"/>
      <c r="G446" s="27">
        <f>G447</f>
        <v>0</v>
      </c>
      <c r="H446" s="27">
        <f aca="true" t="shared" si="208" ref="H446:H447">H447</f>
        <v>0</v>
      </c>
      <c r="I446" s="27" t="e">
        <f t="shared" si="185"/>
        <v>#DIV/0!</v>
      </c>
      <c r="J446" s="129"/>
    </row>
    <row r="447" spans="1:10" ht="47.25" customHeight="1" hidden="1">
      <c r="A447" s="26" t="s">
        <v>311</v>
      </c>
      <c r="B447" s="205">
        <v>903</v>
      </c>
      <c r="C447" s="203" t="s">
        <v>338</v>
      </c>
      <c r="D447" s="203" t="s">
        <v>157</v>
      </c>
      <c r="E447" s="203" t="s">
        <v>361</v>
      </c>
      <c r="F447" s="203" t="s">
        <v>312</v>
      </c>
      <c r="G447" s="27">
        <f>G448</f>
        <v>0</v>
      </c>
      <c r="H447" s="27">
        <f t="shared" si="208"/>
        <v>0</v>
      </c>
      <c r="I447" s="27" t="e">
        <f t="shared" si="185"/>
        <v>#DIV/0!</v>
      </c>
      <c r="J447" s="129"/>
    </row>
    <row r="448" spans="1:10" ht="15.75" customHeight="1" hidden="1">
      <c r="A448" s="26" t="s">
        <v>313</v>
      </c>
      <c r="B448" s="205">
        <v>903</v>
      </c>
      <c r="C448" s="203" t="s">
        <v>338</v>
      </c>
      <c r="D448" s="203" t="s">
        <v>157</v>
      </c>
      <c r="E448" s="203" t="s">
        <v>361</v>
      </c>
      <c r="F448" s="203" t="s">
        <v>314</v>
      </c>
      <c r="G448" s="27">
        <v>0</v>
      </c>
      <c r="H448" s="27">
        <v>0</v>
      </c>
      <c r="I448" s="27" t="e">
        <f t="shared" si="185"/>
        <v>#DIV/0!</v>
      </c>
      <c r="J448" s="129"/>
    </row>
    <row r="449" spans="1:10" ht="47.25" customHeight="1" hidden="1">
      <c r="A449" s="70" t="s">
        <v>837</v>
      </c>
      <c r="B449" s="205">
        <v>903</v>
      </c>
      <c r="C449" s="203" t="s">
        <v>338</v>
      </c>
      <c r="D449" s="203" t="s">
        <v>157</v>
      </c>
      <c r="E449" s="203" t="s">
        <v>850</v>
      </c>
      <c r="F449" s="203"/>
      <c r="G449" s="27">
        <f>G450</f>
        <v>0</v>
      </c>
      <c r="H449" s="27">
        <f aca="true" t="shared" si="209" ref="H449:H450">H450</f>
        <v>0</v>
      </c>
      <c r="I449" s="27" t="e">
        <f t="shared" si="185"/>
        <v>#DIV/0!</v>
      </c>
      <c r="J449" s="129"/>
    </row>
    <row r="450" spans="1:10" ht="54" customHeight="1" hidden="1">
      <c r="A450" s="31" t="s">
        <v>311</v>
      </c>
      <c r="B450" s="205">
        <v>903</v>
      </c>
      <c r="C450" s="203" t="s">
        <v>338</v>
      </c>
      <c r="D450" s="203" t="s">
        <v>157</v>
      </c>
      <c r="E450" s="203" t="s">
        <v>850</v>
      </c>
      <c r="F450" s="203" t="s">
        <v>312</v>
      </c>
      <c r="G450" s="27">
        <f>G451</f>
        <v>0</v>
      </c>
      <c r="H450" s="27">
        <f t="shared" si="209"/>
        <v>0</v>
      </c>
      <c r="I450" s="27" t="e">
        <f t="shared" si="185"/>
        <v>#DIV/0!</v>
      </c>
      <c r="J450" s="129"/>
    </row>
    <row r="451" spans="1:10" ht="15.75" customHeight="1" hidden="1">
      <c r="A451" s="242" t="s">
        <v>313</v>
      </c>
      <c r="B451" s="205">
        <v>903</v>
      </c>
      <c r="C451" s="203" t="s">
        <v>338</v>
      </c>
      <c r="D451" s="203" t="s">
        <v>157</v>
      </c>
      <c r="E451" s="203" t="s">
        <v>850</v>
      </c>
      <c r="F451" s="203" t="s">
        <v>314</v>
      </c>
      <c r="G451" s="27">
        <v>0</v>
      </c>
      <c r="H451" s="27">
        <v>0</v>
      </c>
      <c r="I451" s="27" t="e">
        <f t="shared" si="185"/>
        <v>#DIV/0!</v>
      </c>
      <c r="J451" s="129"/>
    </row>
    <row r="452" spans="1:10" ht="60" customHeight="1" hidden="1">
      <c r="A452" s="31" t="s">
        <v>362</v>
      </c>
      <c r="B452" s="205">
        <v>903</v>
      </c>
      <c r="C452" s="203" t="s">
        <v>338</v>
      </c>
      <c r="D452" s="203" t="s">
        <v>157</v>
      </c>
      <c r="E452" s="206" t="s">
        <v>363</v>
      </c>
      <c r="F452" s="203"/>
      <c r="G452" s="27">
        <f>G453</f>
        <v>0</v>
      </c>
      <c r="H452" s="27">
        <f aca="true" t="shared" si="210" ref="H452:H454">H453</f>
        <v>0</v>
      </c>
      <c r="I452" s="27" t="e">
        <f t="shared" si="185"/>
        <v>#DIV/0!</v>
      </c>
      <c r="J452" s="129"/>
    </row>
    <row r="453" spans="1:10" ht="47.25" hidden="1">
      <c r="A453" s="26" t="s">
        <v>364</v>
      </c>
      <c r="B453" s="205">
        <v>903</v>
      </c>
      <c r="C453" s="203" t="s">
        <v>338</v>
      </c>
      <c r="D453" s="203" t="s">
        <v>157</v>
      </c>
      <c r="E453" s="206" t="s">
        <v>365</v>
      </c>
      <c r="F453" s="203"/>
      <c r="G453" s="27">
        <f>G454</f>
        <v>0</v>
      </c>
      <c r="H453" s="27">
        <f t="shared" si="210"/>
        <v>0</v>
      </c>
      <c r="I453" s="27" t="e">
        <f t="shared" si="185"/>
        <v>#DIV/0!</v>
      </c>
      <c r="J453" s="129"/>
    </row>
    <row r="454" spans="1:10" ht="31.5" hidden="1">
      <c r="A454" s="26" t="s">
        <v>311</v>
      </c>
      <c r="B454" s="205">
        <v>903</v>
      </c>
      <c r="C454" s="203" t="s">
        <v>338</v>
      </c>
      <c r="D454" s="203" t="s">
        <v>157</v>
      </c>
      <c r="E454" s="206" t="s">
        <v>365</v>
      </c>
      <c r="F454" s="203" t="s">
        <v>312</v>
      </c>
      <c r="G454" s="27">
        <f>G455</f>
        <v>0</v>
      </c>
      <c r="H454" s="27">
        <f t="shared" si="210"/>
        <v>0</v>
      </c>
      <c r="I454" s="27" t="e">
        <f t="shared" si="185"/>
        <v>#DIV/0!</v>
      </c>
      <c r="J454" s="129"/>
    </row>
    <row r="455" spans="1:10" ht="15.75" hidden="1">
      <c r="A455" s="26" t="s">
        <v>313</v>
      </c>
      <c r="B455" s="205">
        <v>903</v>
      </c>
      <c r="C455" s="203" t="s">
        <v>338</v>
      </c>
      <c r="D455" s="203" t="s">
        <v>157</v>
      </c>
      <c r="E455" s="206" t="s">
        <v>365</v>
      </c>
      <c r="F455" s="203" t="s">
        <v>314</v>
      </c>
      <c r="G455" s="27">
        <v>0</v>
      </c>
      <c r="H455" s="27">
        <v>0</v>
      </c>
      <c r="I455" s="27" t="e">
        <f t="shared" si="185"/>
        <v>#DIV/0!</v>
      </c>
      <c r="J455" s="129"/>
    </row>
    <row r="456" spans="1:10" ht="15.75">
      <c r="A456" s="26" t="s">
        <v>985</v>
      </c>
      <c r="B456" s="205">
        <v>903</v>
      </c>
      <c r="C456" s="203" t="s">
        <v>338</v>
      </c>
      <c r="D456" s="203" t="s">
        <v>157</v>
      </c>
      <c r="E456" s="203" t="s">
        <v>987</v>
      </c>
      <c r="F456" s="203"/>
      <c r="G456" s="27">
        <f>G457+G459+G461</f>
        <v>19287.699999999997</v>
      </c>
      <c r="H456" s="27">
        <f aca="true" t="shared" si="211" ref="H456">H457+H459+H461</f>
        <v>14295</v>
      </c>
      <c r="I456" s="27">
        <f t="shared" si="185"/>
        <v>74.11459116431716</v>
      </c>
      <c r="J456" s="129"/>
    </row>
    <row r="457" spans="1:10" ht="63">
      <c r="A457" s="26" t="s">
        <v>166</v>
      </c>
      <c r="B457" s="205">
        <v>903</v>
      </c>
      <c r="C457" s="203" t="s">
        <v>338</v>
      </c>
      <c r="D457" s="203" t="s">
        <v>157</v>
      </c>
      <c r="E457" s="203" t="s">
        <v>987</v>
      </c>
      <c r="F457" s="203" t="s">
        <v>167</v>
      </c>
      <c r="G457" s="27">
        <f>G458</f>
        <v>15494.199999999999</v>
      </c>
      <c r="H457" s="27">
        <f aca="true" t="shared" si="212" ref="H457">H458</f>
        <v>11752.2</v>
      </c>
      <c r="I457" s="27">
        <f t="shared" si="185"/>
        <v>75.84902737798662</v>
      </c>
      <c r="J457" s="129"/>
    </row>
    <row r="458" spans="1:11" ht="15.75">
      <c r="A458" s="26" t="s">
        <v>247</v>
      </c>
      <c r="B458" s="205">
        <v>903</v>
      </c>
      <c r="C458" s="203" t="s">
        <v>338</v>
      </c>
      <c r="D458" s="203" t="s">
        <v>157</v>
      </c>
      <c r="E458" s="203" t="s">
        <v>987</v>
      </c>
      <c r="F458" s="203" t="s">
        <v>248</v>
      </c>
      <c r="G458" s="28">
        <f>14479.8+24+990.4</f>
        <v>15494.199999999999</v>
      </c>
      <c r="H458" s="28">
        <v>11752.2</v>
      </c>
      <c r="I458" s="27">
        <f t="shared" si="185"/>
        <v>75.84902737798662</v>
      </c>
      <c r="J458" s="129"/>
      <c r="K458" s="290"/>
    </row>
    <row r="459" spans="1:10" ht="31.5">
      <c r="A459" s="26" t="s">
        <v>170</v>
      </c>
      <c r="B459" s="205">
        <v>903</v>
      </c>
      <c r="C459" s="203" t="s">
        <v>338</v>
      </c>
      <c r="D459" s="203" t="s">
        <v>157</v>
      </c>
      <c r="E459" s="203" t="s">
        <v>987</v>
      </c>
      <c r="F459" s="203" t="s">
        <v>171</v>
      </c>
      <c r="G459" s="27">
        <f>G460</f>
        <v>3763.5</v>
      </c>
      <c r="H459" s="27">
        <f aca="true" t="shared" si="213" ref="H459">H460</f>
        <v>2522.3</v>
      </c>
      <c r="I459" s="27">
        <f aca="true" t="shared" si="214" ref="I459:I522">H459/G459*100</f>
        <v>67.02006111332537</v>
      </c>
      <c r="J459" s="289"/>
    </row>
    <row r="460" spans="1:10" ht="31.5">
      <c r="A460" s="26" t="s">
        <v>172</v>
      </c>
      <c r="B460" s="205">
        <v>903</v>
      </c>
      <c r="C460" s="203" t="s">
        <v>338</v>
      </c>
      <c r="D460" s="203" t="s">
        <v>157</v>
      </c>
      <c r="E460" s="203" t="s">
        <v>987</v>
      </c>
      <c r="F460" s="203" t="s">
        <v>173</v>
      </c>
      <c r="G460" s="28">
        <f>4500.2-30-706.7</f>
        <v>3763.5</v>
      </c>
      <c r="H460" s="28">
        <v>2522.3</v>
      </c>
      <c r="I460" s="27">
        <f t="shared" si="214"/>
        <v>67.02006111332537</v>
      </c>
      <c r="J460" s="129"/>
    </row>
    <row r="461" spans="1:10" ht="15.75">
      <c r="A461" s="26" t="s">
        <v>174</v>
      </c>
      <c r="B461" s="205">
        <v>903</v>
      </c>
      <c r="C461" s="203" t="s">
        <v>338</v>
      </c>
      <c r="D461" s="203" t="s">
        <v>157</v>
      </c>
      <c r="E461" s="203" t="s">
        <v>987</v>
      </c>
      <c r="F461" s="203" t="s">
        <v>184</v>
      </c>
      <c r="G461" s="27">
        <f>G462</f>
        <v>30</v>
      </c>
      <c r="H461" s="27">
        <f aca="true" t="shared" si="215" ref="H461">H462</f>
        <v>20.5</v>
      </c>
      <c r="I461" s="27">
        <f t="shared" si="214"/>
        <v>68.33333333333333</v>
      </c>
      <c r="J461" s="289"/>
    </row>
    <row r="462" spans="1:10" ht="15.75">
      <c r="A462" s="26" t="s">
        <v>608</v>
      </c>
      <c r="B462" s="205">
        <v>903</v>
      </c>
      <c r="C462" s="203" t="s">
        <v>338</v>
      </c>
      <c r="D462" s="203" t="s">
        <v>157</v>
      </c>
      <c r="E462" s="203" t="s">
        <v>987</v>
      </c>
      <c r="F462" s="203" t="s">
        <v>177</v>
      </c>
      <c r="G462" s="27">
        <v>30</v>
      </c>
      <c r="H462" s="27">
        <v>20.5</v>
      </c>
      <c r="I462" s="27">
        <f t="shared" si="214"/>
        <v>68.33333333333333</v>
      </c>
      <c r="J462" s="129"/>
    </row>
    <row r="463" spans="1:10" ht="47.25" hidden="1">
      <c r="A463" s="33" t="s">
        <v>920</v>
      </c>
      <c r="B463" s="205">
        <v>903</v>
      </c>
      <c r="C463" s="203" t="s">
        <v>338</v>
      </c>
      <c r="D463" s="203" t="s">
        <v>157</v>
      </c>
      <c r="E463" s="203" t="s">
        <v>363</v>
      </c>
      <c r="F463" s="203"/>
      <c r="G463" s="27">
        <f>G464</f>
        <v>0</v>
      </c>
      <c r="H463" s="27">
        <f aca="true" t="shared" si="216" ref="H463:H465">H464</f>
        <v>0</v>
      </c>
      <c r="I463" s="27" t="e">
        <f t="shared" si="214"/>
        <v>#DIV/0!</v>
      </c>
      <c r="J463" s="129"/>
    </row>
    <row r="464" spans="1:10" ht="31.5" hidden="1">
      <c r="A464" s="33" t="s">
        <v>988</v>
      </c>
      <c r="B464" s="205">
        <v>903</v>
      </c>
      <c r="C464" s="203" t="s">
        <v>338</v>
      </c>
      <c r="D464" s="203" t="s">
        <v>157</v>
      </c>
      <c r="E464" s="203" t="s">
        <v>989</v>
      </c>
      <c r="F464" s="203"/>
      <c r="G464" s="27">
        <f>G465</f>
        <v>0</v>
      </c>
      <c r="H464" s="27">
        <f t="shared" si="216"/>
        <v>0</v>
      </c>
      <c r="I464" s="27" t="e">
        <f t="shared" si="214"/>
        <v>#DIV/0!</v>
      </c>
      <c r="J464" s="129"/>
    </row>
    <row r="465" spans="1:10" ht="31.5" hidden="1">
      <c r="A465" s="26" t="s">
        <v>170</v>
      </c>
      <c r="B465" s="205">
        <v>903</v>
      </c>
      <c r="C465" s="203" t="s">
        <v>338</v>
      </c>
      <c r="D465" s="203" t="s">
        <v>157</v>
      </c>
      <c r="E465" s="203" t="s">
        <v>989</v>
      </c>
      <c r="F465" s="203" t="s">
        <v>171</v>
      </c>
      <c r="G465" s="27">
        <f>G466</f>
        <v>0</v>
      </c>
      <c r="H465" s="27">
        <f t="shared" si="216"/>
        <v>0</v>
      </c>
      <c r="I465" s="27" t="e">
        <f t="shared" si="214"/>
        <v>#DIV/0!</v>
      </c>
      <c r="J465" s="129"/>
    </row>
    <row r="466" spans="1:10" ht="31.5" hidden="1">
      <c r="A466" s="26" t="s">
        <v>172</v>
      </c>
      <c r="B466" s="205">
        <v>903</v>
      </c>
      <c r="C466" s="203" t="s">
        <v>338</v>
      </c>
      <c r="D466" s="203" t="s">
        <v>157</v>
      </c>
      <c r="E466" s="203" t="s">
        <v>989</v>
      </c>
      <c r="F466" s="203" t="s">
        <v>173</v>
      </c>
      <c r="G466" s="27">
        <v>0</v>
      </c>
      <c r="H466" s="27">
        <v>0</v>
      </c>
      <c r="I466" s="27" t="e">
        <f t="shared" si="214"/>
        <v>#DIV/0!</v>
      </c>
      <c r="J466" s="129"/>
    </row>
    <row r="467" spans="1:10" ht="47.25">
      <c r="A467" s="31" t="s">
        <v>777</v>
      </c>
      <c r="B467" s="205">
        <v>903</v>
      </c>
      <c r="C467" s="203" t="s">
        <v>338</v>
      </c>
      <c r="D467" s="203" t="s">
        <v>157</v>
      </c>
      <c r="E467" s="203" t="s">
        <v>775</v>
      </c>
      <c r="F467" s="210"/>
      <c r="G467" s="27">
        <f>G468</f>
        <v>793.2</v>
      </c>
      <c r="H467" s="27">
        <f aca="true" t="shared" si="217" ref="H467:H469">H468</f>
        <v>534.5</v>
      </c>
      <c r="I467" s="27">
        <f t="shared" si="214"/>
        <v>67.3852748361069</v>
      </c>
      <c r="J467" s="129"/>
    </row>
    <row r="468" spans="1:10" ht="31.5">
      <c r="A468" s="119" t="s">
        <v>906</v>
      </c>
      <c r="B468" s="205">
        <v>903</v>
      </c>
      <c r="C468" s="203" t="s">
        <v>338</v>
      </c>
      <c r="D468" s="203" t="s">
        <v>157</v>
      </c>
      <c r="E468" s="203" t="s">
        <v>910</v>
      </c>
      <c r="F468" s="210"/>
      <c r="G468" s="27">
        <f>G469</f>
        <v>793.2</v>
      </c>
      <c r="H468" s="27">
        <f t="shared" si="217"/>
        <v>534.5</v>
      </c>
      <c r="I468" s="27">
        <f t="shared" si="214"/>
        <v>67.3852748361069</v>
      </c>
      <c r="J468" s="129"/>
    </row>
    <row r="469" spans="1:10" ht="31.5">
      <c r="A469" s="26" t="s">
        <v>170</v>
      </c>
      <c r="B469" s="205">
        <v>903</v>
      </c>
      <c r="C469" s="203" t="s">
        <v>338</v>
      </c>
      <c r="D469" s="203" t="s">
        <v>157</v>
      </c>
      <c r="E469" s="203" t="s">
        <v>910</v>
      </c>
      <c r="F469" s="210" t="s">
        <v>171</v>
      </c>
      <c r="G469" s="27">
        <f>G470</f>
        <v>793.2</v>
      </c>
      <c r="H469" s="27">
        <f t="shared" si="217"/>
        <v>534.5</v>
      </c>
      <c r="I469" s="27">
        <f t="shared" si="214"/>
        <v>67.3852748361069</v>
      </c>
      <c r="J469" s="129"/>
    </row>
    <row r="470" spans="1:10" ht="31.5">
      <c r="A470" s="26" t="s">
        <v>172</v>
      </c>
      <c r="B470" s="205">
        <v>903</v>
      </c>
      <c r="C470" s="203" t="s">
        <v>338</v>
      </c>
      <c r="D470" s="203" t="s">
        <v>157</v>
      </c>
      <c r="E470" s="203" t="s">
        <v>910</v>
      </c>
      <c r="F470" s="210" t="s">
        <v>173</v>
      </c>
      <c r="G470" s="27">
        <v>793.2</v>
      </c>
      <c r="H470" s="27">
        <v>534.5</v>
      </c>
      <c r="I470" s="27">
        <f t="shared" si="214"/>
        <v>67.3852748361069</v>
      </c>
      <c r="J470" s="129"/>
    </row>
    <row r="471" spans="1:10" ht="15.75">
      <c r="A471" s="26" t="s">
        <v>160</v>
      </c>
      <c r="B471" s="205">
        <v>903</v>
      </c>
      <c r="C471" s="203" t="s">
        <v>338</v>
      </c>
      <c r="D471" s="203" t="s">
        <v>157</v>
      </c>
      <c r="E471" s="203" t="s">
        <v>161</v>
      </c>
      <c r="F471" s="203"/>
      <c r="G471" s="27">
        <f>G472</f>
        <v>2016.5</v>
      </c>
      <c r="H471" s="27">
        <f>H472</f>
        <v>1364.5</v>
      </c>
      <c r="I471" s="27">
        <f t="shared" si="214"/>
        <v>67.66674931812547</v>
      </c>
      <c r="J471" s="129"/>
    </row>
    <row r="472" spans="1:10" ht="15.75">
      <c r="A472" s="26" t="s">
        <v>224</v>
      </c>
      <c r="B472" s="205">
        <v>903</v>
      </c>
      <c r="C472" s="203" t="s">
        <v>338</v>
      </c>
      <c r="D472" s="203" t="s">
        <v>157</v>
      </c>
      <c r="E472" s="203" t="s">
        <v>225</v>
      </c>
      <c r="F472" s="203"/>
      <c r="G472" s="27">
        <f>G473+G478+G483+G486+G489</f>
        <v>2016.5</v>
      </c>
      <c r="H472" s="27">
        <f aca="true" t="shared" si="218" ref="H472">H473+H478+H483+H486+H489</f>
        <v>1364.5</v>
      </c>
      <c r="I472" s="27">
        <f t="shared" si="214"/>
        <v>67.66674931812547</v>
      </c>
      <c r="J472" s="129"/>
    </row>
    <row r="473" spans="1:10" ht="31.5" customHeight="1" hidden="1">
      <c r="A473" s="38" t="s">
        <v>366</v>
      </c>
      <c r="B473" s="211">
        <v>903</v>
      </c>
      <c r="C473" s="203" t="s">
        <v>338</v>
      </c>
      <c r="D473" s="203" t="s">
        <v>157</v>
      </c>
      <c r="E473" s="203" t="s">
        <v>367</v>
      </c>
      <c r="F473" s="203"/>
      <c r="G473" s="27">
        <f>G474+G476</f>
        <v>0</v>
      </c>
      <c r="H473" s="27">
        <f aca="true" t="shared" si="219" ref="H473">H474+H476</f>
        <v>0</v>
      </c>
      <c r="I473" s="27" t="e">
        <f t="shared" si="214"/>
        <v>#DIV/0!</v>
      </c>
      <c r="J473" s="129"/>
    </row>
    <row r="474" spans="1:10" ht="31.5" customHeight="1" hidden="1">
      <c r="A474" s="26" t="s">
        <v>170</v>
      </c>
      <c r="B474" s="211">
        <v>903</v>
      </c>
      <c r="C474" s="203" t="s">
        <v>338</v>
      </c>
      <c r="D474" s="203" t="s">
        <v>157</v>
      </c>
      <c r="E474" s="203" t="s">
        <v>367</v>
      </c>
      <c r="F474" s="203" t="s">
        <v>171</v>
      </c>
      <c r="G474" s="27">
        <f>G475</f>
        <v>0</v>
      </c>
      <c r="H474" s="27">
        <f aca="true" t="shared" si="220" ref="H474">H475</f>
        <v>0</v>
      </c>
      <c r="I474" s="27" t="e">
        <f t="shared" si="214"/>
        <v>#DIV/0!</v>
      </c>
      <c r="J474" s="129"/>
    </row>
    <row r="475" spans="1:10" ht="47.25" customHeight="1" hidden="1">
      <c r="A475" s="26" t="s">
        <v>172</v>
      </c>
      <c r="B475" s="205">
        <v>903</v>
      </c>
      <c r="C475" s="203" t="s">
        <v>338</v>
      </c>
      <c r="D475" s="203" t="s">
        <v>157</v>
      </c>
      <c r="E475" s="203" t="s">
        <v>367</v>
      </c>
      <c r="F475" s="203" t="s">
        <v>173</v>
      </c>
      <c r="G475" s="27">
        <f>1.4-1.4</f>
        <v>0</v>
      </c>
      <c r="H475" s="27">
        <f aca="true" t="shared" si="221" ref="H475">1.4-1.4</f>
        <v>0</v>
      </c>
      <c r="I475" s="27" t="e">
        <f t="shared" si="214"/>
        <v>#DIV/0!</v>
      </c>
      <c r="J475" s="129"/>
    </row>
    <row r="476" spans="1:10" ht="47.25" customHeight="1" hidden="1">
      <c r="A476" s="26" t="s">
        <v>311</v>
      </c>
      <c r="B476" s="205">
        <v>903</v>
      </c>
      <c r="C476" s="203" t="s">
        <v>338</v>
      </c>
      <c r="D476" s="203" t="s">
        <v>157</v>
      </c>
      <c r="E476" s="203" t="s">
        <v>367</v>
      </c>
      <c r="F476" s="203" t="s">
        <v>312</v>
      </c>
      <c r="G476" s="27">
        <f>G477</f>
        <v>0</v>
      </c>
      <c r="H476" s="27">
        <f aca="true" t="shared" si="222" ref="H476">H477</f>
        <v>0</v>
      </c>
      <c r="I476" s="27" t="e">
        <f t="shared" si="214"/>
        <v>#DIV/0!</v>
      </c>
      <c r="J476" s="129"/>
    </row>
    <row r="477" spans="1:10" ht="15.75" customHeight="1" hidden="1">
      <c r="A477" s="26" t="s">
        <v>313</v>
      </c>
      <c r="B477" s="205">
        <v>903</v>
      </c>
      <c r="C477" s="203" t="s">
        <v>338</v>
      </c>
      <c r="D477" s="203" t="s">
        <v>157</v>
      </c>
      <c r="E477" s="203" t="s">
        <v>367</v>
      </c>
      <c r="F477" s="203" t="s">
        <v>314</v>
      </c>
      <c r="G477" s="27">
        <f>2.9-2.9</f>
        <v>0</v>
      </c>
      <c r="H477" s="27">
        <f aca="true" t="shared" si="223" ref="H477">2.9-2.9</f>
        <v>0</v>
      </c>
      <c r="I477" s="27" t="e">
        <f t="shared" si="214"/>
        <v>#DIV/0!</v>
      </c>
      <c r="J477" s="129"/>
    </row>
    <row r="478" spans="1:10" ht="15.75">
      <c r="A478" s="26" t="s">
        <v>368</v>
      </c>
      <c r="B478" s="205">
        <v>903</v>
      </c>
      <c r="C478" s="203" t="s">
        <v>338</v>
      </c>
      <c r="D478" s="203" t="s">
        <v>157</v>
      </c>
      <c r="E478" s="203" t="s">
        <v>369</v>
      </c>
      <c r="F478" s="203"/>
      <c r="G478" s="27">
        <f>G479+G481</f>
        <v>69.1</v>
      </c>
      <c r="H478" s="27">
        <f aca="true" t="shared" si="224" ref="H478">H479+H481</f>
        <v>69.1</v>
      </c>
      <c r="I478" s="27">
        <f t="shared" si="214"/>
        <v>100</v>
      </c>
      <c r="J478" s="129"/>
    </row>
    <row r="479" spans="1:10" ht="31.5" customHeight="1" hidden="1">
      <c r="A479" s="26" t="s">
        <v>170</v>
      </c>
      <c r="B479" s="205">
        <v>903</v>
      </c>
      <c r="C479" s="203" t="s">
        <v>338</v>
      </c>
      <c r="D479" s="203" t="s">
        <v>157</v>
      </c>
      <c r="E479" s="203" t="s">
        <v>369</v>
      </c>
      <c r="F479" s="203" t="s">
        <v>171</v>
      </c>
      <c r="G479" s="27">
        <f>G480</f>
        <v>0</v>
      </c>
      <c r="H479" s="27">
        <f aca="true" t="shared" si="225" ref="H479">H480</f>
        <v>0</v>
      </c>
      <c r="I479" s="27" t="e">
        <f t="shared" si="214"/>
        <v>#DIV/0!</v>
      </c>
      <c r="J479" s="129"/>
    </row>
    <row r="480" spans="1:10" ht="47.25" customHeight="1" hidden="1">
      <c r="A480" s="26" t="s">
        <v>172</v>
      </c>
      <c r="B480" s="205">
        <v>903</v>
      </c>
      <c r="C480" s="203" t="s">
        <v>338</v>
      </c>
      <c r="D480" s="203" t="s">
        <v>157</v>
      </c>
      <c r="E480" s="203" t="s">
        <v>369</v>
      </c>
      <c r="F480" s="212">
        <v>240</v>
      </c>
      <c r="G480" s="27">
        <v>0</v>
      </c>
      <c r="H480" s="27">
        <v>0</v>
      </c>
      <c r="I480" s="27" t="e">
        <f t="shared" si="214"/>
        <v>#DIV/0!</v>
      </c>
      <c r="J480" s="129"/>
    </row>
    <row r="481" spans="1:10" ht="31.5">
      <c r="A481" s="26" t="s">
        <v>170</v>
      </c>
      <c r="B481" s="205">
        <v>903</v>
      </c>
      <c r="C481" s="203" t="s">
        <v>338</v>
      </c>
      <c r="D481" s="203" t="s">
        <v>157</v>
      </c>
      <c r="E481" s="203" t="s">
        <v>369</v>
      </c>
      <c r="F481" s="203" t="s">
        <v>171</v>
      </c>
      <c r="G481" s="27">
        <f>G482</f>
        <v>69.1</v>
      </c>
      <c r="H481" s="27">
        <f aca="true" t="shared" si="226" ref="H481">H482</f>
        <v>69.1</v>
      </c>
      <c r="I481" s="27">
        <f t="shared" si="214"/>
        <v>100</v>
      </c>
      <c r="J481" s="129"/>
    </row>
    <row r="482" spans="1:10" ht="31.5">
      <c r="A482" s="26" t="s">
        <v>172</v>
      </c>
      <c r="B482" s="205">
        <v>903</v>
      </c>
      <c r="C482" s="203" t="s">
        <v>338</v>
      </c>
      <c r="D482" s="203" t="s">
        <v>157</v>
      </c>
      <c r="E482" s="203" t="s">
        <v>369</v>
      </c>
      <c r="F482" s="203" t="s">
        <v>173</v>
      </c>
      <c r="G482" s="27">
        <v>69.1</v>
      </c>
      <c r="H482" s="27">
        <v>69.1</v>
      </c>
      <c r="I482" s="27">
        <f t="shared" si="214"/>
        <v>100</v>
      </c>
      <c r="J482" s="129"/>
    </row>
    <row r="483" spans="1:10" ht="63">
      <c r="A483" s="26" t="s">
        <v>370</v>
      </c>
      <c r="B483" s="205">
        <v>903</v>
      </c>
      <c r="C483" s="203" t="s">
        <v>338</v>
      </c>
      <c r="D483" s="203" t="s">
        <v>157</v>
      </c>
      <c r="E483" s="203" t="s">
        <v>371</v>
      </c>
      <c r="F483" s="203"/>
      <c r="G483" s="27">
        <f>G484</f>
        <v>273.7</v>
      </c>
      <c r="H483" s="27">
        <f aca="true" t="shared" si="227" ref="H483:H484">H484</f>
        <v>161.7</v>
      </c>
      <c r="I483" s="27">
        <f t="shared" si="214"/>
        <v>59.07928388746802</v>
      </c>
      <c r="J483" s="129"/>
    </row>
    <row r="484" spans="1:10" ht="63">
      <c r="A484" s="26" t="s">
        <v>166</v>
      </c>
      <c r="B484" s="205">
        <v>903</v>
      </c>
      <c r="C484" s="203" t="s">
        <v>338</v>
      </c>
      <c r="D484" s="203" t="s">
        <v>157</v>
      </c>
      <c r="E484" s="203" t="s">
        <v>371</v>
      </c>
      <c r="F484" s="203" t="s">
        <v>167</v>
      </c>
      <c r="G484" s="27">
        <f>G485</f>
        <v>273.7</v>
      </c>
      <c r="H484" s="27">
        <f t="shared" si="227"/>
        <v>161.7</v>
      </c>
      <c r="I484" s="27">
        <f t="shared" si="214"/>
        <v>59.07928388746802</v>
      </c>
      <c r="J484" s="129"/>
    </row>
    <row r="485" spans="1:10" ht="15.75">
      <c r="A485" s="26" t="s">
        <v>247</v>
      </c>
      <c r="B485" s="205">
        <v>903</v>
      </c>
      <c r="C485" s="203" t="s">
        <v>338</v>
      </c>
      <c r="D485" s="203" t="s">
        <v>157</v>
      </c>
      <c r="E485" s="203" t="s">
        <v>371</v>
      </c>
      <c r="F485" s="203" t="s">
        <v>248</v>
      </c>
      <c r="G485" s="27">
        <v>273.7</v>
      </c>
      <c r="H485" s="27">
        <v>161.7</v>
      </c>
      <c r="I485" s="27">
        <f t="shared" si="214"/>
        <v>59.07928388746802</v>
      </c>
      <c r="J485" s="129"/>
    </row>
    <row r="486" spans="1:10" ht="81" customHeight="1">
      <c r="A486" s="33" t="s">
        <v>332</v>
      </c>
      <c r="B486" s="205">
        <v>903</v>
      </c>
      <c r="C486" s="203" t="s">
        <v>338</v>
      </c>
      <c r="D486" s="203" t="s">
        <v>157</v>
      </c>
      <c r="E486" s="203" t="s">
        <v>333</v>
      </c>
      <c r="F486" s="203"/>
      <c r="G486" s="27">
        <f>G487</f>
        <v>1673.7</v>
      </c>
      <c r="H486" s="27">
        <f aca="true" t="shared" si="228" ref="H486:H487">H487</f>
        <v>1133.7</v>
      </c>
      <c r="I486" s="27">
        <f t="shared" si="214"/>
        <v>67.73615343251478</v>
      </c>
      <c r="J486" s="129"/>
    </row>
    <row r="487" spans="1:10" ht="63">
      <c r="A487" s="26" t="s">
        <v>166</v>
      </c>
      <c r="B487" s="205">
        <v>903</v>
      </c>
      <c r="C487" s="203" t="s">
        <v>338</v>
      </c>
      <c r="D487" s="203" t="s">
        <v>157</v>
      </c>
      <c r="E487" s="203" t="s">
        <v>333</v>
      </c>
      <c r="F487" s="203" t="s">
        <v>167</v>
      </c>
      <c r="G487" s="27">
        <f>G488</f>
        <v>1673.7</v>
      </c>
      <c r="H487" s="27">
        <f t="shared" si="228"/>
        <v>1133.7</v>
      </c>
      <c r="I487" s="27">
        <f t="shared" si="214"/>
        <v>67.73615343251478</v>
      </c>
      <c r="J487" s="129"/>
    </row>
    <row r="488" spans="1:10" ht="15.75">
      <c r="A488" s="26" t="s">
        <v>247</v>
      </c>
      <c r="B488" s="205">
        <v>903</v>
      </c>
      <c r="C488" s="203" t="s">
        <v>338</v>
      </c>
      <c r="D488" s="203" t="s">
        <v>157</v>
      </c>
      <c r="E488" s="203" t="s">
        <v>333</v>
      </c>
      <c r="F488" s="203" t="s">
        <v>248</v>
      </c>
      <c r="G488" s="27">
        <v>1673.7</v>
      </c>
      <c r="H488" s="27">
        <v>1133.7</v>
      </c>
      <c r="I488" s="27">
        <f t="shared" si="214"/>
        <v>67.73615343251478</v>
      </c>
      <c r="J488" s="129"/>
    </row>
    <row r="489" spans="1:10" ht="15.75" hidden="1">
      <c r="A489" s="33" t="s">
        <v>746</v>
      </c>
      <c r="B489" s="205">
        <v>903</v>
      </c>
      <c r="C489" s="203" t="s">
        <v>338</v>
      </c>
      <c r="D489" s="203" t="s">
        <v>157</v>
      </c>
      <c r="E489" s="203" t="s">
        <v>747</v>
      </c>
      <c r="F489" s="203"/>
      <c r="G489" s="27">
        <f>G490</f>
        <v>0</v>
      </c>
      <c r="H489" s="27">
        <f aca="true" t="shared" si="229" ref="H489:H490">H490</f>
        <v>0</v>
      </c>
      <c r="I489" s="22" t="e">
        <f t="shared" si="214"/>
        <v>#DIV/0!</v>
      </c>
      <c r="J489" s="129"/>
    </row>
    <row r="490" spans="1:10" ht="31.5" hidden="1">
      <c r="A490" s="26" t="s">
        <v>311</v>
      </c>
      <c r="B490" s="205">
        <v>903</v>
      </c>
      <c r="C490" s="203" t="s">
        <v>338</v>
      </c>
      <c r="D490" s="203" t="s">
        <v>157</v>
      </c>
      <c r="E490" s="203" t="s">
        <v>747</v>
      </c>
      <c r="F490" s="203" t="s">
        <v>312</v>
      </c>
      <c r="G490" s="27">
        <f>G491</f>
        <v>0</v>
      </c>
      <c r="H490" s="27">
        <f t="shared" si="229"/>
        <v>0</v>
      </c>
      <c r="I490" s="22" t="e">
        <f t="shared" si="214"/>
        <v>#DIV/0!</v>
      </c>
      <c r="J490" s="129"/>
    </row>
    <row r="491" spans="1:10" ht="15.75" hidden="1">
      <c r="A491" s="26" t="s">
        <v>313</v>
      </c>
      <c r="B491" s="205">
        <v>903</v>
      </c>
      <c r="C491" s="203" t="s">
        <v>338</v>
      </c>
      <c r="D491" s="203" t="s">
        <v>157</v>
      </c>
      <c r="E491" s="203" t="s">
        <v>747</v>
      </c>
      <c r="F491" s="203" t="s">
        <v>314</v>
      </c>
      <c r="G491" s="27">
        <v>0</v>
      </c>
      <c r="H491" s="27">
        <v>0</v>
      </c>
      <c r="I491" s="22" t="e">
        <f t="shared" si="214"/>
        <v>#DIV/0!</v>
      </c>
      <c r="J491" s="129"/>
    </row>
    <row r="492" spans="1:10" ht="15.75">
      <c r="A492" s="24" t="s">
        <v>372</v>
      </c>
      <c r="B492" s="202">
        <v>903</v>
      </c>
      <c r="C492" s="204" t="s">
        <v>338</v>
      </c>
      <c r="D492" s="204" t="s">
        <v>189</v>
      </c>
      <c r="E492" s="204"/>
      <c r="F492" s="204"/>
      <c r="G492" s="22">
        <f>G493+G521+G512+G516</f>
        <v>18863.1</v>
      </c>
      <c r="H492" s="22">
        <f aca="true" t="shared" si="230" ref="H492">H493+H521+H512+H516</f>
        <v>12791.099999999999</v>
      </c>
      <c r="I492" s="22">
        <f t="shared" si="214"/>
        <v>67.8101690602287</v>
      </c>
      <c r="J492" s="129"/>
    </row>
    <row r="493" spans="1:10" ht="31.5" hidden="1">
      <c r="A493" s="26" t="s">
        <v>373</v>
      </c>
      <c r="B493" s="205">
        <v>903</v>
      </c>
      <c r="C493" s="203" t="s">
        <v>338</v>
      </c>
      <c r="D493" s="203" t="s">
        <v>189</v>
      </c>
      <c r="E493" s="203" t="s">
        <v>374</v>
      </c>
      <c r="F493" s="203"/>
      <c r="G493" s="27">
        <f>G494+G500+G506+G497+G503+G509</f>
        <v>0</v>
      </c>
      <c r="H493" s="27">
        <f aca="true" t="shared" si="231" ref="H493">H494+H500+H506+H497+H503+H509</f>
        <v>0</v>
      </c>
      <c r="I493" s="22" t="e">
        <f t="shared" si="214"/>
        <v>#DIV/0!</v>
      </c>
      <c r="J493" s="129"/>
    </row>
    <row r="494" spans="1:10" ht="31.5" customHeight="1" hidden="1">
      <c r="A494" s="26" t="s">
        <v>375</v>
      </c>
      <c r="B494" s="205">
        <v>903</v>
      </c>
      <c r="C494" s="203" t="s">
        <v>338</v>
      </c>
      <c r="D494" s="203" t="s">
        <v>189</v>
      </c>
      <c r="E494" s="203" t="s">
        <v>376</v>
      </c>
      <c r="F494" s="203"/>
      <c r="G494" s="27">
        <f>G495</f>
        <v>0</v>
      </c>
      <c r="H494" s="27">
        <f aca="true" t="shared" si="232" ref="H494:H495">H495</f>
        <v>0</v>
      </c>
      <c r="I494" s="22" t="e">
        <f t="shared" si="214"/>
        <v>#DIV/0!</v>
      </c>
      <c r="J494" s="129"/>
    </row>
    <row r="495" spans="1:10" ht="31.5" customHeight="1" hidden="1">
      <c r="A495" s="26" t="s">
        <v>170</v>
      </c>
      <c r="B495" s="205">
        <v>903</v>
      </c>
      <c r="C495" s="203" t="s">
        <v>338</v>
      </c>
      <c r="D495" s="203" t="s">
        <v>189</v>
      </c>
      <c r="E495" s="203" t="s">
        <v>376</v>
      </c>
      <c r="F495" s="203" t="s">
        <v>171</v>
      </c>
      <c r="G495" s="27">
        <f>G496</f>
        <v>0</v>
      </c>
      <c r="H495" s="27">
        <f t="shared" si="232"/>
        <v>0</v>
      </c>
      <c r="I495" s="22" t="e">
        <f t="shared" si="214"/>
        <v>#DIV/0!</v>
      </c>
      <c r="J495" s="129"/>
    </row>
    <row r="496" spans="1:10" ht="47.25" customHeight="1" hidden="1">
      <c r="A496" s="26" t="s">
        <v>172</v>
      </c>
      <c r="B496" s="205">
        <v>903</v>
      </c>
      <c r="C496" s="203" t="s">
        <v>338</v>
      </c>
      <c r="D496" s="203" t="s">
        <v>189</v>
      </c>
      <c r="E496" s="203" t="s">
        <v>376</v>
      </c>
      <c r="F496" s="203" t="s">
        <v>173</v>
      </c>
      <c r="G496" s="27">
        <v>0</v>
      </c>
      <c r="H496" s="27">
        <v>0</v>
      </c>
      <c r="I496" s="22" t="e">
        <f t="shared" si="214"/>
        <v>#DIV/0!</v>
      </c>
      <c r="J496" s="129"/>
    </row>
    <row r="497" spans="1:10" ht="47.25" customHeight="1" hidden="1">
      <c r="A497" s="117" t="s">
        <v>897</v>
      </c>
      <c r="B497" s="205">
        <v>903</v>
      </c>
      <c r="C497" s="203" t="s">
        <v>338</v>
      </c>
      <c r="D497" s="203" t="s">
        <v>189</v>
      </c>
      <c r="E497" s="203" t="s">
        <v>376</v>
      </c>
      <c r="F497" s="203"/>
      <c r="G497" s="27">
        <f>G498</f>
        <v>0</v>
      </c>
      <c r="H497" s="27">
        <f aca="true" t="shared" si="233" ref="H497:H498">H498</f>
        <v>0</v>
      </c>
      <c r="I497" s="22" t="e">
        <f t="shared" si="214"/>
        <v>#DIV/0!</v>
      </c>
      <c r="J497" s="129"/>
    </row>
    <row r="498" spans="1:10" ht="47.25" customHeight="1" hidden="1">
      <c r="A498" s="26" t="s">
        <v>170</v>
      </c>
      <c r="B498" s="205">
        <v>903</v>
      </c>
      <c r="C498" s="203" t="s">
        <v>338</v>
      </c>
      <c r="D498" s="203" t="s">
        <v>189</v>
      </c>
      <c r="E498" s="203" t="s">
        <v>376</v>
      </c>
      <c r="F498" s="203" t="s">
        <v>171</v>
      </c>
      <c r="G498" s="27">
        <f>G499</f>
        <v>0</v>
      </c>
      <c r="H498" s="27">
        <f t="shared" si="233"/>
        <v>0</v>
      </c>
      <c r="I498" s="22" t="e">
        <f t="shared" si="214"/>
        <v>#DIV/0!</v>
      </c>
      <c r="J498" s="129"/>
    </row>
    <row r="499" spans="1:10" ht="47.25" customHeight="1" hidden="1">
      <c r="A499" s="26" t="s">
        <v>172</v>
      </c>
      <c r="B499" s="205">
        <v>903</v>
      </c>
      <c r="C499" s="203" t="s">
        <v>338</v>
      </c>
      <c r="D499" s="203" t="s">
        <v>189</v>
      </c>
      <c r="E499" s="203" t="s">
        <v>376</v>
      </c>
      <c r="F499" s="203" t="s">
        <v>173</v>
      </c>
      <c r="G499" s="27">
        <v>0</v>
      </c>
      <c r="H499" s="27">
        <v>0</v>
      </c>
      <c r="I499" s="22" t="e">
        <f t="shared" si="214"/>
        <v>#DIV/0!</v>
      </c>
      <c r="J499" s="129"/>
    </row>
    <row r="500" spans="1:10" ht="15.75" hidden="1">
      <c r="A500" s="26" t="s">
        <v>377</v>
      </c>
      <c r="B500" s="205">
        <v>903</v>
      </c>
      <c r="C500" s="203" t="s">
        <v>338</v>
      </c>
      <c r="D500" s="203" t="s">
        <v>189</v>
      </c>
      <c r="E500" s="203" t="s">
        <v>378</v>
      </c>
      <c r="F500" s="203"/>
      <c r="G500" s="27">
        <f>G501</f>
        <v>0</v>
      </c>
      <c r="H500" s="27">
        <f aca="true" t="shared" si="234" ref="H500:H501">H501</f>
        <v>0</v>
      </c>
      <c r="I500" s="22" t="e">
        <f t="shared" si="214"/>
        <v>#DIV/0!</v>
      </c>
      <c r="J500" s="129"/>
    </row>
    <row r="501" spans="1:10" ht="31.5" hidden="1">
      <c r="A501" s="26" t="s">
        <v>170</v>
      </c>
      <c r="B501" s="205">
        <v>903</v>
      </c>
      <c r="C501" s="203" t="s">
        <v>338</v>
      </c>
      <c r="D501" s="203" t="s">
        <v>189</v>
      </c>
      <c r="E501" s="203" t="s">
        <v>378</v>
      </c>
      <c r="F501" s="203" t="s">
        <v>171</v>
      </c>
      <c r="G501" s="27">
        <f>G502</f>
        <v>0</v>
      </c>
      <c r="H501" s="27">
        <f t="shared" si="234"/>
        <v>0</v>
      </c>
      <c r="I501" s="22" t="e">
        <f t="shared" si="214"/>
        <v>#DIV/0!</v>
      </c>
      <c r="J501" s="129"/>
    </row>
    <row r="502" spans="1:10" ht="31.5" hidden="1">
      <c r="A502" s="26" t="s">
        <v>172</v>
      </c>
      <c r="B502" s="205">
        <v>903</v>
      </c>
      <c r="C502" s="203" t="s">
        <v>338</v>
      </c>
      <c r="D502" s="203" t="s">
        <v>189</v>
      </c>
      <c r="E502" s="203" t="s">
        <v>378</v>
      </c>
      <c r="F502" s="203" t="s">
        <v>173</v>
      </c>
      <c r="G502" s="27">
        <v>0</v>
      </c>
      <c r="H502" s="27">
        <v>0</v>
      </c>
      <c r="I502" s="22" t="e">
        <f t="shared" si="214"/>
        <v>#DIV/0!</v>
      </c>
      <c r="J502" s="129"/>
    </row>
    <row r="503" spans="1:10" ht="31.5" hidden="1">
      <c r="A503" s="33" t="s">
        <v>898</v>
      </c>
      <c r="B503" s="205">
        <v>903</v>
      </c>
      <c r="C503" s="203" t="s">
        <v>338</v>
      </c>
      <c r="D503" s="203" t="s">
        <v>189</v>
      </c>
      <c r="E503" s="203" t="s">
        <v>895</v>
      </c>
      <c r="F503" s="203"/>
      <c r="G503" s="27">
        <f>G504</f>
        <v>0</v>
      </c>
      <c r="H503" s="27">
        <f aca="true" t="shared" si="235" ref="H503:H504">H504</f>
        <v>0</v>
      </c>
      <c r="I503" s="22" t="e">
        <f t="shared" si="214"/>
        <v>#DIV/0!</v>
      </c>
      <c r="J503" s="129"/>
    </row>
    <row r="504" spans="1:10" ht="31.5" hidden="1">
      <c r="A504" s="26" t="s">
        <v>170</v>
      </c>
      <c r="B504" s="205">
        <v>903</v>
      </c>
      <c r="C504" s="203" t="s">
        <v>338</v>
      </c>
      <c r="D504" s="203" t="s">
        <v>189</v>
      </c>
      <c r="E504" s="203" t="s">
        <v>895</v>
      </c>
      <c r="F504" s="203" t="s">
        <v>171</v>
      </c>
      <c r="G504" s="27">
        <f>G505</f>
        <v>0</v>
      </c>
      <c r="H504" s="27">
        <f t="shared" si="235"/>
        <v>0</v>
      </c>
      <c r="I504" s="22" t="e">
        <f t="shared" si="214"/>
        <v>#DIV/0!</v>
      </c>
      <c r="J504" s="129"/>
    </row>
    <row r="505" spans="1:10" ht="31.5" hidden="1">
      <c r="A505" s="26" t="s">
        <v>172</v>
      </c>
      <c r="B505" s="205">
        <v>903</v>
      </c>
      <c r="C505" s="203" t="s">
        <v>338</v>
      </c>
      <c r="D505" s="203" t="s">
        <v>189</v>
      </c>
      <c r="E505" s="203" t="s">
        <v>895</v>
      </c>
      <c r="F505" s="203" t="s">
        <v>173</v>
      </c>
      <c r="G505" s="27">
        <v>0</v>
      </c>
      <c r="H505" s="27">
        <v>0</v>
      </c>
      <c r="I505" s="22" t="e">
        <f t="shared" si="214"/>
        <v>#DIV/0!</v>
      </c>
      <c r="J505" s="129"/>
    </row>
    <row r="506" spans="1:10" ht="47.25" hidden="1">
      <c r="A506" s="26" t="s">
        <v>778</v>
      </c>
      <c r="B506" s="205">
        <v>903</v>
      </c>
      <c r="C506" s="203" t="s">
        <v>338</v>
      </c>
      <c r="D506" s="203" t="s">
        <v>189</v>
      </c>
      <c r="E506" s="203" t="s">
        <v>900</v>
      </c>
      <c r="F506" s="203"/>
      <c r="G506" s="27">
        <f>G507</f>
        <v>0</v>
      </c>
      <c r="H506" s="27">
        <f aca="true" t="shared" si="236" ref="H506:H507">H507</f>
        <v>0</v>
      </c>
      <c r="I506" s="22" t="e">
        <f t="shared" si="214"/>
        <v>#DIV/0!</v>
      </c>
      <c r="J506" s="129"/>
    </row>
    <row r="507" spans="1:10" ht="31.5" hidden="1">
      <c r="A507" s="26" t="s">
        <v>170</v>
      </c>
      <c r="B507" s="205">
        <v>903</v>
      </c>
      <c r="C507" s="203" t="s">
        <v>338</v>
      </c>
      <c r="D507" s="203" t="s">
        <v>189</v>
      </c>
      <c r="E507" s="203" t="s">
        <v>900</v>
      </c>
      <c r="F507" s="203" t="s">
        <v>171</v>
      </c>
      <c r="G507" s="27">
        <f>G508</f>
        <v>0</v>
      </c>
      <c r="H507" s="27">
        <f t="shared" si="236"/>
        <v>0</v>
      </c>
      <c r="I507" s="22" t="e">
        <f t="shared" si="214"/>
        <v>#DIV/0!</v>
      </c>
      <c r="J507" s="129"/>
    </row>
    <row r="508" spans="1:10" ht="31.5" hidden="1">
      <c r="A508" s="26" t="s">
        <v>172</v>
      </c>
      <c r="B508" s="205">
        <v>903</v>
      </c>
      <c r="C508" s="203" t="s">
        <v>338</v>
      </c>
      <c r="D508" s="203" t="s">
        <v>189</v>
      </c>
      <c r="E508" s="203" t="s">
        <v>900</v>
      </c>
      <c r="F508" s="203" t="s">
        <v>173</v>
      </c>
      <c r="G508" s="27">
        <v>0</v>
      </c>
      <c r="H508" s="27">
        <v>0</v>
      </c>
      <c r="I508" s="22" t="e">
        <f t="shared" si="214"/>
        <v>#DIV/0!</v>
      </c>
      <c r="J508" s="129"/>
    </row>
    <row r="509" spans="1:10" ht="31.5" hidden="1">
      <c r="A509" s="33" t="s">
        <v>899</v>
      </c>
      <c r="B509" s="205">
        <v>903</v>
      </c>
      <c r="C509" s="203" t="s">
        <v>338</v>
      </c>
      <c r="D509" s="203" t="s">
        <v>189</v>
      </c>
      <c r="E509" s="203" t="s">
        <v>896</v>
      </c>
      <c r="F509" s="203"/>
      <c r="G509" s="27">
        <f>G510</f>
        <v>0</v>
      </c>
      <c r="H509" s="27">
        <f aca="true" t="shared" si="237" ref="H509:H510">H510</f>
        <v>0</v>
      </c>
      <c r="I509" s="22" t="e">
        <f t="shared" si="214"/>
        <v>#DIV/0!</v>
      </c>
      <c r="J509" s="129"/>
    </row>
    <row r="510" spans="1:10" ht="31.5" hidden="1">
      <c r="A510" s="26" t="s">
        <v>170</v>
      </c>
      <c r="B510" s="205">
        <v>903</v>
      </c>
      <c r="C510" s="203" t="s">
        <v>338</v>
      </c>
      <c r="D510" s="203" t="s">
        <v>189</v>
      </c>
      <c r="E510" s="203" t="s">
        <v>896</v>
      </c>
      <c r="F510" s="203" t="s">
        <v>171</v>
      </c>
      <c r="G510" s="27">
        <f>G511</f>
        <v>0</v>
      </c>
      <c r="H510" s="27">
        <f t="shared" si="237"/>
        <v>0</v>
      </c>
      <c r="I510" s="22" t="e">
        <f t="shared" si="214"/>
        <v>#DIV/0!</v>
      </c>
      <c r="J510" s="129"/>
    </row>
    <row r="511" spans="1:10" ht="31.5" hidden="1">
      <c r="A511" s="26" t="s">
        <v>172</v>
      </c>
      <c r="B511" s="205">
        <v>903</v>
      </c>
      <c r="C511" s="203" t="s">
        <v>338</v>
      </c>
      <c r="D511" s="203" t="s">
        <v>189</v>
      </c>
      <c r="E511" s="203" t="s">
        <v>896</v>
      </c>
      <c r="F511" s="203" t="s">
        <v>173</v>
      </c>
      <c r="G511" s="27">
        <v>0</v>
      </c>
      <c r="H511" s="27">
        <v>0</v>
      </c>
      <c r="I511" s="22" t="e">
        <f t="shared" si="214"/>
        <v>#DIV/0!</v>
      </c>
      <c r="J511" s="129"/>
    </row>
    <row r="512" spans="1:10" ht="47.25" hidden="1">
      <c r="A512" s="31" t="s">
        <v>777</v>
      </c>
      <c r="B512" s="205">
        <v>903</v>
      </c>
      <c r="C512" s="203" t="s">
        <v>338</v>
      </c>
      <c r="D512" s="203" t="s">
        <v>189</v>
      </c>
      <c r="E512" s="203" t="s">
        <v>775</v>
      </c>
      <c r="F512" s="203"/>
      <c r="G512" s="27">
        <f>G513</f>
        <v>0</v>
      </c>
      <c r="H512" s="27">
        <f aca="true" t="shared" si="238" ref="H512:H514">H513</f>
        <v>0</v>
      </c>
      <c r="I512" s="22" t="e">
        <f t="shared" si="214"/>
        <v>#DIV/0!</v>
      </c>
      <c r="J512" s="129"/>
    </row>
    <row r="513" spans="1:10" ht="31.5" hidden="1">
      <c r="A513" s="26" t="s">
        <v>408</v>
      </c>
      <c r="B513" s="205">
        <v>903</v>
      </c>
      <c r="C513" s="203" t="s">
        <v>338</v>
      </c>
      <c r="D513" s="203" t="s">
        <v>189</v>
      </c>
      <c r="E513" s="203" t="s">
        <v>783</v>
      </c>
      <c r="F513" s="203"/>
      <c r="G513" s="27">
        <f>G514</f>
        <v>0</v>
      </c>
      <c r="H513" s="27">
        <f t="shared" si="238"/>
        <v>0</v>
      </c>
      <c r="I513" s="22" t="e">
        <f t="shared" si="214"/>
        <v>#DIV/0!</v>
      </c>
      <c r="J513" s="129"/>
    </row>
    <row r="514" spans="1:10" ht="31.5" hidden="1">
      <c r="A514" s="26" t="s">
        <v>170</v>
      </c>
      <c r="B514" s="205">
        <v>903</v>
      </c>
      <c r="C514" s="203" t="s">
        <v>338</v>
      </c>
      <c r="D514" s="203" t="s">
        <v>189</v>
      </c>
      <c r="E514" s="203" t="s">
        <v>783</v>
      </c>
      <c r="F514" s="203" t="s">
        <v>171</v>
      </c>
      <c r="G514" s="27">
        <f>G515</f>
        <v>0</v>
      </c>
      <c r="H514" s="27">
        <f t="shared" si="238"/>
        <v>0</v>
      </c>
      <c r="I514" s="22" t="e">
        <f t="shared" si="214"/>
        <v>#DIV/0!</v>
      </c>
      <c r="J514" s="129"/>
    </row>
    <row r="515" spans="1:10" ht="31.5" hidden="1">
      <c r="A515" s="26" t="s">
        <v>172</v>
      </c>
      <c r="B515" s="205">
        <v>903</v>
      </c>
      <c r="C515" s="203" t="s">
        <v>338</v>
      </c>
      <c r="D515" s="203" t="s">
        <v>189</v>
      </c>
      <c r="E515" s="203" t="s">
        <v>783</v>
      </c>
      <c r="F515" s="203" t="s">
        <v>173</v>
      </c>
      <c r="G515" s="27">
        <v>0</v>
      </c>
      <c r="H515" s="27">
        <v>0</v>
      </c>
      <c r="I515" s="22" t="e">
        <f t="shared" si="214"/>
        <v>#DIV/0!</v>
      </c>
      <c r="J515" s="129"/>
    </row>
    <row r="516" spans="1:10" ht="31.5">
      <c r="A516" s="26" t="s">
        <v>382</v>
      </c>
      <c r="B516" s="205">
        <v>903</v>
      </c>
      <c r="C516" s="203" t="s">
        <v>338</v>
      </c>
      <c r="D516" s="203" t="s">
        <v>189</v>
      </c>
      <c r="E516" s="203" t="s">
        <v>383</v>
      </c>
      <c r="F516" s="203"/>
      <c r="G516" s="27">
        <f>G517</f>
        <v>260</v>
      </c>
      <c r="H516" s="27">
        <f aca="true" t="shared" si="239" ref="H516:H519">H517</f>
        <v>89.5</v>
      </c>
      <c r="I516" s="27">
        <f t="shared" si="214"/>
        <v>34.42307692307692</v>
      </c>
      <c r="J516" s="129"/>
    </row>
    <row r="517" spans="1:10" ht="47.25">
      <c r="A517" s="26" t="s">
        <v>403</v>
      </c>
      <c r="B517" s="205">
        <v>903</v>
      </c>
      <c r="C517" s="203" t="s">
        <v>338</v>
      </c>
      <c r="D517" s="203" t="s">
        <v>189</v>
      </c>
      <c r="E517" s="203" t="s">
        <v>404</v>
      </c>
      <c r="F517" s="203"/>
      <c r="G517" s="27">
        <f>G518</f>
        <v>260</v>
      </c>
      <c r="H517" s="27">
        <f t="shared" si="239"/>
        <v>89.5</v>
      </c>
      <c r="I517" s="27">
        <f t="shared" si="214"/>
        <v>34.42307692307692</v>
      </c>
      <c r="J517" s="129"/>
    </row>
    <row r="518" spans="1:10" ht="31.5">
      <c r="A518" s="26" t="s">
        <v>196</v>
      </c>
      <c r="B518" s="205">
        <v>903</v>
      </c>
      <c r="C518" s="203" t="s">
        <v>338</v>
      </c>
      <c r="D518" s="203" t="s">
        <v>189</v>
      </c>
      <c r="E518" s="203" t="s">
        <v>405</v>
      </c>
      <c r="F518" s="203"/>
      <c r="G518" s="27">
        <f>G519</f>
        <v>260</v>
      </c>
      <c r="H518" s="27">
        <f t="shared" si="239"/>
        <v>89.5</v>
      </c>
      <c r="I518" s="27">
        <f t="shared" si="214"/>
        <v>34.42307692307692</v>
      </c>
      <c r="J518" s="129"/>
    </row>
    <row r="519" spans="1:10" ht="31.5">
      <c r="A519" s="26" t="s">
        <v>170</v>
      </c>
      <c r="B519" s="205">
        <v>903</v>
      </c>
      <c r="C519" s="203" t="s">
        <v>338</v>
      </c>
      <c r="D519" s="203" t="s">
        <v>189</v>
      </c>
      <c r="E519" s="203" t="s">
        <v>405</v>
      </c>
      <c r="F519" s="203" t="s">
        <v>171</v>
      </c>
      <c r="G519" s="27">
        <f>G520</f>
        <v>260</v>
      </c>
      <c r="H519" s="27">
        <f t="shared" si="239"/>
        <v>89.5</v>
      </c>
      <c r="I519" s="27">
        <f t="shared" si="214"/>
        <v>34.42307692307692</v>
      </c>
      <c r="J519" s="129"/>
    </row>
    <row r="520" spans="1:10" ht="31.5">
      <c r="A520" s="26" t="s">
        <v>172</v>
      </c>
      <c r="B520" s="205">
        <v>903</v>
      </c>
      <c r="C520" s="203" t="s">
        <v>338</v>
      </c>
      <c r="D520" s="203" t="s">
        <v>189</v>
      </c>
      <c r="E520" s="203" t="s">
        <v>405</v>
      </c>
      <c r="F520" s="203" t="s">
        <v>173</v>
      </c>
      <c r="G520" s="27">
        <f>210+50</f>
        <v>260</v>
      </c>
      <c r="H520" s="27">
        <v>89.5</v>
      </c>
      <c r="I520" s="27">
        <f t="shared" si="214"/>
        <v>34.42307692307692</v>
      </c>
      <c r="J520" s="129"/>
    </row>
    <row r="521" spans="1:10" ht="15.75">
      <c r="A521" s="26" t="s">
        <v>160</v>
      </c>
      <c r="B521" s="205">
        <v>903</v>
      </c>
      <c r="C521" s="203" t="s">
        <v>338</v>
      </c>
      <c r="D521" s="203" t="s">
        <v>189</v>
      </c>
      <c r="E521" s="203" t="s">
        <v>161</v>
      </c>
      <c r="F521" s="203"/>
      <c r="G521" s="27">
        <f>G522+G528</f>
        <v>18603.1</v>
      </c>
      <c r="H521" s="27">
        <f aca="true" t="shared" si="240" ref="H521">H522+H528</f>
        <v>12701.599999999999</v>
      </c>
      <c r="I521" s="27">
        <f t="shared" si="214"/>
        <v>68.27679257758116</v>
      </c>
      <c r="J521" s="129"/>
    </row>
    <row r="522" spans="1:10" ht="31.5">
      <c r="A522" s="26" t="s">
        <v>162</v>
      </c>
      <c r="B522" s="205">
        <v>903</v>
      </c>
      <c r="C522" s="203" t="s">
        <v>338</v>
      </c>
      <c r="D522" s="203" t="s">
        <v>189</v>
      </c>
      <c r="E522" s="203" t="s">
        <v>163</v>
      </c>
      <c r="F522" s="203"/>
      <c r="G522" s="27">
        <f>G523</f>
        <v>7836.8</v>
      </c>
      <c r="H522" s="27">
        <f aca="true" t="shared" si="241" ref="H522">H523</f>
        <v>4670</v>
      </c>
      <c r="I522" s="27">
        <f t="shared" si="214"/>
        <v>59.59064924458962</v>
      </c>
      <c r="J522" s="129"/>
    </row>
    <row r="523" spans="1:10" ht="31.5">
      <c r="A523" s="26" t="s">
        <v>164</v>
      </c>
      <c r="B523" s="205">
        <v>903</v>
      </c>
      <c r="C523" s="203" t="s">
        <v>338</v>
      </c>
      <c r="D523" s="203" t="s">
        <v>189</v>
      </c>
      <c r="E523" s="203" t="s">
        <v>165</v>
      </c>
      <c r="F523" s="203"/>
      <c r="G523" s="27">
        <f>G524+G526</f>
        <v>7836.8</v>
      </c>
      <c r="H523" s="27">
        <f aca="true" t="shared" si="242" ref="H523">H524+H526</f>
        <v>4670</v>
      </c>
      <c r="I523" s="27">
        <f aca="true" t="shared" si="243" ref="I523:I586">H523/G523*100</f>
        <v>59.59064924458962</v>
      </c>
      <c r="J523" s="129"/>
    </row>
    <row r="524" spans="1:10" ht="63">
      <c r="A524" s="26" t="s">
        <v>166</v>
      </c>
      <c r="B524" s="205">
        <v>903</v>
      </c>
      <c r="C524" s="203" t="s">
        <v>338</v>
      </c>
      <c r="D524" s="203" t="s">
        <v>189</v>
      </c>
      <c r="E524" s="203" t="s">
        <v>165</v>
      </c>
      <c r="F524" s="203" t="s">
        <v>167</v>
      </c>
      <c r="G524" s="27">
        <f>G525</f>
        <v>7836.8</v>
      </c>
      <c r="H524" s="27">
        <f aca="true" t="shared" si="244" ref="H524">H525</f>
        <v>4670</v>
      </c>
      <c r="I524" s="27">
        <f t="shared" si="243"/>
        <v>59.59064924458962</v>
      </c>
      <c r="J524" s="129"/>
    </row>
    <row r="525" spans="1:10" ht="31.5">
      <c r="A525" s="26" t="s">
        <v>168</v>
      </c>
      <c r="B525" s="205">
        <v>903</v>
      </c>
      <c r="C525" s="203" t="s">
        <v>338</v>
      </c>
      <c r="D525" s="203" t="s">
        <v>189</v>
      </c>
      <c r="E525" s="203" t="s">
        <v>165</v>
      </c>
      <c r="F525" s="203" t="s">
        <v>169</v>
      </c>
      <c r="G525" s="28">
        <f>7713.4-298.9+422.3</f>
        <v>7836.8</v>
      </c>
      <c r="H525" s="28">
        <v>4670</v>
      </c>
      <c r="I525" s="27">
        <f t="shared" si="243"/>
        <v>59.59064924458962</v>
      </c>
      <c r="J525" s="129"/>
    </row>
    <row r="526" spans="1:10" ht="31.5" customHeight="1" hidden="1">
      <c r="A526" s="26" t="s">
        <v>170</v>
      </c>
      <c r="B526" s="205">
        <v>903</v>
      </c>
      <c r="C526" s="203" t="s">
        <v>338</v>
      </c>
      <c r="D526" s="203" t="s">
        <v>189</v>
      </c>
      <c r="E526" s="203" t="s">
        <v>165</v>
      </c>
      <c r="F526" s="203" t="s">
        <v>171</v>
      </c>
      <c r="G526" s="27">
        <f>G527</f>
        <v>0</v>
      </c>
      <c r="H526" s="27">
        <f aca="true" t="shared" si="245" ref="H526">H527</f>
        <v>0</v>
      </c>
      <c r="I526" s="27" t="e">
        <f t="shared" si="243"/>
        <v>#DIV/0!</v>
      </c>
      <c r="J526" s="129"/>
    </row>
    <row r="527" spans="1:10" ht="47.25" customHeight="1" hidden="1">
      <c r="A527" s="26" t="s">
        <v>172</v>
      </c>
      <c r="B527" s="205">
        <v>903</v>
      </c>
      <c r="C527" s="203" t="s">
        <v>338</v>
      </c>
      <c r="D527" s="203" t="s">
        <v>189</v>
      </c>
      <c r="E527" s="203" t="s">
        <v>165</v>
      </c>
      <c r="F527" s="203" t="s">
        <v>173</v>
      </c>
      <c r="G527" s="27">
        <v>0</v>
      </c>
      <c r="H527" s="27">
        <v>0</v>
      </c>
      <c r="I527" s="27" t="e">
        <f t="shared" si="243"/>
        <v>#DIV/0!</v>
      </c>
      <c r="J527" s="129"/>
    </row>
    <row r="528" spans="1:10" ht="15.75">
      <c r="A528" s="26" t="s">
        <v>180</v>
      </c>
      <c r="B528" s="205">
        <v>903</v>
      </c>
      <c r="C528" s="203" t="s">
        <v>338</v>
      </c>
      <c r="D528" s="203" t="s">
        <v>189</v>
      </c>
      <c r="E528" s="203" t="s">
        <v>181</v>
      </c>
      <c r="F528" s="203"/>
      <c r="G528" s="27">
        <f>G529</f>
        <v>10766.3</v>
      </c>
      <c r="H528" s="27">
        <f aca="true" t="shared" si="246" ref="H528">H529</f>
        <v>8031.599999999999</v>
      </c>
      <c r="I528" s="27">
        <f t="shared" si="243"/>
        <v>74.59944456312753</v>
      </c>
      <c r="J528" s="129"/>
    </row>
    <row r="529" spans="1:10" ht="31.5">
      <c r="A529" s="26" t="s">
        <v>379</v>
      </c>
      <c r="B529" s="205">
        <v>903</v>
      </c>
      <c r="C529" s="203" t="s">
        <v>338</v>
      </c>
      <c r="D529" s="203" t="s">
        <v>189</v>
      </c>
      <c r="E529" s="203" t="s">
        <v>380</v>
      </c>
      <c r="F529" s="203"/>
      <c r="G529" s="27">
        <f>G530+G532+G534</f>
        <v>10766.3</v>
      </c>
      <c r="H529" s="27">
        <f aca="true" t="shared" si="247" ref="H529">H530+H532+H534</f>
        <v>8031.599999999999</v>
      </c>
      <c r="I529" s="27">
        <f t="shared" si="243"/>
        <v>74.59944456312753</v>
      </c>
      <c r="J529" s="129"/>
    </row>
    <row r="530" spans="1:10" ht="63">
      <c r="A530" s="26" t="s">
        <v>166</v>
      </c>
      <c r="B530" s="205">
        <v>903</v>
      </c>
      <c r="C530" s="203" t="s">
        <v>338</v>
      </c>
      <c r="D530" s="203" t="s">
        <v>189</v>
      </c>
      <c r="E530" s="203" t="s">
        <v>380</v>
      </c>
      <c r="F530" s="203" t="s">
        <v>167</v>
      </c>
      <c r="G530" s="27">
        <f>G531</f>
        <v>9330.8</v>
      </c>
      <c r="H530" s="27">
        <f aca="true" t="shared" si="248" ref="H530">H531</f>
        <v>7084.9</v>
      </c>
      <c r="I530" s="27">
        <f t="shared" si="243"/>
        <v>75.93025249710635</v>
      </c>
      <c r="J530" s="129"/>
    </row>
    <row r="531" spans="1:10" ht="15.75">
      <c r="A531" s="26" t="s">
        <v>381</v>
      </c>
      <c r="B531" s="205">
        <v>903</v>
      </c>
      <c r="C531" s="203" t="s">
        <v>338</v>
      </c>
      <c r="D531" s="203" t="s">
        <v>189</v>
      </c>
      <c r="E531" s="203" t="s">
        <v>380</v>
      </c>
      <c r="F531" s="203" t="s">
        <v>248</v>
      </c>
      <c r="G531" s="28">
        <f>8316.6+244.6+639.3+130.3</f>
        <v>9330.8</v>
      </c>
      <c r="H531" s="28">
        <v>7084.9</v>
      </c>
      <c r="I531" s="27">
        <f t="shared" si="243"/>
        <v>75.93025249710635</v>
      </c>
      <c r="J531" s="129"/>
    </row>
    <row r="532" spans="1:10" ht="31.5">
      <c r="A532" s="26" t="s">
        <v>170</v>
      </c>
      <c r="B532" s="205">
        <v>903</v>
      </c>
      <c r="C532" s="203" t="s">
        <v>338</v>
      </c>
      <c r="D532" s="203" t="s">
        <v>189</v>
      </c>
      <c r="E532" s="203" t="s">
        <v>380</v>
      </c>
      <c r="F532" s="203" t="s">
        <v>171</v>
      </c>
      <c r="G532" s="27">
        <f>G533</f>
        <v>1424.3999999999999</v>
      </c>
      <c r="H532" s="27">
        <f aca="true" t="shared" si="249" ref="H532">H533</f>
        <v>939.4</v>
      </c>
      <c r="I532" s="27">
        <f t="shared" si="243"/>
        <v>65.95057568098849</v>
      </c>
      <c r="J532" s="289"/>
    </row>
    <row r="533" spans="1:10" ht="31.5">
      <c r="A533" s="26" t="s">
        <v>172</v>
      </c>
      <c r="B533" s="205">
        <v>903</v>
      </c>
      <c r="C533" s="203" t="s">
        <v>338</v>
      </c>
      <c r="D533" s="203" t="s">
        <v>189</v>
      </c>
      <c r="E533" s="203" t="s">
        <v>380</v>
      </c>
      <c r="F533" s="203" t="s">
        <v>173</v>
      </c>
      <c r="G533" s="28">
        <f>1435.1-10.7</f>
        <v>1424.3999999999999</v>
      </c>
      <c r="H533" s="28">
        <v>939.4</v>
      </c>
      <c r="I533" s="27">
        <f t="shared" si="243"/>
        <v>65.95057568098849</v>
      </c>
      <c r="J533" s="129"/>
    </row>
    <row r="534" spans="1:10" ht="15.75">
      <c r="A534" s="26" t="s">
        <v>174</v>
      </c>
      <c r="B534" s="205">
        <v>903</v>
      </c>
      <c r="C534" s="203" t="s">
        <v>338</v>
      </c>
      <c r="D534" s="203" t="s">
        <v>189</v>
      </c>
      <c r="E534" s="203" t="s">
        <v>380</v>
      </c>
      <c r="F534" s="203" t="s">
        <v>184</v>
      </c>
      <c r="G534" s="27">
        <f>G535</f>
        <v>11.1</v>
      </c>
      <c r="H534" s="27">
        <f aca="true" t="shared" si="250" ref="H534">H535</f>
        <v>7.3</v>
      </c>
      <c r="I534" s="27">
        <f t="shared" si="243"/>
        <v>65.76576576576578</v>
      </c>
      <c r="J534" s="129"/>
    </row>
    <row r="535" spans="1:10" ht="15.75">
      <c r="A535" s="26" t="s">
        <v>608</v>
      </c>
      <c r="B535" s="205">
        <v>903</v>
      </c>
      <c r="C535" s="203" t="s">
        <v>338</v>
      </c>
      <c r="D535" s="203" t="s">
        <v>189</v>
      </c>
      <c r="E535" s="203" t="s">
        <v>380</v>
      </c>
      <c r="F535" s="203" t="s">
        <v>177</v>
      </c>
      <c r="G535" s="27">
        <f>20-8.9</f>
        <v>11.1</v>
      </c>
      <c r="H535" s="27">
        <v>7.3</v>
      </c>
      <c r="I535" s="27">
        <f t="shared" si="243"/>
        <v>65.76576576576578</v>
      </c>
      <c r="J535" s="129"/>
    </row>
    <row r="536" spans="1:10" ht="15.75">
      <c r="A536" s="24" t="s">
        <v>282</v>
      </c>
      <c r="B536" s="202">
        <v>903</v>
      </c>
      <c r="C536" s="204" t="s">
        <v>283</v>
      </c>
      <c r="D536" s="204"/>
      <c r="E536" s="204"/>
      <c r="F536" s="204"/>
      <c r="G536" s="22">
        <f>G537</f>
        <v>2377</v>
      </c>
      <c r="H536" s="22">
        <f aca="true" t="shared" si="251" ref="H536">H537</f>
        <v>1227.6</v>
      </c>
      <c r="I536" s="22">
        <f t="shared" si="243"/>
        <v>51.64493058477072</v>
      </c>
      <c r="J536" s="129"/>
    </row>
    <row r="537" spans="1:10" ht="15.75">
      <c r="A537" s="24" t="s">
        <v>291</v>
      </c>
      <c r="B537" s="202">
        <v>903</v>
      </c>
      <c r="C537" s="204" t="s">
        <v>283</v>
      </c>
      <c r="D537" s="204" t="s">
        <v>254</v>
      </c>
      <c r="E537" s="204"/>
      <c r="F537" s="204"/>
      <c r="G537" s="22">
        <f>G538+G594</f>
        <v>2377</v>
      </c>
      <c r="H537" s="22">
        <f aca="true" t="shared" si="252" ref="H537">H538+H594</f>
        <v>1227.6</v>
      </c>
      <c r="I537" s="22">
        <f t="shared" si="243"/>
        <v>51.64493058477072</v>
      </c>
      <c r="J537" s="134"/>
    </row>
    <row r="538" spans="1:12" ht="31.5">
      <c r="A538" s="26" t="s">
        <v>382</v>
      </c>
      <c r="B538" s="205">
        <v>903</v>
      </c>
      <c r="C538" s="203" t="s">
        <v>283</v>
      </c>
      <c r="D538" s="203" t="s">
        <v>254</v>
      </c>
      <c r="E538" s="203" t="s">
        <v>383</v>
      </c>
      <c r="F538" s="203"/>
      <c r="G538" s="27">
        <f>G539+G550+G554+G558+G564+G568+G572+G590</f>
        <v>2377</v>
      </c>
      <c r="H538" s="27">
        <f aca="true" t="shared" si="253" ref="H538">H539+H550+H554+H558+H564+H568+H572+H590</f>
        <v>1227.6</v>
      </c>
      <c r="I538" s="27">
        <f t="shared" si="243"/>
        <v>51.64493058477072</v>
      </c>
      <c r="J538" s="129"/>
      <c r="K538" s="136"/>
      <c r="L538" s="136"/>
    </row>
    <row r="539" spans="1:10" ht="15.75" hidden="1">
      <c r="A539" s="26" t="s">
        <v>384</v>
      </c>
      <c r="B539" s="205">
        <v>903</v>
      </c>
      <c r="C539" s="203" t="s">
        <v>303</v>
      </c>
      <c r="D539" s="203" t="s">
        <v>303</v>
      </c>
      <c r="E539" s="203" t="s">
        <v>385</v>
      </c>
      <c r="F539" s="203"/>
      <c r="G539" s="27">
        <f>G540+G548</f>
        <v>0</v>
      </c>
      <c r="H539" s="27">
        <f aca="true" t="shared" si="254" ref="H539">H540+H548</f>
        <v>0</v>
      </c>
      <c r="I539" s="27" t="e">
        <f t="shared" si="243"/>
        <v>#DIV/0!</v>
      </c>
      <c r="J539" s="129"/>
    </row>
    <row r="540" spans="1:10" ht="31.5" hidden="1">
      <c r="A540" s="26" t="s">
        <v>196</v>
      </c>
      <c r="B540" s="205">
        <v>903</v>
      </c>
      <c r="C540" s="203" t="s">
        <v>303</v>
      </c>
      <c r="D540" s="203" t="s">
        <v>303</v>
      </c>
      <c r="E540" s="203" t="s">
        <v>386</v>
      </c>
      <c r="F540" s="203"/>
      <c r="G540" s="27">
        <f>G543+G542+G545</f>
        <v>0</v>
      </c>
      <c r="H540" s="27">
        <f aca="true" t="shared" si="255" ref="H540">H543+H542+H545</f>
        <v>0</v>
      </c>
      <c r="I540" s="27" t="e">
        <f t="shared" si="243"/>
        <v>#DIV/0!</v>
      </c>
      <c r="J540" s="129"/>
    </row>
    <row r="541" spans="1:10" ht="63" hidden="1">
      <c r="A541" s="26" t="s">
        <v>166</v>
      </c>
      <c r="B541" s="205">
        <v>903</v>
      </c>
      <c r="C541" s="203" t="s">
        <v>303</v>
      </c>
      <c r="D541" s="203" t="s">
        <v>303</v>
      </c>
      <c r="E541" s="203" t="s">
        <v>386</v>
      </c>
      <c r="F541" s="203" t="s">
        <v>167</v>
      </c>
      <c r="G541" s="27">
        <f>G542</f>
        <v>0</v>
      </c>
      <c r="H541" s="27">
        <f aca="true" t="shared" si="256" ref="H541">H542</f>
        <v>0</v>
      </c>
      <c r="I541" s="27" t="e">
        <f t="shared" si="243"/>
        <v>#DIV/0!</v>
      </c>
      <c r="J541" s="129"/>
    </row>
    <row r="542" spans="1:10" ht="15.75" hidden="1">
      <c r="A542" s="26" t="s">
        <v>381</v>
      </c>
      <c r="B542" s="205">
        <v>903</v>
      </c>
      <c r="C542" s="203" t="s">
        <v>303</v>
      </c>
      <c r="D542" s="203" t="s">
        <v>303</v>
      </c>
      <c r="E542" s="203" t="s">
        <v>386</v>
      </c>
      <c r="F542" s="203" t="s">
        <v>248</v>
      </c>
      <c r="G542" s="27"/>
      <c r="H542" s="27"/>
      <c r="I542" s="27" t="e">
        <f t="shared" si="243"/>
        <v>#DIV/0!</v>
      </c>
      <c r="J542" s="129"/>
    </row>
    <row r="543" spans="1:10" ht="31.5" hidden="1">
      <c r="A543" s="26" t="s">
        <v>170</v>
      </c>
      <c r="B543" s="205">
        <v>903</v>
      </c>
      <c r="C543" s="203" t="s">
        <v>303</v>
      </c>
      <c r="D543" s="203" t="s">
        <v>303</v>
      </c>
      <c r="E543" s="203" t="s">
        <v>386</v>
      </c>
      <c r="F543" s="203" t="s">
        <v>171</v>
      </c>
      <c r="G543" s="27">
        <f>G544</f>
        <v>0</v>
      </c>
      <c r="H543" s="27">
        <f aca="true" t="shared" si="257" ref="H543">H544</f>
        <v>0</v>
      </c>
      <c r="I543" s="27" t="e">
        <f t="shared" si="243"/>
        <v>#DIV/0!</v>
      </c>
      <c r="J543" s="129"/>
    </row>
    <row r="544" spans="1:10" ht="31.5" hidden="1">
      <c r="A544" s="26" t="s">
        <v>172</v>
      </c>
      <c r="B544" s="205">
        <v>903</v>
      </c>
      <c r="C544" s="203" t="s">
        <v>303</v>
      </c>
      <c r="D544" s="203" t="s">
        <v>303</v>
      </c>
      <c r="E544" s="203" t="s">
        <v>386</v>
      </c>
      <c r="F544" s="203" t="s">
        <v>173</v>
      </c>
      <c r="G544" s="27"/>
      <c r="H544" s="27"/>
      <c r="I544" s="27" t="e">
        <f t="shared" si="243"/>
        <v>#DIV/0!</v>
      </c>
      <c r="J544" s="129"/>
    </row>
    <row r="545" spans="1:10" ht="15.75" hidden="1">
      <c r="A545" s="26" t="s">
        <v>287</v>
      </c>
      <c r="B545" s="205">
        <v>903</v>
      </c>
      <c r="C545" s="203" t="s">
        <v>303</v>
      </c>
      <c r="D545" s="203" t="s">
        <v>303</v>
      </c>
      <c r="E545" s="203" t="s">
        <v>386</v>
      </c>
      <c r="F545" s="203" t="s">
        <v>288</v>
      </c>
      <c r="G545" s="27">
        <f>G546</f>
        <v>0</v>
      </c>
      <c r="H545" s="27">
        <f aca="true" t="shared" si="258" ref="H545">H546</f>
        <v>0</v>
      </c>
      <c r="I545" s="27" t="e">
        <f t="shared" si="243"/>
        <v>#DIV/0!</v>
      </c>
      <c r="J545" s="129"/>
    </row>
    <row r="546" spans="1:10" ht="15.75" hidden="1">
      <c r="A546" s="26" t="s">
        <v>387</v>
      </c>
      <c r="B546" s="205">
        <v>903</v>
      </c>
      <c r="C546" s="203" t="s">
        <v>303</v>
      </c>
      <c r="D546" s="203" t="s">
        <v>303</v>
      </c>
      <c r="E546" s="203" t="s">
        <v>386</v>
      </c>
      <c r="F546" s="203" t="s">
        <v>388</v>
      </c>
      <c r="G546" s="27"/>
      <c r="H546" s="27"/>
      <c r="I546" s="27" t="e">
        <f t="shared" si="243"/>
        <v>#DIV/0!</v>
      </c>
      <c r="J546" s="129"/>
    </row>
    <row r="547" spans="1:10" ht="31.5" hidden="1">
      <c r="A547" s="26" t="s">
        <v>389</v>
      </c>
      <c r="B547" s="205">
        <v>903</v>
      </c>
      <c r="C547" s="203" t="s">
        <v>303</v>
      </c>
      <c r="D547" s="203" t="s">
        <v>303</v>
      </c>
      <c r="E547" s="203" t="s">
        <v>390</v>
      </c>
      <c r="F547" s="203"/>
      <c r="G547" s="27">
        <f>G548</f>
        <v>0</v>
      </c>
      <c r="H547" s="27">
        <f aca="true" t="shared" si="259" ref="H547:H548">H548</f>
        <v>0</v>
      </c>
      <c r="I547" s="27" t="e">
        <f t="shared" si="243"/>
        <v>#DIV/0!</v>
      </c>
      <c r="J547" s="129"/>
    </row>
    <row r="548" spans="1:10" ht="31.5" hidden="1">
      <c r="A548" s="26" t="s">
        <v>311</v>
      </c>
      <c r="B548" s="205">
        <v>903</v>
      </c>
      <c r="C548" s="203" t="s">
        <v>303</v>
      </c>
      <c r="D548" s="203" t="s">
        <v>303</v>
      </c>
      <c r="E548" s="203" t="s">
        <v>390</v>
      </c>
      <c r="F548" s="203" t="s">
        <v>312</v>
      </c>
      <c r="G548" s="27">
        <f>G549</f>
        <v>0</v>
      </c>
      <c r="H548" s="27">
        <f t="shared" si="259"/>
        <v>0</v>
      </c>
      <c r="I548" s="27" t="e">
        <f t="shared" si="243"/>
        <v>#DIV/0!</v>
      </c>
      <c r="J548" s="129"/>
    </row>
    <row r="549" spans="1:10" ht="15.75" hidden="1">
      <c r="A549" s="26" t="s">
        <v>313</v>
      </c>
      <c r="B549" s="205">
        <v>903</v>
      </c>
      <c r="C549" s="203" t="s">
        <v>303</v>
      </c>
      <c r="D549" s="203" t="s">
        <v>303</v>
      </c>
      <c r="E549" s="203" t="s">
        <v>390</v>
      </c>
      <c r="F549" s="203" t="s">
        <v>314</v>
      </c>
      <c r="G549" s="27"/>
      <c r="H549" s="27"/>
      <c r="I549" s="27" t="e">
        <f t="shared" si="243"/>
        <v>#DIV/0!</v>
      </c>
      <c r="J549" s="129"/>
    </row>
    <row r="550" spans="1:10" ht="15.75">
      <c r="A550" s="26" t="s">
        <v>391</v>
      </c>
      <c r="B550" s="205">
        <v>903</v>
      </c>
      <c r="C550" s="203" t="s">
        <v>283</v>
      </c>
      <c r="D550" s="203" t="s">
        <v>254</v>
      </c>
      <c r="E550" s="203" t="s">
        <v>392</v>
      </c>
      <c r="F550" s="203"/>
      <c r="G550" s="27">
        <f>G551</f>
        <v>434.7</v>
      </c>
      <c r="H550" s="27">
        <f aca="true" t="shared" si="260" ref="H550:H552">H551</f>
        <v>217.4</v>
      </c>
      <c r="I550" s="27">
        <f t="shared" si="243"/>
        <v>50.01150218541524</v>
      </c>
      <c r="J550" s="291"/>
    </row>
    <row r="551" spans="1:10" ht="31.5">
      <c r="A551" s="26" t="s">
        <v>1047</v>
      </c>
      <c r="B551" s="205">
        <v>903</v>
      </c>
      <c r="C551" s="203" t="s">
        <v>283</v>
      </c>
      <c r="D551" s="203" t="s">
        <v>254</v>
      </c>
      <c r="E551" s="203" t="s">
        <v>990</v>
      </c>
      <c r="F551" s="203"/>
      <c r="G551" s="27">
        <f>G552</f>
        <v>434.7</v>
      </c>
      <c r="H551" s="27">
        <f t="shared" si="260"/>
        <v>217.4</v>
      </c>
      <c r="I551" s="27">
        <f t="shared" si="243"/>
        <v>50.01150218541524</v>
      </c>
      <c r="J551" s="129"/>
    </row>
    <row r="552" spans="1:10" ht="15.75">
      <c r="A552" s="26" t="s">
        <v>287</v>
      </c>
      <c r="B552" s="205">
        <v>903</v>
      </c>
      <c r="C552" s="203" t="s">
        <v>283</v>
      </c>
      <c r="D552" s="203" t="s">
        <v>254</v>
      </c>
      <c r="E552" s="203" t="s">
        <v>990</v>
      </c>
      <c r="F552" s="203" t="s">
        <v>288</v>
      </c>
      <c r="G552" s="27">
        <f>G553</f>
        <v>434.7</v>
      </c>
      <c r="H552" s="27">
        <f t="shared" si="260"/>
        <v>217.4</v>
      </c>
      <c r="I552" s="27">
        <f t="shared" si="243"/>
        <v>50.01150218541524</v>
      </c>
      <c r="J552" s="129"/>
    </row>
    <row r="553" spans="1:10" ht="31.5">
      <c r="A553" s="26" t="s">
        <v>289</v>
      </c>
      <c r="B553" s="205">
        <v>903</v>
      </c>
      <c r="C553" s="203" t="s">
        <v>283</v>
      </c>
      <c r="D553" s="203" t="s">
        <v>254</v>
      </c>
      <c r="E553" s="203" t="s">
        <v>990</v>
      </c>
      <c r="F553" s="203" t="s">
        <v>290</v>
      </c>
      <c r="G553" s="27">
        <f>148.4-30.7+32.3+284.7</f>
        <v>434.7</v>
      </c>
      <c r="H553" s="27">
        <v>217.4</v>
      </c>
      <c r="I553" s="27">
        <f t="shared" si="243"/>
        <v>50.01150218541524</v>
      </c>
      <c r="J553" s="129"/>
    </row>
    <row r="554" spans="1:10" ht="31.5">
      <c r="A554" s="26" t="s">
        <v>394</v>
      </c>
      <c r="B554" s="205">
        <v>903</v>
      </c>
      <c r="C554" s="205">
        <v>10</v>
      </c>
      <c r="D554" s="203" t="s">
        <v>254</v>
      </c>
      <c r="E554" s="203" t="s">
        <v>395</v>
      </c>
      <c r="F554" s="203"/>
      <c r="G554" s="27">
        <f>G555</f>
        <v>420</v>
      </c>
      <c r="H554" s="27">
        <f aca="true" t="shared" si="261" ref="H554:H556">H555</f>
        <v>200</v>
      </c>
      <c r="I554" s="27">
        <f t="shared" si="243"/>
        <v>47.61904761904761</v>
      </c>
      <c r="J554" s="129"/>
    </row>
    <row r="555" spans="1:10" ht="31.5">
      <c r="A555" s="26" t="s">
        <v>196</v>
      </c>
      <c r="B555" s="205">
        <v>903</v>
      </c>
      <c r="C555" s="203" t="s">
        <v>283</v>
      </c>
      <c r="D555" s="203" t="s">
        <v>254</v>
      </c>
      <c r="E555" s="203" t="s">
        <v>396</v>
      </c>
      <c r="F555" s="203"/>
      <c r="G555" s="27">
        <f>G556</f>
        <v>420</v>
      </c>
      <c r="H555" s="27">
        <f t="shared" si="261"/>
        <v>200</v>
      </c>
      <c r="I555" s="27">
        <f t="shared" si="243"/>
        <v>47.61904761904761</v>
      </c>
      <c r="J555" s="129"/>
    </row>
    <row r="556" spans="1:10" ht="15.75">
      <c r="A556" s="26" t="s">
        <v>287</v>
      </c>
      <c r="B556" s="205">
        <v>903</v>
      </c>
      <c r="C556" s="203" t="s">
        <v>283</v>
      </c>
      <c r="D556" s="203" t="s">
        <v>254</v>
      </c>
      <c r="E556" s="203" t="s">
        <v>396</v>
      </c>
      <c r="F556" s="203" t="s">
        <v>288</v>
      </c>
      <c r="G556" s="27">
        <f>G557</f>
        <v>420</v>
      </c>
      <c r="H556" s="27">
        <f t="shared" si="261"/>
        <v>200</v>
      </c>
      <c r="I556" s="27">
        <f t="shared" si="243"/>
        <v>47.61904761904761</v>
      </c>
      <c r="J556" s="129"/>
    </row>
    <row r="557" spans="1:10" ht="15.75">
      <c r="A557" s="26" t="s">
        <v>387</v>
      </c>
      <c r="B557" s="205">
        <v>903</v>
      </c>
      <c r="C557" s="203" t="s">
        <v>283</v>
      </c>
      <c r="D557" s="203" t="s">
        <v>254</v>
      </c>
      <c r="E557" s="203" t="s">
        <v>396</v>
      </c>
      <c r="F557" s="203" t="s">
        <v>388</v>
      </c>
      <c r="G557" s="27">
        <v>420</v>
      </c>
      <c r="H557" s="27">
        <v>200</v>
      </c>
      <c r="I557" s="27">
        <f t="shared" si="243"/>
        <v>47.61904761904761</v>
      </c>
      <c r="J557" s="129"/>
    </row>
    <row r="558" spans="1:10" ht="15.75">
      <c r="A558" s="26" t="s">
        <v>397</v>
      </c>
      <c r="B558" s="205">
        <v>903</v>
      </c>
      <c r="C558" s="205">
        <v>10</v>
      </c>
      <c r="D558" s="203" t="s">
        <v>254</v>
      </c>
      <c r="E558" s="203" t="s">
        <v>398</v>
      </c>
      <c r="F558" s="203"/>
      <c r="G558" s="27">
        <f>G559</f>
        <v>1272.3000000000002</v>
      </c>
      <c r="H558" s="27">
        <f aca="true" t="shared" si="262" ref="H558">H559</f>
        <v>652.2</v>
      </c>
      <c r="I558" s="27">
        <f t="shared" si="243"/>
        <v>51.26149493044093</v>
      </c>
      <c r="J558" s="129"/>
    </row>
    <row r="559" spans="1:10" ht="31.5">
      <c r="A559" s="26" t="s">
        <v>196</v>
      </c>
      <c r="B559" s="205">
        <v>903</v>
      </c>
      <c r="C559" s="203" t="s">
        <v>283</v>
      </c>
      <c r="D559" s="203" t="s">
        <v>254</v>
      </c>
      <c r="E559" s="203" t="s">
        <v>399</v>
      </c>
      <c r="F559" s="203"/>
      <c r="G559" s="27">
        <f>G560+G562</f>
        <v>1272.3000000000002</v>
      </c>
      <c r="H559" s="27">
        <f aca="true" t="shared" si="263" ref="H559">H560+H562</f>
        <v>652.2</v>
      </c>
      <c r="I559" s="27">
        <f t="shared" si="243"/>
        <v>51.26149493044093</v>
      </c>
      <c r="J559" s="129"/>
    </row>
    <row r="560" spans="1:10" ht="31.5">
      <c r="A560" s="26" t="s">
        <v>170</v>
      </c>
      <c r="B560" s="205">
        <v>903</v>
      </c>
      <c r="C560" s="203" t="s">
        <v>283</v>
      </c>
      <c r="D560" s="203" t="s">
        <v>254</v>
      </c>
      <c r="E560" s="203" t="s">
        <v>399</v>
      </c>
      <c r="F560" s="203" t="s">
        <v>171</v>
      </c>
      <c r="G560" s="27">
        <f>G561</f>
        <v>356.6</v>
      </c>
      <c r="H560" s="27">
        <f aca="true" t="shared" si="264" ref="H560">H561</f>
        <v>201.3</v>
      </c>
      <c r="I560" s="27">
        <f t="shared" si="243"/>
        <v>56.449803701626465</v>
      </c>
      <c r="J560" s="129"/>
    </row>
    <row r="561" spans="1:10" ht="31.5">
      <c r="A561" s="26" t="s">
        <v>172</v>
      </c>
      <c r="B561" s="205">
        <v>903</v>
      </c>
      <c r="C561" s="203" t="s">
        <v>283</v>
      </c>
      <c r="D561" s="203" t="s">
        <v>254</v>
      </c>
      <c r="E561" s="203" t="s">
        <v>399</v>
      </c>
      <c r="F561" s="203" t="s">
        <v>173</v>
      </c>
      <c r="G561" s="27">
        <f>456.6-100</f>
        <v>356.6</v>
      </c>
      <c r="H561" s="27">
        <v>201.3</v>
      </c>
      <c r="I561" s="27">
        <f t="shared" si="243"/>
        <v>56.449803701626465</v>
      </c>
      <c r="J561" s="129"/>
    </row>
    <row r="562" spans="1:10" ht="15.75">
      <c r="A562" s="26" t="s">
        <v>287</v>
      </c>
      <c r="B562" s="205">
        <v>903</v>
      </c>
      <c r="C562" s="203" t="s">
        <v>283</v>
      </c>
      <c r="D562" s="203" t="s">
        <v>254</v>
      </c>
      <c r="E562" s="203" t="s">
        <v>399</v>
      </c>
      <c r="F562" s="203" t="s">
        <v>288</v>
      </c>
      <c r="G562" s="27">
        <f>G563</f>
        <v>915.7</v>
      </c>
      <c r="H562" s="27">
        <f aca="true" t="shared" si="265" ref="H562">H563</f>
        <v>450.9</v>
      </c>
      <c r="I562" s="27">
        <f t="shared" si="243"/>
        <v>49.24101780058971</v>
      </c>
      <c r="J562" s="129"/>
    </row>
    <row r="563" spans="1:10" ht="15.75">
      <c r="A563" s="26" t="s">
        <v>387</v>
      </c>
      <c r="B563" s="205">
        <v>903</v>
      </c>
      <c r="C563" s="203" t="s">
        <v>283</v>
      </c>
      <c r="D563" s="203" t="s">
        <v>254</v>
      </c>
      <c r="E563" s="203" t="s">
        <v>399</v>
      </c>
      <c r="F563" s="203" t="s">
        <v>388</v>
      </c>
      <c r="G563" s="27">
        <f>1015.7-100</f>
        <v>915.7</v>
      </c>
      <c r="H563" s="27">
        <v>450.9</v>
      </c>
      <c r="I563" s="27">
        <f t="shared" si="243"/>
        <v>49.24101780058971</v>
      </c>
      <c r="J563" s="129"/>
    </row>
    <row r="564" spans="1:10" ht="37.5" customHeight="1">
      <c r="A564" s="26" t="s">
        <v>400</v>
      </c>
      <c r="B564" s="205">
        <v>903</v>
      </c>
      <c r="C564" s="203" t="s">
        <v>283</v>
      </c>
      <c r="D564" s="203" t="s">
        <v>254</v>
      </c>
      <c r="E564" s="203" t="s">
        <v>401</v>
      </c>
      <c r="F564" s="203"/>
      <c r="G564" s="27">
        <f>G565</f>
        <v>250</v>
      </c>
      <c r="H564" s="27">
        <f aca="true" t="shared" si="266" ref="H564:H566">H565</f>
        <v>158</v>
      </c>
      <c r="I564" s="27">
        <f t="shared" si="243"/>
        <v>63.2</v>
      </c>
      <c r="J564" s="129"/>
    </row>
    <row r="565" spans="1:10" ht="31.5">
      <c r="A565" s="26" t="s">
        <v>196</v>
      </c>
      <c r="B565" s="205">
        <v>903</v>
      </c>
      <c r="C565" s="203" t="s">
        <v>283</v>
      </c>
      <c r="D565" s="203" t="s">
        <v>254</v>
      </c>
      <c r="E565" s="203" t="s">
        <v>402</v>
      </c>
      <c r="F565" s="203"/>
      <c r="G565" s="27">
        <f>G566</f>
        <v>250</v>
      </c>
      <c r="H565" s="27">
        <f t="shared" si="266"/>
        <v>158</v>
      </c>
      <c r="I565" s="27">
        <f t="shared" si="243"/>
        <v>63.2</v>
      </c>
      <c r="J565" s="129"/>
    </row>
    <row r="566" spans="1:10" ht="15.75">
      <c r="A566" s="26" t="s">
        <v>287</v>
      </c>
      <c r="B566" s="205">
        <v>903</v>
      </c>
      <c r="C566" s="203" t="s">
        <v>283</v>
      </c>
      <c r="D566" s="203" t="s">
        <v>254</v>
      </c>
      <c r="E566" s="203" t="s">
        <v>402</v>
      </c>
      <c r="F566" s="203" t="s">
        <v>288</v>
      </c>
      <c r="G566" s="27">
        <f>G567</f>
        <v>250</v>
      </c>
      <c r="H566" s="27">
        <f t="shared" si="266"/>
        <v>158</v>
      </c>
      <c r="I566" s="27">
        <f t="shared" si="243"/>
        <v>63.2</v>
      </c>
      <c r="J566" s="129"/>
    </row>
    <row r="567" spans="1:10" ht="15.75">
      <c r="A567" s="26" t="s">
        <v>387</v>
      </c>
      <c r="B567" s="205">
        <v>903</v>
      </c>
      <c r="C567" s="203" t="s">
        <v>283</v>
      </c>
      <c r="D567" s="203" t="s">
        <v>254</v>
      </c>
      <c r="E567" s="203" t="s">
        <v>402</v>
      </c>
      <c r="F567" s="203" t="s">
        <v>388</v>
      </c>
      <c r="G567" s="27">
        <v>250</v>
      </c>
      <c r="H567" s="27">
        <v>158</v>
      </c>
      <c r="I567" s="27">
        <f t="shared" si="243"/>
        <v>63.2</v>
      </c>
      <c r="J567" s="129"/>
    </row>
    <row r="568" spans="1:10" ht="49.5" customHeight="1" hidden="1">
      <c r="A568" s="26" t="s">
        <v>403</v>
      </c>
      <c r="B568" s="205">
        <v>903</v>
      </c>
      <c r="C568" s="203" t="s">
        <v>338</v>
      </c>
      <c r="D568" s="203" t="s">
        <v>189</v>
      </c>
      <c r="E568" s="203" t="s">
        <v>404</v>
      </c>
      <c r="F568" s="203"/>
      <c r="G568" s="27">
        <f>G569</f>
        <v>0</v>
      </c>
      <c r="H568" s="27">
        <f aca="true" t="shared" si="267" ref="H568:H570">H569</f>
        <v>0</v>
      </c>
      <c r="I568" s="22" t="e">
        <f t="shared" si="243"/>
        <v>#DIV/0!</v>
      </c>
      <c r="J568" s="129"/>
    </row>
    <row r="569" spans="1:10" ht="31.5" hidden="1">
      <c r="A569" s="26" t="s">
        <v>196</v>
      </c>
      <c r="B569" s="205">
        <v>903</v>
      </c>
      <c r="C569" s="203" t="s">
        <v>338</v>
      </c>
      <c r="D569" s="203" t="s">
        <v>189</v>
      </c>
      <c r="E569" s="203" t="s">
        <v>405</v>
      </c>
      <c r="F569" s="203"/>
      <c r="G569" s="27">
        <f>G570</f>
        <v>0</v>
      </c>
      <c r="H569" s="27">
        <f t="shared" si="267"/>
        <v>0</v>
      </c>
      <c r="I569" s="22" t="e">
        <f t="shared" si="243"/>
        <v>#DIV/0!</v>
      </c>
      <c r="J569" s="129"/>
    </row>
    <row r="570" spans="1:10" ht="31.5" hidden="1">
      <c r="A570" s="26" t="s">
        <v>170</v>
      </c>
      <c r="B570" s="205">
        <v>903</v>
      </c>
      <c r="C570" s="203" t="s">
        <v>338</v>
      </c>
      <c r="D570" s="203" t="s">
        <v>189</v>
      </c>
      <c r="E570" s="203" t="s">
        <v>405</v>
      </c>
      <c r="F570" s="203" t="s">
        <v>171</v>
      </c>
      <c r="G570" s="27">
        <f>G571</f>
        <v>0</v>
      </c>
      <c r="H570" s="27">
        <f t="shared" si="267"/>
        <v>0</v>
      </c>
      <c r="I570" s="22" t="e">
        <f t="shared" si="243"/>
        <v>#DIV/0!</v>
      </c>
      <c r="J570" s="129"/>
    </row>
    <row r="571" spans="1:10" ht="31.5" hidden="1">
      <c r="A571" s="26" t="s">
        <v>172</v>
      </c>
      <c r="B571" s="205">
        <v>903</v>
      </c>
      <c r="C571" s="203" t="s">
        <v>338</v>
      </c>
      <c r="D571" s="203" t="s">
        <v>189</v>
      </c>
      <c r="E571" s="203" t="s">
        <v>405</v>
      </c>
      <c r="F571" s="203" t="s">
        <v>173</v>
      </c>
      <c r="G571" s="27"/>
      <c r="H571" s="27"/>
      <c r="I571" s="22" t="e">
        <f t="shared" si="243"/>
        <v>#DIV/0!</v>
      </c>
      <c r="J571" s="129"/>
    </row>
    <row r="572" spans="1:10" ht="54" customHeight="1" hidden="1">
      <c r="A572" s="26" t="s">
        <v>406</v>
      </c>
      <c r="B572" s="205">
        <v>903</v>
      </c>
      <c r="C572" s="203" t="s">
        <v>189</v>
      </c>
      <c r="D572" s="203" t="s">
        <v>277</v>
      </c>
      <c r="E572" s="203" t="s">
        <v>407</v>
      </c>
      <c r="F572" s="203"/>
      <c r="G572" s="27">
        <f>G573+G585+G579+G582</f>
        <v>0</v>
      </c>
      <c r="H572" s="27">
        <f aca="true" t="shared" si="268" ref="H572">H573+H585+H579+H582</f>
        <v>0</v>
      </c>
      <c r="I572" s="22" t="e">
        <f t="shared" si="243"/>
        <v>#DIV/0!</v>
      </c>
      <c r="J572" s="129"/>
    </row>
    <row r="573" spans="1:10" ht="33.75" customHeight="1" hidden="1">
      <c r="A573" s="26" t="s">
        <v>408</v>
      </c>
      <c r="B573" s="205">
        <v>903</v>
      </c>
      <c r="C573" s="203" t="s">
        <v>189</v>
      </c>
      <c r="D573" s="203" t="s">
        <v>277</v>
      </c>
      <c r="E573" s="203" t="s">
        <v>409</v>
      </c>
      <c r="F573" s="203"/>
      <c r="G573" s="27">
        <f>G574</f>
        <v>0</v>
      </c>
      <c r="H573" s="27">
        <f aca="true" t="shared" si="269" ref="H573:H574">H574</f>
        <v>0</v>
      </c>
      <c r="I573" s="22" t="e">
        <f t="shared" si="243"/>
        <v>#DIV/0!</v>
      </c>
      <c r="J573" s="129"/>
    </row>
    <row r="574" spans="1:10" ht="31.5" hidden="1">
      <c r="A574" s="26" t="s">
        <v>311</v>
      </c>
      <c r="B574" s="205">
        <v>903</v>
      </c>
      <c r="C574" s="203" t="s">
        <v>189</v>
      </c>
      <c r="D574" s="203" t="s">
        <v>277</v>
      </c>
      <c r="E574" s="203" t="s">
        <v>409</v>
      </c>
      <c r="F574" s="203" t="s">
        <v>312</v>
      </c>
      <c r="G574" s="27">
        <f>G575</f>
        <v>0</v>
      </c>
      <c r="H574" s="27">
        <f t="shared" si="269"/>
        <v>0</v>
      </c>
      <c r="I574" s="22" t="e">
        <f t="shared" si="243"/>
        <v>#DIV/0!</v>
      </c>
      <c r="J574" s="129"/>
    </row>
    <row r="575" spans="1:10" ht="29.25" customHeight="1" hidden="1">
      <c r="A575" s="41" t="s">
        <v>410</v>
      </c>
      <c r="B575" s="205">
        <v>903</v>
      </c>
      <c r="C575" s="203" t="s">
        <v>189</v>
      </c>
      <c r="D575" s="203" t="s">
        <v>277</v>
      </c>
      <c r="E575" s="203" t="s">
        <v>409</v>
      </c>
      <c r="F575" s="203" t="s">
        <v>411</v>
      </c>
      <c r="G575" s="27"/>
      <c r="H575" s="27"/>
      <c r="I575" s="22" t="e">
        <f t="shared" si="243"/>
        <v>#DIV/0!</v>
      </c>
      <c r="J575" s="129"/>
    </row>
    <row r="576" spans="1:10" ht="15.75" customHeight="1" hidden="1">
      <c r="A576" s="41"/>
      <c r="B576" s="205"/>
      <c r="C576" s="203" t="s">
        <v>189</v>
      </c>
      <c r="D576" s="203" t="s">
        <v>277</v>
      </c>
      <c r="E576" s="203"/>
      <c r="F576" s="203"/>
      <c r="G576" s="27"/>
      <c r="H576" s="27"/>
      <c r="I576" s="22" t="e">
        <f t="shared" si="243"/>
        <v>#DIV/0!</v>
      </c>
      <c r="J576" s="129"/>
    </row>
    <row r="577" spans="1:10" ht="15.75" customHeight="1" hidden="1">
      <c r="A577" s="41"/>
      <c r="B577" s="205"/>
      <c r="C577" s="203" t="s">
        <v>189</v>
      </c>
      <c r="D577" s="203" t="s">
        <v>277</v>
      </c>
      <c r="E577" s="203"/>
      <c r="F577" s="203"/>
      <c r="G577" s="27"/>
      <c r="H577" s="27"/>
      <c r="I577" s="22" t="e">
        <f t="shared" si="243"/>
        <v>#DIV/0!</v>
      </c>
      <c r="J577" s="129"/>
    </row>
    <row r="578" spans="1:10" ht="15.75" customHeight="1" hidden="1">
      <c r="A578" s="41"/>
      <c r="B578" s="205"/>
      <c r="C578" s="203" t="s">
        <v>189</v>
      </c>
      <c r="D578" s="203" t="s">
        <v>277</v>
      </c>
      <c r="E578" s="203"/>
      <c r="F578" s="203"/>
      <c r="G578" s="27"/>
      <c r="H578" s="27"/>
      <c r="I578" s="22" t="e">
        <f t="shared" si="243"/>
        <v>#DIV/0!</v>
      </c>
      <c r="J578" s="129"/>
    </row>
    <row r="579" spans="1:10" ht="126" customHeight="1" hidden="1">
      <c r="A579" s="26" t="s">
        <v>412</v>
      </c>
      <c r="B579" s="205">
        <v>903</v>
      </c>
      <c r="C579" s="203" t="s">
        <v>189</v>
      </c>
      <c r="D579" s="203" t="s">
        <v>277</v>
      </c>
      <c r="E579" s="203" t="s">
        <v>413</v>
      </c>
      <c r="F579" s="203"/>
      <c r="G579" s="27">
        <f>G580</f>
        <v>0</v>
      </c>
      <c r="H579" s="27">
        <f aca="true" t="shared" si="270" ref="H579:H580">H580</f>
        <v>0</v>
      </c>
      <c r="I579" s="22" t="e">
        <f t="shared" si="243"/>
        <v>#DIV/0!</v>
      </c>
      <c r="J579" s="129"/>
    </row>
    <row r="580" spans="1:10" ht="15.75" customHeight="1" hidden="1">
      <c r="A580" s="26" t="s">
        <v>174</v>
      </c>
      <c r="B580" s="205">
        <v>903</v>
      </c>
      <c r="C580" s="203" t="s">
        <v>189</v>
      </c>
      <c r="D580" s="203" t="s">
        <v>277</v>
      </c>
      <c r="E580" s="203" t="s">
        <v>413</v>
      </c>
      <c r="F580" s="203" t="s">
        <v>184</v>
      </c>
      <c r="G580" s="27">
        <f>G581</f>
        <v>0</v>
      </c>
      <c r="H580" s="27">
        <f t="shared" si="270"/>
        <v>0</v>
      </c>
      <c r="I580" s="22" t="e">
        <f t="shared" si="243"/>
        <v>#DIV/0!</v>
      </c>
      <c r="J580" s="129"/>
    </row>
    <row r="581" spans="1:10" ht="63" customHeight="1" hidden="1">
      <c r="A581" s="26" t="s">
        <v>223</v>
      </c>
      <c r="B581" s="205">
        <v>903</v>
      </c>
      <c r="C581" s="203" t="s">
        <v>189</v>
      </c>
      <c r="D581" s="203" t="s">
        <v>277</v>
      </c>
      <c r="E581" s="203" t="s">
        <v>413</v>
      </c>
      <c r="F581" s="203" t="s">
        <v>199</v>
      </c>
      <c r="G581" s="27">
        <v>0</v>
      </c>
      <c r="H581" s="27">
        <v>0</v>
      </c>
      <c r="I581" s="22" t="e">
        <f t="shared" si="243"/>
        <v>#DIV/0!</v>
      </c>
      <c r="J581" s="129"/>
    </row>
    <row r="582" spans="1:10" ht="50.25" customHeight="1" hidden="1">
      <c r="A582" s="26" t="s">
        <v>414</v>
      </c>
      <c r="B582" s="205">
        <v>903</v>
      </c>
      <c r="C582" s="203" t="s">
        <v>189</v>
      </c>
      <c r="D582" s="203" t="s">
        <v>277</v>
      </c>
      <c r="E582" s="203" t="s">
        <v>415</v>
      </c>
      <c r="F582" s="203"/>
      <c r="G582" s="27">
        <f>G583</f>
        <v>0</v>
      </c>
      <c r="H582" s="27">
        <f aca="true" t="shared" si="271" ref="H582:H583">H583</f>
        <v>0</v>
      </c>
      <c r="I582" s="22" t="e">
        <f t="shared" si="243"/>
        <v>#DIV/0!</v>
      </c>
      <c r="J582" s="129"/>
    </row>
    <row r="583" spans="1:10" ht="15.75" hidden="1">
      <c r="A583" s="26" t="s">
        <v>287</v>
      </c>
      <c r="B583" s="205">
        <v>903</v>
      </c>
      <c r="C583" s="203" t="s">
        <v>189</v>
      </c>
      <c r="D583" s="203" t="s">
        <v>277</v>
      </c>
      <c r="E583" s="203" t="s">
        <v>415</v>
      </c>
      <c r="F583" s="203" t="s">
        <v>288</v>
      </c>
      <c r="G583" s="27">
        <f>G584</f>
        <v>0</v>
      </c>
      <c r="H583" s="27">
        <f t="shared" si="271"/>
        <v>0</v>
      </c>
      <c r="I583" s="22" t="e">
        <f t="shared" si="243"/>
        <v>#DIV/0!</v>
      </c>
      <c r="J583" s="129"/>
    </row>
    <row r="584" spans="1:10" ht="31.5" hidden="1">
      <c r="A584" s="26" t="s">
        <v>289</v>
      </c>
      <c r="B584" s="205">
        <v>903</v>
      </c>
      <c r="C584" s="203" t="s">
        <v>189</v>
      </c>
      <c r="D584" s="203" t="s">
        <v>277</v>
      </c>
      <c r="E584" s="203" t="s">
        <v>415</v>
      </c>
      <c r="F584" s="203" t="s">
        <v>290</v>
      </c>
      <c r="G584" s="27"/>
      <c r="H584" s="27"/>
      <c r="I584" s="22" t="e">
        <f t="shared" si="243"/>
        <v>#DIV/0!</v>
      </c>
      <c r="J584" s="129"/>
    </row>
    <row r="585" spans="1:10" ht="31.5" customHeight="1" hidden="1">
      <c r="A585" s="26" t="s">
        <v>416</v>
      </c>
      <c r="B585" s="205">
        <v>903</v>
      </c>
      <c r="C585" s="203" t="s">
        <v>283</v>
      </c>
      <c r="D585" s="203" t="s">
        <v>254</v>
      </c>
      <c r="E585" s="203" t="s">
        <v>417</v>
      </c>
      <c r="F585" s="203"/>
      <c r="G585" s="27">
        <f>G586+G588</f>
        <v>0</v>
      </c>
      <c r="H585" s="27">
        <f aca="true" t="shared" si="272" ref="H585">H586+H588</f>
        <v>0</v>
      </c>
      <c r="I585" s="22" t="e">
        <f t="shared" si="243"/>
        <v>#DIV/0!</v>
      </c>
      <c r="J585" s="129"/>
    </row>
    <row r="586" spans="1:10" ht="31.5" customHeight="1" hidden="1">
      <c r="A586" s="26" t="s">
        <v>170</v>
      </c>
      <c r="B586" s="205">
        <v>903</v>
      </c>
      <c r="C586" s="203" t="s">
        <v>283</v>
      </c>
      <c r="D586" s="203" t="s">
        <v>254</v>
      </c>
      <c r="E586" s="203" t="s">
        <v>417</v>
      </c>
      <c r="F586" s="203" t="s">
        <v>171</v>
      </c>
      <c r="G586" s="27">
        <f>G587</f>
        <v>0</v>
      </c>
      <c r="H586" s="27">
        <f aca="true" t="shared" si="273" ref="H586">H587</f>
        <v>0</v>
      </c>
      <c r="I586" s="22" t="e">
        <f t="shared" si="243"/>
        <v>#DIV/0!</v>
      </c>
      <c r="J586" s="129"/>
    </row>
    <row r="587" spans="1:10" ht="47.25" customHeight="1" hidden="1">
      <c r="A587" s="26" t="s">
        <v>172</v>
      </c>
      <c r="B587" s="205">
        <v>903</v>
      </c>
      <c r="C587" s="203" t="s">
        <v>283</v>
      </c>
      <c r="D587" s="203" t="s">
        <v>254</v>
      </c>
      <c r="E587" s="203" t="s">
        <v>417</v>
      </c>
      <c r="F587" s="203" t="s">
        <v>173</v>
      </c>
      <c r="G587" s="27">
        <v>0</v>
      </c>
      <c r="H587" s="27">
        <v>0</v>
      </c>
      <c r="I587" s="22" t="e">
        <f aca="true" t="shared" si="274" ref="I587:I650">H587/G587*100</f>
        <v>#DIV/0!</v>
      </c>
      <c r="J587" s="129"/>
    </row>
    <row r="588" spans="1:10" ht="15.75" customHeight="1" hidden="1">
      <c r="A588" s="26" t="s">
        <v>174</v>
      </c>
      <c r="B588" s="205">
        <v>903</v>
      </c>
      <c r="C588" s="203" t="s">
        <v>283</v>
      </c>
      <c r="D588" s="203" t="s">
        <v>254</v>
      </c>
      <c r="E588" s="203" t="s">
        <v>418</v>
      </c>
      <c r="F588" s="203" t="s">
        <v>184</v>
      </c>
      <c r="G588" s="27">
        <f>G589</f>
        <v>0</v>
      </c>
      <c r="H588" s="27">
        <f aca="true" t="shared" si="275" ref="H588">H589</f>
        <v>0</v>
      </c>
      <c r="I588" s="22" t="e">
        <f t="shared" si="274"/>
        <v>#DIV/0!</v>
      </c>
      <c r="J588" s="129"/>
    </row>
    <row r="589" spans="1:10" ht="63" customHeight="1" hidden="1">
      <c r="A589" s="26" t="s">
        <v>223</v>
      </c>
      <c r="B589" s="205">
        <v>903</v>
      </c>
      <c r="C589" s="203" t="s">
        <v>283</v>
      </c>
      <c r="D589" s="203" t="s">
        <v>254</v>
      </c>
      <c r="E589" s="203" t="s">
        <v>418</v>
      </c>
      <c r="F589" s="203" t="s">
        <v>199</v>
      </c>
      <c r="G589" s="27">
        <v>0</v>
      </c>
      <c r="H589" s="27">
        <v>0</v>
      </c>
      <c r="I589" s="22" t="e">
        <f t="shared" si="274"/>
        <v>#DIV/0!</v>
      </c>
      <c r="J589" s="129"/>
    </row>
    <row r="590" spans="1:10" ht="70.5" customHeight="1" hidden="1">
      <c r="A590" s="31" t="s">
        <v>419</v>
      </c>
      <c r="B590" s="205">
        <v>903</v>
      </c>
      <c r="C590" s="206" t="s">
        <v>157</v>
      </c>
      <c r="D590" s="206" t="s">
        <v>179</v>
      </c>
      <c r="E590" s="206" t="s">
        <v>420</v>
      </c>
      <c r="F590" s="206"/>
      <c r="G590" s="27">
        <f>G591</f>
        <v>0</v>
      </c>
      <c r="H590" s="27">
        <f aca="true" t="shared" si="276" ref="H590:H592">H591</f>
        <v>0</v>
      </c>
      <c r="I590" s="22" t="e">
        <f t="shared" si="274"/>
        <v>#DIV/0!</v>
      </c>
      <c r="J590" s="129"/>
    </row>
    <row r="591" spans="1:10" ht="31.5" hidden="1">
      <c r="A591" s="31" t="s">
        <v>196</v>
      </c>
      <c r="B591" s="205">
        <v>903</v>
      </c>
      <c r="C591" s="206" t="s">
        <v>157</v>
      </c>
      <c r="D591" s="206" t="s">
        <v>179</v>
      </c>
      <c r="E591" s="206" t="s">
        <v>421</v>
      </c>
      <c r="F591" s="206"/>
      <c r="G591" s="27">
        <f>G592</f>
        <v>0</v>
      </c>
      <c r="H591" s="27">
        <f t="shared" si="276"/>
        <v>0</v>
      </c>
      <c r="I591" s="22" t="e">
        <f t="shared" si="274"/>
        <v>#DIV/0!</v>
      </c>
      <c r="J591" s="129"/>
    </row>
    <row r="592" spans="1:10" ht="31.5" hidden="1">
      <c r="A592" s="31" t="s">
        <v>170</v>
      </c>
      <c r="B592" s="205">
        <v>903</v>
      </c>
      <c r="C592" s="206" t="s">
        <v>157</v>
      </c>
      <c r="D592" s="206" t="s">
        <v>179</v>
      </c>
      <c r="E592" s="206" t="s">
        <v>421</v>
      </c>
      <c r="F592" s="206" t="s">
        <v>171</v>
      </c>
      <c r="G592" s="27">
        <f>G593</f>
        <v>0</v>
      </c>
      <c r="H592" s="27">
        <f t="shared" si="276"/>
        <v>0</v>
      </c>
      <c r="I592" s="22" t="e">
        <f t="shared" si="274"/>
        <v>#DIV/0!</v>
      </c>
      <c r="J592" s="129"/>
    </row>
    <row r="593" spans="1:10" ht="31.5" hidden="1">
      <c r="A593" s="31" t="s">
        <v>172</v>
      </c>
      <c r="B593" s="205">
        <v>903</v>
      </c>
      <c r="C593" s="206" t="s">
        <v>157</v>
      </c>
      <c r="D593" s="206" t="s">
        <v>179</v>
      </c>
      <c r="E593" s="206" t="s">
        <v>421</v>
      </c>
      <c r="F593" s="206" t="s">
        <v>173</v>
      </c>
      <c r="G593" s="27"/>
      <c r="H593" s="27"/>
      <c r="I593" s="22" t="e">
        <f t="shared" si="274"/>
        <v>#DIV/0!</v>
      </c>
      <c r="J593" s="129"/>
    </row>
    <row r="594" spans="1:10" ht="15.75" hidden="1">
      <c r="A594" s="26" t="s">
        <v>160</v>
      </c>
      <c r="B594" s="205">
        <v>903</v>
      </c>
      <c r="C594" s="203" t="s">
        <v>283</v>
      </c>
      <c r="D594" s="203" t="s">
        <v>254</v>
      </c>
      <c r="E594" s="203" t="s">
        <v>161</v>
      </c>
      <c r="F594" s="203"/>
      <c r="G594" s="27">
        <f>G595+G606</f>
        <v>0</v>
      </c>
      <c r="H594" s="27">
        <f aca="true" t="shared" si="277" ref="H594">H595+H606</f>
        <v>0</v>
      </c>
      <c r="I594" s="22" t="e">
        <f t="shared" si="274"/>
        <v>#DIV/0!</v>
      </c>
      <c r="J594" s="129"/>
    </row>
    <row r="595" spans="1:10" ht="15.75" hidden="1">
      <c r="A595" s="26" t="s">
        <v>224</v>
      </c>
      <c r="B595" s="205">
        <v>903</v>
      </c>
      <c r="C595" s="203" t="s">
        <v>283</v>
      </c>
      <c r="D595" s="203" t="s">
        <v>254</v>
      </c>
      <c r="E595" s="203" t="s">
        <v>225</v>
      </c>
      <c r="F595" s="203"/>
      <c r="G595" s="27">
        <f>G602+G596+G599</f>
        <v>0</v>
      </c>
      <c r="H595" s="27">
        <f aca="true" t="shared" si="278" ref="H595">H602+H596+H599</f>
        <v>0</v>
      </c>
      <c r="I595" s="22" t="e">
        <f t="shared" si="274"/>
        <v>#DIV/0!</v>
      </c>
      <c r="J595" s="129"/>
    </row>
    <row r="596" spans="1:10" ht="31.5" hidden="1">
      <c r="A596" s="26" t="s">
        <v>946</v>
      </c>
      <c r="B596" s="205">
        <v>903</v>
      </c>
      <c r="C596" s="203" t="s">
        <v>283</v>
      </c>
      <c r="D596" s="203" t="s">
        <v>254</v>
      </c>
      <c r="E596" s="203" t="s">
        <v>945</v>
      </c>
      <c r="F596" s="203"/>
      <c r="G596" s="27">
        <f>G597</f>
        <v>0</v>
      </c>
      <c r="H596" s="27">
        <f aca="true" t="shared" si="279" ref="H596:H597">H597</f>
        <v>0</v>
      </c>
      <c r="I596" s="22" t="e">
        <f t="shared" si="274"/>
        <v>#DIV/0!</v>
      </c>
      <c r="J596" s="129"/>
    </row>
    <row r="597" spans="1:10" ht="15.75" hidden="1">
      <c r="A597" s="26" t="s">
        <v>287</v>
      </c>
      <c r="B597" s="205">
        <v>903</v>
      </c>
      <c r="C597" s="203" t="s">
        <v>283</v>
      </c>
      <c r="D597" s="203" t="s">
        <v>254</v>
      </c>
      <c r="E597" s="203" t="s">
        <v>945</v>
      </c>
      <c r="F597" s="203" t="s">
        <v>288</v>
      </c>
      <c r="G597" s="27">
        <f>G598</f>
        <v>0</v>
      </c>
      <c r="H597" s="27">
        <f t="shared" si="279"/>
        <v>0</v>
      </c>
      <c r="I597" s="22" t="e">
        <f t="shared" si="274"/>
        <v>#DIV/0!</v>
      </c>
      <c r="J597" s="129"/>
    </row>
    <row r="598" spans="1:10" ht="31.5" hidden="1">
      <c r="A598" s="26" t="s">
        <v>289</v>
      </c>
      <c r="B598" s="205">
        <v>903</v>
      </c>
      <c r="C598" s="203" t="s">
        <v>283</v>
      </c>
      <c r="D598" s="203" t="s">
        <v>254</v>
      </c>
      <c r="E598" s="203" t="s">
        <v>945</v>
      </c>
      <c r="F598" s="203" t="s">
        <v>290</v>
      </c>
      <c r="G598" s="27">
        <v>0</v>
      </c>
      <c r="H598" s="27">
        <v>0</v>
      </c>
      <c r="I598" s="22" t="e">
        <f t="shared" si="274"/>
        <v>#DIV/0!</v>
      </c>
      <c r="J598" s="129"/>
    </row>
    <row r="599" spans="1:10" ht="47.25" hidden="1">
      <c r="A599" s="26" t="s">
        <v>414</v>
      </c>
      <c r="B599" s="205">
        <v>903</v>
      </c>
      <c r="C599" s="203" t="s">
        <v>283</v>
      </c>
      <c r="D599" s="203" t="s">
        <v>254</v>
      </c>
      <c r="E599" s="203" t="s">
        <v>424</v>
      </c>
      <c r="F599" s="203"/>
      <c r="G599" s="27">
        <f>G600</f>
        <v>0</v>
      </c>
      <c r="H599" s="27">
        <f aca="true" t="shared" si="280" ref="H599:H600">H600</f>
        <v>0</v>
      </c>
      <c r="I599" s="22" t="e">
        <f t="shared" si="274"/>
        <v>#DIV/0!</v>
      </c>
      <c r="J599" s="129"/>
    </row>
    <row r="600" spans="1:10" ht="15.75" hidden="1">
      <c r="A600" s="26" t="s">
        <v>287</v>
      </c>
      <c r="B600" s="205">
        <v>903</v>
      </c>
      <c r="C600" s="203" t="s">
        <v>283</v>
      </c>
      <c r="D600" s="203" t="s">
        <v>254</v>
      </c>
      <c r="E600" s="203" t="s">
        <v>424</v>
      </c>
      <c r="F600" s="203" t="s">
        <v>288</v>
      </c>
      <c r="G600" s="27">
        <f>G601</f>
        <v>0</v>
      </c>
      <c r="H600" s="27">
        <f t="shared" si="280"/>
        <v>0</v>
      </c>
      <c r="I600" s="22" t="e">
        <f t="shared" si="274"/>
        <v>#DIV/0!</v>
      </c>
      <c r="J600" s="129"/>
    </row>
    <row r="601" spans="1:10" ht="31.5" hidden="1">
      <c r="A601" s="26" t="s">
        <v>289</v>
      </c>
      <c r="B601" s="205">
        <v>903</v>
      </c>
      <c r="C601" s="203" t="s">
        <v>283</v>
      </c>
      <c r="D601" s="203" t="s">
        <v>254</v>
      </c>
      <c r="E601" s="203" t="s">
        <v>424</v>
      </c>
      <c r="F601" s="203" t="s">
        <v>290</v>
      </c>
      <c r="G601" s="27">
        <v>0</v>
      </c>
      <c r="H601" s="27">
        <v>0</v>
      </c>
      <c r="I601" s="22" t="e">
        <f t="shared" si="274"/>
        <v>#DIV/0!</v>
      </c>
      <c r="J601" s="129"/>
    </row>
    <row r="602" spans="1:10" ht="54" customHeight="1" hidden="1">
      <c r="A602" s="26" t="s">
        <v>806</v>
      </c>
      <c r="B602" s="205">
        <v>903</v>
      </c>
      <c r="C602" s="203" t="s">
        <v>283</v>
      </c>
      <c r="D602" s="203" t="s">
        <v>254</v>
      </c>
      <c r="E602" s="203" t="s">
        <v>426</v>
      </c>
      <c r="F602" s="203"/>
      <c r="G602" s="27">
        <f>G603</f>
        <v>0</v>
      </c>
      <c r="H602" s="27">
        <f aca="true" t="shared" si="281" ref="H602">H603</f>
        <v>0</v>
      </c>
      <c r="I602" s="22" t="e">
        <f t="shared" si="274"/>
        <v>#DIV/0!</v>
      </c>
      <c r="J602" s="129"/>
    </row>
    <row r="603" spans="1:10" ht="15.75" hidden="1">
      <c r="A603" s="26" t="s">
        <v>287</v>
      </c>
      <c r="B603" s="205">
        <v>903</v>
      </c>
      <c r="C603" s="203" t="s">
        <v>283</v>
      </c>
      <c r="D603" s="203" t="s">
        <v>254</v>
      </c>
      <c r="E603" s="203" t="s">
        <v>426</v>
      </c>
      <c r="F603" s="203" t="s">
        <v>288</v>
      </c>
      <c r="G603" s="27">
        <f>G604+G605</f>
        <v>0</v>
      </c>
      <c r="H603" s="27">
        <f aca="true" t="shared" si="282" ref="H603">H604+H605</f>
        <v>0</v>
      </c>
      <c r="I603" s="22" t="e">
        <f t="shared" si="274"/>
        <v>#DIV/0!</v>
      </c>
      <c r="J603" s="129"/>
    </row>
    <row r="604" spans="1:10" ht="15.75" hidden="1">
      <c r="A604" s="26" t="s">
        <v>387</v>
      </c>
      <c r="B604" s="205">
        <v>903</v>
      </c>
      <c r="C604" s="203" t="s">
        <v>283</v>
      </c>
      <c r="D604" s="203" t="s">
        <v>254</v>
      </c>
      <c r="E604" s="203" t="s">
        <v>426</v>
      </c>
      <c r="F604" s="203" t="s">
        <v>388</v>
      </c>
      <c r="G604" s="27">
        <f>K604</f>
        <v>0</v>
      </c>
      <c r="H604" s="27">
        <f aca="true" t="shared" si="283" ref="H604">L604</f>
        <v>0</v>
      </c>
      <c r="I604" s="22" t="e">
        <f t="shared" si="274"/>
        <v>#DIV/0!</v>
      </c>
      <c r="J604" s="129"/>
    </row>
    <row r="605" spans="1:10" ht="31.5" hidden="1">
      <c r="A605" s="26" t="s">
        <v>289</v>
      </c>
      <c r="B605" s="205">
        <v>903</v>
      </c>
      <c r="C605" s="203" t="s">
        <v>283</v>
      </c>
      <c r="D605" s="203" t="s">
        <v>254</v>
      </c>
      <c r="E605" s="203" t="s">
        <v>426</v>
      </c>
      <c r="F605" s="203" t="s">
        <v>290</v>
      </c>
      <c r="G605" s="27"/>
      <c r="H605" s="27"/>
      <c r="I605" s="22" t="e">
        <f t="shared" si="274"/>
        <v>#DIV/0!</v>
      </c>
      <c r="J605" s="129"/>
    </row>
    <row r="606" spans="1:10" ht="15.75" hidden="1">
      <c r="A606" s="26" t="s">
        <v>180</v>
      </c>
      <c r="B606" s="205">
        <v>903</v>
      </c>
      <c r="C606" s="203" t="s">
        <v>283</v>
      </c>
      <c r="D606" s="203" t="s">
        <v>254</v>
      </c>
      <c r="E606" s="203" t="s">
        <v>181</v>
      </c>
      <c r="F606" s="203"/>
      <c r="G606" s="27">
        <f>G607</f>
        <v>0</v>
      </c>
      <c r="H606" s="27">
        <f aca="true" t="shared" si="284" ref="H606:H608">H607</f>
        <v>0</v>
      </c>
      <c r="I606" s="22" t="e">
        <f t="shared" si="274"/>
        <v>#DIV/0!</v>
      </c>
      <c r="J606" s="129"/>
    </row>
    <row r="607" spans="1:10" ht="15.75" hidden="1">
      <c r="A607" s="26" t="s">
        <v>240</v>
      </c>
      <c r="B607" s="205">
        <v>903</v>
      </c>
      <c r="C607" s="203" t="s">
        <v>283</v>
      </c>
      <c r="D607" s="203" t="s">
        <v>254</v>
      </c>
      <c r="E607" s="203" t="s">
        <v>241</v>
      </c>
      <c r="F607" s="203"/>
      <c r="G607" s="27">
        <f>G608</f>
        <v>0</v>
      </c>
      <c r="H607" s="27">
        <f t="shared" si="284"/>
        <v>0</v>
      </c>
      <c r="I607" s="22" t="e">
        <f t="shared" si="274"/>
        <v>#DIV/0!</v>
      </c>
      <c r="J607" s="129"/>
    </row>
    <row r="608" spans="1:10" ht="15.75" hidden="1">
      <c r="A608" s="26" t="s">
        <v>287</v>
      </c>
      <c r="B608" s="205">
        <v>903</v>
      </c>
      <c r="C608" s="203" t="s">
        <v>283</v>
      </c>
      <c r="D608" s="203" t="s">
        <v>254</v>
      </c>
      <c r="E608" s="203" t="s">
        <v>241</v>
      </c>
      <c r="F608" s="203" t="s">
        <v>288</v>
      </c>
      <c r="G608" s="27">
        <f>G609</f>
        <v>0</v>
      </c>
      <c r="H608" s="27">
        <f t="shared" si="284"/>
        <v>0</v>
      </c>
      <c r="I608" s="22" t="e">
        <f t="shared" si="274"/>
        <v>#DIV/0!</v>
      </c>
      <c r="J608" s="129"/>
    </row>
    <row r="609" spans="1:10" ht="15.75" hidden="1">
      <c r="A609" s="26" t="s">
        <v>387</v>
      </c>
      <c r="B609" s="205">
        <v>903</v>
      </c>
      <c r="C609" s="203" t="s">
        <v>283</v>
      </c>
      <c r="D609" s="203" t="s">
        <v>254</v>
      </c>
      <c r="E609" s="203" t="s">
        <v>241</v>
      </c>
      <c r="F609" s="203" t="s">
        <v>388</v>
      </c>
      <c r="G609" s="27">
        <v>0</v>
      </c>
      <c r="H609" s="27">
        <v>0</v>
      </c>
      <c r="I609" s="22" t="e">
        <f t="shared" si="274"/>
        <v>#DIV/0!</v>
      </c>
      <c r="J609" s="129"/>
    </row>
    <row r="610" spans="1:10" ht="31.5">
      <c r="A610" s="20" t="s">
        <v>427</v>
      </c>
      <c r="B610" s="202">
        <v>905</v>
      </c>
      <c r="C610" s="203"/>
      <c r="D610" s="203"/>
      <c r="E610" s="203"/>
      <c r="F610" s="203"/>
      <c r="G610" s="22">
        <f>G611+G642+G657</f>
        <v>22435</v>
      </c>
      <c r="H610" s="22">
        <f aca="true" t="shared" si="285" ref="H610">H611+H642+H657</f>
        <v>10726.600000000002</v>
      </c>
      <c r="I610" s="22">
        <f t="shared" si="274"/>
        <v>47.81190104747048</v>
      </c>
      <c r="J610" s="129"/>
    </row>
    <row r="611" spans="1:10" ht="15.75">
      <c r="A611" s="24" t="s">
        <v>156</v>
      </c>
      <c r="B611" s="202">
        <v>905</v>
      </c>
      <c r="C611" s="204" t="s">
        <v>157</v>
      </c>
      <c r="D611" s="203"/>
      <c r="E611" s="203"/>
      <c r="F611" s="203"/>
      <c r="G611" s="22">
        <f>G612+G622</f>
        <v>21890.3</v>
      </c>
      <c r="H611" s="22">
        <f aca="true" t="shared" si="286" ref="H611">H612+H622</f>
        <v>10368.400000000001</v>
      </c>
      <c r="I611" s="22">
        <f t="shared" si="274"/>
        <v>47.36527137590623</v>
      </c>
      <c r="J611" s="129"/>
    </row>
    <row r="612" spans="1:10" ht="54.75" customHeight="1">
      <c r="A612" s="24" t="s">
        <v>188</v>
      </c>
      <c r="B612" s="202">
        <v>905</v>
      </c>
      <c r="C612" s="204" t="s">
        <v>157</v>
      </c>
      <c r="D612" s="204" t="s">
        <v>189</v>
      </c>
      <c r="E612" s="204"/>
      <c r="F612" s="204"/>
      <c r="G612" s="22">
        <f>G613</f>
        <v>11414.099999999999</v>
      </c>
      <c r="H612" s="22">
        <f aca="true" t="shared" si="287" ref="H612:H614">H613</f>
        <v>8221.300000000001</v>
      </c>
      <c r="I612" s="22">
        <f t="shared" si="274"/>
        <v>72.02757992307761</v>
      </c>
      <c r="J612" s="129"/>
    </row>
    <row r="613" spans="1:10" ht="15.75">
      <c r="A613" s="26" t="s">
        <v>160</v>
      </c>
      <c r="B613" s="205">
        <v>905</v>
      </c>
      <c r="C613" s="203" t="s">
        <v>157</v>
      </c>
      <c r="D613" s="203" t="s">
        <v>189</v>
      </c>
      <c r="E613" s="203" t="s">
        <v>161</v>
      </c>
      <c r="F613" s="203"/>
      <c r="G613" s="27">
        <f>G614</f>
        <v>11414.099999999999</v>
      </c>
      <c r="H613" s="27">
        <f t="shared" si="287"/>
        <v>8221.300000000001</v>
      </c>
      <c r="I613" s="27">
        <f t="shared" si="274"/>
        <v>72.02757992307761</v>
      </c>
      <c r="J613" s="129"/>
    </row>
    <row r="614" spans="1:10" ht="31.5">
      <c r="A614" s="26" t="s">
        <v>162</v>
      </c>
      <c r="B614" s="205">
        <v>905</v>
      </c>
      <c r="C614" s="203" t="s">
        <v>157</v>
      </c>
      <c r="D614" s="203" t="s">
        <v>189</v>
      </c>
      <c r="E614" s="203" t="s">
        <v>163</v>
      </c>
      <c r="F614" s="203"/>
      <c r="G614" s="27">
        <f>G615</f>
        <v>11414.099999999999</v>
      </c>
      <c r="H614" s="27">
        <f t="shared" si="287"/>
        <v>8221.300000000001</v>
      </c>
      <c r="I614" s="27">
        <f t="shared" si="274"/>
        <v>72.02757992307761</v>
      </c>
      <c r="J614" s="129"/>
    </row>
    <row r="615" spans="1:10" ht="31.5">
      <c r="A615" s="26" t="s">
        <v>164</v>
      </c>
      <c r="B615" s="205">
        <v>905</v>
      </c>
      <c r="C615" s="203" t="s">
        <v>157</v>
      </c>
      <c r="D615" s="203" t="s">
        <v>189</v>
      </c>
      <c r="E615" s="203" t="s">
        <v>165</v>
      </c>
      <c r="F615" s="203"/>
      <c r="G615" s="27">
        <f>G616+G618+G620</f>
        <v>11414.099999999999</v>
      </c>
      <c r="H615" s="27">
        <f aca="true" t="shared" si="288" ref="H615">H616+H618+H620</f>
        <v>8221.300000000001</v>
      </c>
      <c r="I615" s="27">
        <f t="shared" si="274"/>
        <v>72.02757992307761</v>
      </c>
      <c r="J615" s="129"/>
    </row>
    <row r="616" spans="1:10" ht="63">
      <c r="A616" s="26" t="s">
        <v>166</v>
      </c>
      <c r="B616" s="205">
        <v>905</v>
      </c>
      <c r="C616" s="203" t="s">
        <v>157</v>
      </c>
      <c r="D616" s="203" t="s">
        <v>189</v>
      </c>
      <c r="E616" s="203" t="s">
        <v>165</v>
      </c>
      <c r="F616" s="203" t="s">
        <v>167</v>
      </c>
      <c r="G616" s="27">
        <f>G617</f>
        <v>10618.8</v>
      </c>
      <c r="H616" s="27">
        <f aca="true" t="shared" si="289" ref="H616">H617</f>
        <v>7825.6</v>
      </c>
      <c r="I616" s="27">
        <f t="shared" si="274"/>
        <v>73.69570949636494</v>
      </c>
      <c r="J616" s="129"/>
    </row>
    <row r="617" spans="1:10" ht="31.5">
      <c r="A617" s="26" t="s">
        <v>168</v>
      </c>
      <c r="B617" s="205">
        <v>905</v>
      </c>
      <c r="C617" s="203" t="s">
        <v>157</v>
      </c>
      <c r="D617" s="203" t="s">
        <v>189</v>
      </c>
      <c r="E617" s="203" t="s">
        <v>165</v>
      </c>
      <c r="F617" s="203" t="s">
        <v>169</v>
      </c>
      <c r="G617" s="28">
        <f>10286.1-1052.7+1385.4</f>
        <v>10618.8</v>
      </c>
      <c r="H617" s="28">
        <v>7825.6</v>
      </c>
      <c r="I617" s="27">
        <f t="shared" si="274"/>
        <v>73.69570949636494</v>
      </c>
      <c r="J617" s="129"/>
    </row>
    <row r="618" spans="1:10" ht="31.5">
      <c r="A618" s="26" t="s">
        <v>170</v>
      </c>
      <c r="B618" s="205">
        <v>905</v>
      </c>
      <c r="C618" s="203" t="s">
        <v>157</v>
      </c>
      <c r="D618" s="203" t="s">
        <v>189</v>
      </c>
      <c r="E618" s="203" t="s">
        <v>165</v>
      </c>
      <c r="F618" s="203" t="s">
        <v>171</v>
      </c>
      <c r="G618" s="27">
        <f>G619</f>
        <v>664</v>
      </c>
      <c r="H618" s="27">
        <f aca="true" t="shared" si="290" ref="H618">H619</f>
        <v>322</v>
      </c>
      <c r="I618" s="27">
        <f t="shared" si="274"/>
        <v>48.493975903614455</v>
      </c>
      <c r="J618" s="289"/>
    </row>
    <row r="619" spans="1:10" ht="31.5">
      <c r="A619" s="26" t="s">
        <v>172</v>
      </c>
      <c r="B619" s="205">
        <v>905</v>
      </c>
      <c r="C619" s="203" t="s">
        <v>157</v>
      </c>
      <c r="D619" s="203" t="s">
        <v>189</v>
      </c>
      <c r="E619" s="203" t="s">
        <v>165</v>
      </c>
      <c r="F619" s="203" t="s">
        <v>173</v>
      </c>
      <c r="G619" s="28">
        <f>664</f>
        <v>664</v>
      </c>
      <c r="H619" s="28">
        <v>322</v>
      </c>
      <c r="I619" s="27">
        <f t="shared" si="274"/>
        <v>48.493975903614455</v>
      </c>
      <c r="J619" s="129"/>
    </row>
    <row r="620" spans="1:10" ht="15.75">
      <c r="A620" s="26" t="s">
        <v>174</v>
      </c>
      <c r="B620" s="205">
        <v>905</v>
      </c>
      <c r="C620" s="203" t="s">
        <v>157</v>
      </c>
      <c r="D620" s="203" t="s">
        <v>189</v>
      </c>
      <c r="E620" s="203" t="s">
        <v>165</v>
      </c>
      <c r="F620" s="203" t="s">
        <v>184</v>
      </c>
      <c r="G620" s="27">
        <f>G621</f>
        <v>131.3</v>
      </c>
      <c r="H620" s="27">
        <f aca="true" t="shared" si="291" ref="H620">H621</f>
        <v>73.7</v>
      </c>
      <c r="I620" s="27">
        <f t="shared" si="274"/>
        <v>56.13099771515613</v>
      </c>
      <c r="J620" s="129"/>
    </row>
    <row r="621" spans="1:10" ht="15.75">
      <c r="A621" s="26" t="s">
        <v>608</v>
      </c>
      <c r="B621" s="205">
        <v>905</v>
      </c>
      <c r="C621" s="203" t="s">
        <v>157</v>
      </c>
      <c r="D621" s="203" t="s">
        <v>189</v>
      </c>
      <c r="E621" s="203" t="s">
        <v>165</v>
      </c>
      <c r="F621" s="203" t="s">
        <v>177</v>
      </c>
      <c r="G621" s="27">
        <f>8.8+7.5+20+30+65</f>
        <v>131.3</v>
      </c>
      <c r="H621" s="27">
        <v>73.7</v>
      </c>
      <c r="I621" s="27">
        <f t="shared" si="274"/>
        <v>56.13099771515613</v>
      </c>
      <c r="J621" s="129"/>
    </row>
    <row r="622" spans="1:10" ht="15.75">
      <c r="A622" s="24" t="s">
        <v>178</v>
      </c>
      <c r="B622" s="202">
        <v>905</v>
      </c>
      <c r="C622" s="204" t="s">
        <v>157</v>
      </c>
      <c r="D622" s="204" t="s">
        <v>179</v>
      </c>
      <c r="E622" s="204"/>
      <c r="F622" s="204"/>
      <c r="G622" s="22">
        <f>G627+G623</f>
        <v>10476.2</v>
      </c>
      <c r="H622" s="22">
        <f aca="true" t="shared" si="292" ref="H622">H627+H623</f>
        <v>2147.1</v>
      </c>
      <c r="I622" s="22">
        <f t="shared" si="274"/>
        <v>20.495026822702886</v>
      </c>
      <c r="J622" s="129"/>
    </row>
    <row r="623" spans="1:10" s="132" customFormat="1" ht="56.25" customHeight="1">
      <c r="A623" s="26" t="s">
        <v>917</v>
      </c>
      <c r="B623" s="205">
        <v>905</v>
      </c>
      <c r="C623" s="203" t="s">
        <v>157</v>
      </c>
      <c r="D623" s="203" t="s">
        <v>179</v>
      </c>
      <c r="E623" s="203" t="s">
        <v>921</v>
      </c>
      <c r="F623" s="203"/>
      <c r="G623" s="27">
        <f>G624</f>
        <v>4932.3</v>
      </c>
      <c r="H623" s="27">
        <f aca="true" t="shared" si="293" ref="H623:H625">H624</f>
        <v>0</v>
      </c>
      <c r="I623" s="27">
        <f t="shared" si="274"/>
        <v>0</v>
      </c>
      <c r="J623" s="148"/>
    </row>
    <row r="624" spans="1:10" s="132" customFormat="1" ht="31.5">
      <c r="A624" s="26" t="s">
        <v>947</v>
      </c>
      <c r="B624" s="205">
        <v>905</v>
      </c>
      <c r="C624" s="203" t="s">
        <v>157</v>
      </c>
      <c r="D624" s="203" t="s">
        <v>179</v>
      </c>
      <c r="E624" s="203" t="s">
        <v>1046</v>
      </c>
      <c r="F624" s="203"/>
      <c r="G624" s="27">
        <f>G625</f>
        <v>4932.3</v>
      </c>
      <c r="H624" s="27">
        <f t="shared" si="293"/>
        <v>0</v>
      </c>
      <c r="I624" s="27">
        <f t="shared" si="274"/>
        <v>0</v>
      </c>
      <c r="J624" s="148"/>
    </row>
    <row r="625" spans="1:10" s="132" customFormat="1" ht="31.5">
      <c r="A625" s="26" t="s">
        <v>170</v>
      </c>
      <c r="B625" s="205">
        <v>905</v>
      </c>
      <c r="C625" s="203" t="s">
        <v>157</v>
      </c>
      <c r="D625" s="203" t="s">
        <v>179</v>
      </c>
      <c r="E625" s="203" t="s">
        <v>1046</v>
      </c>
      <c r="F625" s="203" t="s">
        <v>171</v>
      </c>
      <c r="G625" s="27">
        <f>G626</f>
        <v>4932.3</v>
      </c>
      <c r="H625" s="27">
        <f t="shared" si="293"/>
        <v>0</v>
      </c>
      <c r="I625" s="27">
        <f t="shared" si="274"/>
        <v>0</v>
      </c>
      <c r="J625" s="148"/>
    </row>
    <row r="626" spans="1:10" s="132" customFormat="1" ht="31.5">
      <c r="A626" s="26" t="s">
        <v>172</v>
      </c>
      <c r="B626" s="205">
        <v>905</v>
      </c>
      <c r="C626" s="203" t="s">
        <v>157</v>
      </c>
      <c r="D626" s="203" t="s">
        <v>179</v>
      </c>
      <c r="E626" s="203" t="s">
        <v>1046</v>
      </c>
      <c r="F626" s="203" t="s">
        <v>173</v>
      </c>
      <c r="G626" s="27">
        <f>448.5+4483.8</f>
        <v>4932.3</v>
      </c>
      <c r="H626" s="27">
        <v>0</v>
      </c>
      <c r="I626" s="27">
        <f t="shared" si="274"/>
        <v>0</v>
      </c>
      <c r="J626" s="148"/>
    </row>
    <row r="627" spans="1:10" ht="15.75">
      <c r="A627" s="26" t="s">
        <v>160</v>
      </c>
      <c r="B627" s="205">
        <v>905</v>
      </c>
      <c r="C627" s="203" t="s">
        <v>157</v>
      </c>
      <c r="D627" s="203" t="s">
        <v>179</v>
      </c>
      <c r="E627" s="203" t="s">
        <v>161</v>
      </c>
      <c r="F627" s="203"/>
      <c r="G627" s="27">
        <f>G632+G628</f>
        <v>5543.9</v>
      </c>
      <c r="H627" s="27">
        <f aca="true" t="shared" si="294" ref="H627">H632+H628</f>
        <v>2147.1</v>
      </c>
      <c r="I627" s="27">
        <f t="shared" si="274"/>
        <v>38.72905355435704</v>
      </c>
      <c r="J627" s="129"/>
    </row>
    <row r="628" spans="1:10" ht="15.75" hidden="1">
      <c r="A628" s="26" t="s">
        <v>224</v>
      </c>
      <c r="B628" s="205">
        <v>905</v>
      </c>
      <c r="C628" s="203" t="s">
        <v>157</v>
      </c>
      <c r="D628" s="203" t="s">
        <v>179</v>
      </c>
      <c r="E628" s="203" t="s">
        <v>225</v>
      </c>
      <c r="F628" s="203"/>
      <c r="G628" s="27">
        <f>G629</f>
        <v>0</v>
      </c>
      <c r="H628" s="27">
        <f aca="true" t="shared" si="295" ref="H628:H630">H629</f>
        <v>0</v>
      </c>
      <c r="I628" s="27" t="e">
        <f t="shared" si="274"/>
        <v>#DIV/0!</v>
      </c>
      <c r="J628" s="129"/>
    </row>
    <row r="629" spans="1:10" ht="31.5" hidden="1">
      <c r="A629" s="26" t="s">
        <v>947</v>
      </c>
      <c r="B629" s="205">
        <v>905</v>
      </c>
      <c r="C629" s="203" t="s">
        <v>157</v>
      </c>
      <c r="D629" s="203" t="s">
        <v>179</v>
      </c>
      <c r="E629" s="203" t="s">
        <v>948</v>
      </c>
      <c r="F629" s="203"/>
      <c r="G629" s="27">
        <f>G630</f>
        <v>0</v>
      </c>
      <c r="H629" s="27">
        <f t="shared" si="295"/>
        <v>0</v>
      </c>
      <c r="I629" s="27" t="e">
        <f t="shared" si="274"/>
        <v>#DIV/0!</v>
      </c>
      <c r="J629" s="129"/>
    </row>
    <row r="630" spans="1:10" ht="31.5" hidden="1">
      <c r="A630" s="26" t="s">
        <v>170</v>
      </c>
      <c r="B630" s="205">
        <v>905</v>
      </c>
      <c r="C630" s="203" t="s">
        <v>157</v>
      </c>
      <c r="D630" s="203" t="s">
        <v>179</v>
      </c>
      <c r="E630" s="203" t="s">
        <v>948</v>
      </c>
      <c r="F630" s="203" t="s">
        <v>171</v>
      </c>
      <c r="G630" s="27">
        <f>G631</f>
        <v>0</v>
      </c>
      <c r="H630" s="27">
        <f t="shared" si="295"/>
        <v>0</v>
      </c>
      <c r="I630" s="27" t="e">
        <f t="shared" si="274"/>
        <v>#DIV/0!</v>
      </c>
      <c r="J630" s="129"/>
    </row>
    <row r="631" spans="1:10" ht="31.5" hidden="1">
      <c r="A631" s="26" t="s">
        <v>172</v>
      </c>
      <c r="B631" s="205">
        <v>905</v>
      </c>
      <c r="C631" s="203" t="s">
        <v>157</v>
      </c>
      <c r="D631" s="203" t="s">
        <v>179</v>
      </c>
      <c r="E631" s="203" t="s">
        <v>948</v>
      </c>
      <c r="F631" s="203" t="s">
        <v>173</v>
      </c>
      <c r="G631" s="27">
        <v>0</v>
      </c>
      <c r="H631" s="27">
        <v>0</v>
      </c>
      <c r="I631" s="27" t="e">
        <f t="shared" si="274"/>
        <v>#DIV/0!</v>
      </c>
      <c r="J631" s="129"/>
    </row>
    <row r="632" spans="1:10" ht="15.75">
      <c r="A632" s="26" t="s">
        <v>180</v>
      </c>
      <c r="B632" s="205">
        <v>905</v>
      </c>
      <c r="C632" s="203" t="s">
        <v>157</v>
      </c>
      <c r="D632" s="203" t="s">
        <v>179</v>
      </c>
      <c r="E632" s="203" t="s">
        <v>181</v>
      </c>
      <c r="F632" s="203"/>
      <c r="G632" s="27">
        <f>G633+G636+G639</f>
        <v>5543.9</v>
      </c>
      <c r="H632" s="27">
        <f aca="true" t="shared" si="296" ref="H632">H633+H636+H639</f>
        <v>2147.1</v>
      </c>
      <c r="I632" s="27">
        <f t="shared" si="274"/>
        <v>38.72905355435704</v>
      </c>
      <c r="J632" s="129"/>
    </row>
    <row r="633" spans="1:10" ht="47.25">
      <c r="A633" s="26" t="s">
        <v>428</v>
      </c>
      <c r="B633" s="205">
        <v>905</v>
      </c>
      <c r="C633" s="203" t="s">
        <v>157</v>
      </c>
      <c r="D633" s="203" t="s">
        <v>179</v>
      </c>
      <c r="E633" s="203" t="s">
        <v>429</v>
      </c>
      <c r="F633" s="203"/>
      <c r="G633" s="27">
        <f>G634</f>
        <v>5088.799999999999</v>
      </c>
      <c r="H633" s="27">
        <f aca="true" t="shared" si="297" ref="H633:H634">H634</f>
        <v>1693.1</v>
      </c>
      <c r="I633" s="27">
        <f t="shared" si="274"/>
        <v>33.27110517214275</v>
      </c>
      <c r="J633" s="129"/>
    </row>
    <row r="634" spans="1:10" ht="31.5">
      <c r="A634" s="26" t="s">
        <v>170</v>
      </c>
      <c r="B634" s="205">
        <v>905</v>
      </c>
      <c r="C634" s="203" t="s">
        <v>157</v>
      </c>
      <c r="D634" s="203" t="s">
        <v>179</v>
      </c>
      <c r="E634" s="203" t="s">
        <v>429</v>
      </c>
      <c r="F634" s="203" t="s">
        <v>171</v>
      </c>
      <c r="G634" s="27">
        <f>G635</f>
        <v>5088.799999999999</v>
      </c>
      <c r="H634" s="27">
        <f t="shared" si="297"/>
        <v>1693.1</v>
      </c>
      <c r="I634" s="27">
        <f t="shared" si="274"/>
        <v>33.27110517214275</v>
      </c>
      <c r="J634" s="129"/>
    </row>
    <row r="635" spans="1:10" ht="31.5">
      <c r="A635" s="26" t="s">
        <v>172</v>
      </c>
      <c r="B635" s="205">
        <v>905</v>
      </c>
      <c r="C635" s="203" t="s">
        <v>157</v>
      </c>
      <c r="D635" s="203" t="s">
        <v>179</v>
      </c>
      <c r="E635" s="203" t="s">
        <v>429</v>
      </c>
      <c r="F635" s="203" t="s">
        <v>173</v>
      </c>
      <c r="G635" s="27">
        <f>3123.5+1000+1427.4-355-7.1-100</f>
        <v>5088.799999999999</v>
      </c>
      <c r="H635" s="27">
        <v>1693.1</v>
      </c>
      <c r="I635" s="27">
        <f t="shared" si="274"/>
        <v>33.27110517214275</v>
      </c>
      <c r="J635" s="129"/>
    </row>
    <row r="636" spans="1:10" ht="15.75">
      <c r="A636" s="26" t="s">
        <v>182</v>
      </c>
      <c r="B636" s="205">
        <v>905</v>
      </c>
      <c r="C636" s="203" t="s">
        <v>157</v>
      </c>
      <c r="D636" s="203" t="s">
        <v>179</v>
      </c>
      <c r="E636" s="203" t="s">
        <v>183</v>
      </c>
      <c r="F636" s="203"/>
      <c r="G636" s="27">
        <f>G637</f>
        <v>355.1</v>
      </c>
      <c r="H636" s="27">
        <f aca="true" t="shared" si="298" ref="H636:H637">H637</f>
        <v>355</v>
      </c>
      <c r="I636" s="27">
        <f t="shared" si="274"/>
        <v>99.97183891861447</v>
      </c>
      <c r="J636" s="129"/>
    </row>
    <row r="637" spans="1:10" ht="15.75">
      <c r="A637" s="26" t="s">
        <v>174</v>
      </c>
      <c r="B637" s="205">
        <v>905</v>
      </c>
      <c r="C637" s="203" t="s">
        <v>157</v>
      </c>
      <c r="D637" s="203" t="s">
        <v>179</v>
      </c>
      <c r="E637" s="203" t="s">
        <v>183</v>
      </c>
      <c r="F637" s="203" t="s">
        <v>184</v>
      </c>
      <c r="G637" s="27">
        <f>G638</f>
        <v>355.1</v>
      </c>
      <c r="H637" s="27">
        <f t="shared" si="298"/>
        <v>355</v>
      </c>
      <c r="I637" s="27">
        <f t="shared" si="274"/>
        <v>99.97183891861447</v>
      </c>
      <c r="J637" s="129"/>
    </row>
    <row r="638" spans="1:10" ht="15.75">
      <c r="A638" s="26" t="s">
        <v>185</v>
      </c>
      <c r="B638" s="205">
        <v>905</v>
      </c>
      <c r="C638" s="203" t="s">
        <v>157</v>
      </c>
      <c r="D638" s="203" t="s">
        <v>179</v>
      </c>
      <c r="E638" s="203" t="s">
        <v>183</v>
      </c>
      <c r="F638" s="203" t="s">
        <v>186</v>
      </c>
      <c r="G638" s="27">
        <f>348+7.1</f>
        <v>355.1</v>
      </c>
      <c r="H638" s="27">
        <v>355</v>
      </c>
      <c r="I638" s="27">
        <f t="shared" si="274"/>
        <v>99.97183891861447</v>
      </c>
      <c r="J638" s="129"/>
    </row>
    <row r="639" spans="1:10" s="300" customFormat="1" ht="31.5">
      <c r="A639" s="288" t="s">
        <v>1069</v>
      </c>
      <c r="B639" s="308">
        <v>905</v>
      </c>
      <c r="C639" s="309" t="s">
        <v>157</v>
      </c>
      <c r="D639" s="309" t="s">
        <v>179</v>
      </c>
      <c r="E639" s="203" t="s">
        <v>1070</v>
      </c>
      <c r="F639" s="203"/>
      <c r="G639" s="27">
        <f>G640</f>
        <v>100</v>
      </c>
      <c r="H639" s="27">
        <f aca="true" t="shared" si="299" ref="H639:H640">H640</f>
        <v>99</v>
      </c>
      <c r="I639" s="27">
        <f t="shared" si="274"/>
        <v>99</v>
      </c>
      <c r="J639" s="129"/>
    </row>
    <row r="640" spans="1:10" s="300" customFormat="1" ht="31.5">
      <c r="A640" s="288" t="s">
        <v>170</v>
      </c>
      <c r="B640" s="308">
        <v>905</v>
      </c>
      <c r="C640" s="309" t="s">
        <v>157</v>
      </c>
      <c r="D640" s="309" t="s">
        <v>179</v>
      </c>
      <c r="E640" s="203" t="s">
        <v>1070</v>
      </c>
      <c r="F640" s="203" t="s">
        <v>171</v>
      </c>
      <c r="G640" s="27">
        <f>G641</f>
        <v>100</v>
      </c>
      <c r="H640" s="27">
        <f t="shared" si="299"/>
        <v>99</v>
      </c>
      <c r="I640" s="27">
        <f t="shared" si="274"/>
        <v>99</v>
      </c>
      <c r="J640" s="129"/>
    </row>
    <row r="641" spans="1:10" s="300" customFormat="1" ht="31.5">
      <c r="A641" s="26" t="s">
        <v>172</v>
      </c>
      <c r="B641" s="205">
        <v>905</v>
      </c>
      <c r="C641" s="203" t="s">
        <v>157</v>
      </c>
      <c r="D641" s="203" t="s">
        <v>179</v>
      </c>
      <c r="E641" s="203" t="s">
        <v>1070</v>
      </c>
      <c r="F641" s="203" t="s">
        <v>173</v>
      </c>
      <c r="G641" s="27">
        <v>100</v>
      </c>
      <c r="H641" s="27">
        <v>99</v>
      </c>
      <c r="I641" s="27">
        <f t="shared" si="274"/>
        <v>99</v>
      </c>
      <c r="J641" s="129"/>
    </row>
    <row r="642" spans="1:10" ht="15.75">
      <c r="A642" s="43" t="s">
        <v>430</v>
      </c>
      <c r="B642" s="202">
        <v>905</v>
      </c>
      <c r="C642" s="204" t="s">
        <v>273</v>
      </c>
      <c r="D642" s="204"/>
      <c r="E642" s="204"/>
      <c r="F642" s="204"/>
      <c r="G642" s="22">
        <f>G643</f>
        <v>544.7</v>
      </c>
      <c r="H642" s="22">
        <f aca="true" t="shared" si="300" ref="H642:H643">H643</f>
        <v>358.2</v>
      </c>
      <c r="I642" s="22">
        <f t="shared" si="274"/>
        <v>65.7609693409216</v>
      </c>
      <c r="J642" s="129"/>
    </row>
    <row r="643" spans="1:10" ht="15.75">
      <c r="A643" s="43" t="s">
        <v>431</v>
      </c>
      <c r="B643" s="202">
        <v>905</v>
      </c>
      <c r="C643" s="204" t="s">
        <v>273</v>
      </c>
      <c r="D643" s="204" t="s">
        <v>157</v>
      </c>
      <c r="E643" s="204"/>
      <c r="F643" s="204"/>
      <c r="G643" s="22">
        <f>G644</f>
        <v>544.7</v>
      </c>
      <c r="H643" s="22">
        <f t="shared" si="300"/>
        <v>358.2</v>
      </c>
      <c r="I643" s="22">
        <f t="shared" si="274"/>
        <v>65.7609693409216</v>
      </c>
      <c r="J643" s="129"/>
    </row>
    <row r="644" spans="1:10" ht="15.75">
      <c r="A644" s="31" t="s">
        <v>160</v>
      </c>
      <c r="B644" s="205">
        <v>905</v>
      </c>
      <c r="C644" s="203" t="s">
        <v>273</v>
      </c>
      <c r="D644" s="203" t="s">
        <v>157</v>
      </c>
      <c r="E644" s="203" t="s">
        <v>161</v>
      </c>
      <c r="F644" s="203"/>
      <c r="G644" s="27">
        <f>G650+G645</f>
        <v>544.7</v>
      </c>
      <c r="H644" s="27">
        <f aca="true" t="shared" si="301" ref="H644">H650+H645</f>
        <v>358.2</v>
      </c>
      <c r="I644" s="27">
        <f t="shared" si="274"/>
        <v>65.7609693409216</v>
      </c>
      <c r="J644" s="129"/>
    </row>
    <row r="645" spans="1:10" ht="31.5" customHeight="1" hidden="1">
      <c r="A645" s="26" t="s">
        <v>224</v>
      </c>
      <c r="B645" s="211">
        <v>905</v>
      </c>
      <c r="C645" s="203" t="s">
        <v>273</v>
      </c>
      <c r="D645" s="203" t="s">
        <v>157</v>
      </c>
      <c r="E645" s="203" t="s">
        <v>225</v>
      </c>
      <c r="F645" s="203"/>
      <c r="G645" s="27">
        <f>G646</f>
        <v>0</v>
      </c>
      <c r="H645" s="27">
        <f aca="true" t="shared" si="302" ref="H645:H648">H646</f>
        <v>0</v>
      </c>
      <c r="I645" s="27" t="e">
        <f t="shared" si="274"/>
        <v>#DIV/0!</v>
      </c>
      <c r="J645" s="129"/>
    </row>
    <row r="646" spans="1:10" ht="47.25" customHeight="1" hidden="1">
      <c r="A646" s="38" t="s">
        <v>432</v>
      </c>
      <c r="B646" s="211">
        <v>905</v>
      </c>
      <c r="C646" s="203" t="s">
        <v>273</v>
      </c>
      <c r="D646" s="203" t="s">
        <v>157</v>
      </c>
      <c r="E646" s="203" t="s">
        <v>433</v>
      </c>
      <c r="F646" s="203"/>
      <c r="G646" s="27">
        <f>G647</f>
        <v>0</v>
      </c>
      <c r="H646" s="27">
        <f t="shared" si="302"/>
        <v>0</v>
      </c>
      <c r="I646" s="27" t="e">
        <f t="shared" si="274"/>
        <v>#DIV/0!</v>
      </c>
      <c r="J646" s="129"/>
    </row>
    <row r="647" spans="1:10" ht="31.5" customHeight="1" hidden="1">
      <c r="A647" s="44" t="s">
        <v>434</v>
      </c>
      <c r="B647" s="211">
        <v>905</v>
      </c>
      <c r="C647" s="203" t="s">
        <v>273</v>
      </c>
      <c r="D647" s="203" t="s">
        <v>157</v>
      </c>
      <c r="E647" s="203" t="s">
        <v>435</v>
      </c>
      <c r="F647" s="203"/>
      <c r="G647" s="27">
        <f>G648</f>
        <v>0</v>
      </c>
      <c r="H647" s="27">
        <f t="shared" si="302"/>
        <v>0</v>
      </c>
      <c r="I647" s="27" t="e">
        <f t="shared" si="274"/>
        <v>#DIV/0!</v>
      </c>
      <c r="J647" s="129"/>
    </row>
    <row r="648" spans="1:10" ht="31.5" customHeight="1" hidden="1">
      <c r="A648" s="26" t="s">
        <v>170</v>
      </c>
      <c r="B648" s="205">
        <v>905</v>
      </c>
      <c r="C648" s="203" t="s">
        <v>273</v>
      </c>
      <c r="D648" s="203" t="s">
        <v>157</v>
      </c>
      <c r="E648" s="203" t="s">
        <v>435</v>
      </c>
      <c r="F648" s="203" t="s">
        <v>171</v>
      </c>
      <c r="G648" s="27">
        <f>G649</f>
        <v>0</v>
      </c>
      <c r="H648" s="27">
        <f t="shared" si="302"/>
        <v>0</v>
      </c>
      <c r="I648" s="27" t="e">
        <f t="shared" si="274"/>
        <v>#DIV/0!</v>
      </c>
      <c r="J648" s="129"/>
    </row>
    <row r="649" spans="1:10" ht="47.25" customHeight="1" hidden="1">
      <c r="A649" s="26" t="s">
        <v>172</v>
      </c>
      <c r="B649" s="205">
        <v>905</v>
      </c>
      <c r="C649" s="203" t="s">
        <v>273</v>
      </c>
      <c r="D649" s="203" t="s">
        <v>157</v>
      </c>
      <c r="E649" s="203" t="s">
        <v>435</v>
      </c>
      <c r="F649" s="203" t="s">
        <v>173</v>
      </c>
      <c r="G649" s="27"/>
      <c r="H649" s="27"/>
      <c r="I649" s="27" t="e">
        <f t="shared" si="274"/>
        <v>#DIV/0!</v>
      </c>
      <c r="J649" s="129"/>
    </row>
    <row r="650" spans="1:10" ht="15.75">
      <c r="A650" s="31" t="s">
        <v>180</v>
      </c>
      <c r="B650" s="205">
        <v>905</v>
      </c>
      <c r="C650" s="203" t="s">
        <v>273</v>
      </c>
      <c r="D650" s="203" t="s">
        <v>157</v>
      </c>
      <c r="E650" s="203" t="s">
        <v>181</v>
      </c>
      <c r="F650" s="203"/>
      <c r="G650" s="27">
        <f>G651+G654</f>
        <v>544.7</v>
      </c>
      <c r="H650" s="27">
        <f aca="true" t="shared" si="303" ref="H650">H651+H654</f>
        <v>358.2</v>
      </c>
      <c r="I650" s="27">
        <f t="shared" si="274"/>
        <v>65.7609693409216</v>
      </c>
      <c r="J650" s="129"/>
    </row>
    <row r="651" spans="1:10" ht="31.5">
      <c r="A651" s="31" t="s">
        <v>438</v>
      </c>
      <c r="B651" s="205">
        <v>905</v>
      </c>
      <c r="C651" s="203" t="s">
        <v>273</v>
      </c>
      <c r="D651" s="203" t="s">
        <v>157</v>
      </c>
      <c r="E651" s="203" t="s">
        <v>439</v>
      </c>
      <c r="F651" s="203"/>
      <c r="G651" s="27">
        <f>G652</f>
        <v>270.2</v>
      </c>
      <c r="H651" s="27">
        <f aca="true" t="shared" si="304" ref="H651:H652">H652</f>
        <v>217.2</v>
      </c>
      <c r="I651" s="27">
        <f aca="true" t="shared" si="305" ref="I651:I714">H651/G651*100</f>
        <v>80.38490007401924</v>
      </c>
      <c r="J651" s="129"/>
    </row>
    <row r="652" spans="1:10" ht="31.5">
      <c r="A652" s="26" t="s">
        <v>170</v>
      </c>
      <c r="B652" s="205">
        <v>905</v>
      </c>
      <c r="C652" s="203" t="s">
        <v>273</v>
      </c>
      <c r="D652" s="203" t="s">
        <v>157</v>
      </c>
      <c r="E652" s="203" t="s">
        <v>439</v>
      </c>
      <c r="F652" s="203" t="s">
        <v>171</v>
      </c>
      <c r="G652" s="27">
        <f>G653</f>
        <v>270.2</v>
      </c>
      <c r="H652" s="27">
        <f t="shared" si="304"/>
        <v>217.2</v>
      </c>
      <c r="I652" s="27">
        <f t="shared" si="305"/>
        <v>80.38490007401924</v>
      </c>
      <c r="J652" s="129"/>
    </row>
    <row r="653" spans="1:10" ht="31.5">
      <c r="A653" s="26" t="s">
        <v>172</v>
      </c>
      <c r="B653" s="205">
        <v>905</v>
      </c>
      <c r="C653" s="203" t="s">
        <v>273</v>
      </c>
      <c r="D653" s="203" t="s">
        <v>157</v>
      </c>
      <c r="E653" s="203" t="s">
        <v>439</v>
      </c>
      <c r="F653" s="203" t="s">
        <v>173</v>
      </c>
      <c r="G653" s="27">
        <f>263.2+7</f>
        <v>270.2</v>
      </c>
      <c r="H653" s="27">
        <v>217.2</v>
      </c>
      <c r="I653" s="27">
        <f t="shared" si="305"/>
        <v>80.38490007401924</v>
      </c>
      <c r="J653" s="129"/>
    </row>
    <row r="654" spans="1:10" ht="15.75">
      <c r="A654" s="31" t="s">
        <v>579</v>
      </c>
      <c r="B654" s="205">
        <v>905</v>
      </c>
      <c r="C654" s="203" t="s">
        <v>273</v>
      </c>
      <c r="D654" s="203" t="s">
        <v>157</v>
      </c>
      <c r="E654" s="203" t="s">
        <v>580</v>
      </c>
      <c r="F654" s="203"/>
      <c r="G654" s="27">
        <f>G655</f>
        <v>274.5</v>
      </c>
      <c r="H654" s="27">
        <f aca="true" t="shared" si="306" ref="H654:H655">H655</f>
        <v>141</v>
      </c>
      <c r="I654" s="27">
        <f t="shared" si="305"/>
        <v>51.36612021857923</v>
      </c>
      <c r="J654" s="129"/>
    </row>
    <row r="655" spans="1:10" ht="31.5">
      <c r="A655" s="26" t="s">
        <v>170</v>
      </c>
      <c r="B655" s="205">
        <v>905</v>
      </c>
      <c r="C655" s="203" t="s">
        <v>273</v>
      </c>
      <c r="D655" s="203" t="s">
        <v>157</v>
      </c>
      <c r="E655" s="203" t="s">
        <v>580</v>
      </c>
      <c r="F655" s="203" t="s">
        <v>171</v>
      </c>
      <c r="G655" s="27">
        <f>G656</f>
        <v>274.5</v>
      </c>
      <c r="H655" s="27">
        <f t="shared" si="306"/>
        <v>141</v>
      </c>
      <c r="I655" s="27">
        <f t="shared" si="305"/>
        <v>51.36612021857923</v>
      </c>
      <c r="J655" s="129"/>
    </row>
    <row r="656" spans="1:10" ht="31.5">
      <c r="A656" s="26" t="s">
        <v>172</v>
      </c>
      <c r="B656" s="205">
        <v>905</v>
      </c>
      <c r="C656" s="203" t="s">
        <v>273</v>
      </c>
      <c r="D656" s="203" t="s">
        <v>157</v>
      </c>
      <c r="E656" s="203" t="s">
        <v>580</v>
      </c>
      <c r="F656" s="203" t="s">
        <v>173</v>
      </c>
      <c r="G656" s="27">
        <v>274.5</v>
      </c>
      <c r="H656" s="27">
        <v>141</v>
      </c>
      <c r="I656" s="27">
        <f t="shared" si="305"/>
        <v>51.36612021857923</v>
      </c>
      <c r="J656" s="129"/>
    </row>
    <row r="657" spans="1:10" ht="15.75" customHeight="1" hidden="1">
      <c r="A657" s="45" t="s">
        <v>282</v>
      </c>
      <c r="B657" s="202">
        <v>905</v>
      </c>
      <c r="C657" s="204" t="s">
        <v>283</v>
      </c>
      <c r="D657" s="204"/>
      <c r="E657" s="204"/>
      <c r="F657" s="204"/>
      <c r="G657" s="22">
        <f>G658</f>
        <v>0</v>
      </c>
      <c r="H657" s="22">
        <f aca="true" t="shared" si="307" ref="H657:H661">H658</f>
        <v>0</v>
      </c>
      <c r="I657" s="22" t="e">
        <f t="shared" si="305"/>
        <v>#DIV/0!</v>
      </c>
      <c r="J657" s="129"/>
    </row>
    <row r="658" spans="1:10" ht="15.75" customHeight="1" hidden="1">
      <c r="A658" s="24" t="s">
        <v>440</v>
      </c>
      <c r="B658" s="202">
        <v>905</v>
      </c>
      <c r="C658" s="204" t="s">
        <v>283</v>
      </c>
      <c r="D658" s="204" t="s">
        <v>189</v>
      </c>
      <c r="E658" s="204"/>
      <c r="F658" s="204"/>
      <c r="G658" s="22">
        <f>G659</f>
        <v>0</v>
      </c>
      <c r="H658" s="22">
        <f t="shared" si="307"/>
        <v>0</v>
      </c>
      <c r="I658" s="22" t="e">
        <f t="shared" si="305"/>
        <v>#DIV/0!</v>
      </c>
      <c r="J658" s="129"/>
    </row>
    <row r="659" spans="1:10" ht="31.5" customHeight="1" hidden="1">
      <c r="A659" s="26" t="s">
        <v>224</v>
      </c>
      <c r="B659" s="205">
        <v>905</v>
      </c>
      <c r="C659" s="203" t="s">
        <v>283</v>
      </c>
      <c r="D659" s="203" t="s">
        <v>189</v>
      </c>
      <c r="E659" s="203" t="s">
        <v>225</v>
      </c>
      <c r="F659" s="203"/>
      <c r="G659" s="27">
        <f>G660</f>
        <v>0</v>
      </c>
      <c r="H659" s="27">
        <f t="shared" si="307"/>
        <v>0</v>
      </c>
      <c r="I659" s="22" t="e">
        <f t="shared" si="305"/>
        <v>#DIV/0!</v>
      </c>
      <c r="J659" s="129"/>
    </row>
    <row r="660" spans="1:10" ht="64.5" customHeight="1" hidden="1">
      <c r="A660" s="33" t="s">
        <v>918</v>
      </c>
      <c r="B660" s="205">
        <v>905</v>
      </c>
      <c r="C660" s="203" t="s">
        <v>283</v>
      </c>
      <c r="D660" s="203" t="s">
        <v>189</v>
      </c>
      <c r="E660" s="203" t="s">
        <v>919</v>
      </c>
      <c r="F660" s="203"/>
      <c r="G660" s="27">
        <f>G661</f>
        <v>0</v>
      </c>
      <c r="H660" s="27">
        <f t="shared" si="307"/>
        <v>0</v>
      </c>
      <c r="I660" s="22" t="e">
        <f t="shared" si="305"/>
        <v>#DIV/0!</v>
      </c>
      <c r="J660" s="129"/>
    </row>
    <row r="661" spans="1:10" ht="31.5" customHeight="1" hidden="1">
      <c r="A661" s="26" t="s">
        <v>170</v>
      </c>
      <c r="B661" s="205">
        <v>905</v>
      </c>
      <c r="C661" s="203" t="s">
        <v>283</v>
      </c>
      <c r="D661" s="203" t="s">
        <v>189</v>
      </c>
      <c r="E661" s="203" t="s">
        <v>919</v>
      </c>
      <c r="F661" s="203" t="s">
        <v>171</v>
      </c>
      <c r="G661" s="27">
        <f>G662</f>
        <v>0</v>
      </c>
      <c r="H661" s="27">
        <f t="shared" si="307"/>
        <v>0</v>
      </c>
      <c r="I661" s="22" t="e">
        <f t="shared" si="305"/>
        <v>#DIV/0!</v>
      </c>
      <c r="J661" s="129"/>
    </row>
    <row r="662" spans="1:10" ht="47.25" customHeight="1" hidden="1">
      <c r="A662" s="26" t="s">
        <v>172</v>
      </c>
      <c r="B662" s="205">
        <v>905</v>
      </c>
      <c r="C662" s="203" t="s">
        <v>283</v>
      </c>
      <c r="D662" s="203" t="s">
        <v>189</v>
      </c>
      <c r="E662" s="203" t="s">
        <v>919</v>
      </c>
      <c r="F662" s="203" t="s">
        <v>173</v>
      </c>
      <c r="G662" s="27">
        <f>378.5-378.5</f>
        <v>0</v>
      </c>
      <c r="H662" s="27">
        <f aca="true" t="shared" si="308" ref="H662">378.5-378.5</f>
        <v>0</v>
      </c>
      <c r="I662" s="22" t="e">
        <f t="shared" si="305"/>
        <v>#DIV/0!</v>
      </c>
      <c r="J662" s="129"/>
    </row>
    <row r="663" spans="1:10" ht="31.5">
      <c r="A663" s="20" t="s">
        <v>443</v>
      </c>
      <c r="B663" s="202">
        <v>906</v>
      </c>
      <c r="C663" s="204"/>
      <c r="D663" s="204"/>
      <c r="E663" s="204"/>
      <c r="F663" s="204"/>
      <c r="G663" s="22">
        <f>G685+G664</f>
        <v>300116.39999999997</v>
      </c>
      <c r="H663" s="22">
        <f>H685+H664</f>
        <v>239892.99999999997</v>
      </c>
      <c r="I663" s="22">
        <f t="shared" si="305"/>
        <v>79.9333192054816</v>
      </c>
      <c r="J663" s="129"/>
    </row>
    <row r="664" spans="1:10" ht="15.75">
      <c r="A664" s="24" t="s">
        <v>156</v>
      </c>
      <c r="B664" s="202">
        <v>906</v>
      </c>
      <c r="C664" s="204" t="s">
        <v>157</v>
      </c>
      <c r="D664" s="204"/>
      <c r="E664" s="204"/>
      <c r="F664" s="204"/>
      <c r="G664" s="22">
        <f>G665</f>
        <v>20</v>
      </c>
      <c r="H664" s="22">
        <f aca="true" t="shared" si="309" ref="H664">H665</f>
        <v>0</v>
      </c>
      <c r="I664" s="22">
        <f t="shared" si="305"/>
        <v>0</v>
      </c>
      <c r="J664" s="129"/>
    </row>
    <row r="665" spans="1:10" ht="15.75">
      <c r="A665" s="36" t="s">
        <v>178</v>
      </c>
      <c r="B665" s="202">
        <v>906</v>
      </c>
      <c r="C665" s="204" t="s">
        <v>157</v>
      </c>
      <c r="D665" s="204" t="s">
        <v>179</v>
      </c>
      <c r="E665" s="204"/>
      <c r="F665" s="204"/>
      <c r="G665" s="22">
        <f>G676+G666+G681</f>
        <v>20</v>
      </c>
      <c r="H665" s="22">
        <f aca="true" t="shared" si="310" ref="H665">H676+H666+H681</f>
        <v>0</v>
      </c>
      <c r="I665" s="22">
        <f t="shared" si="305"/>
        <v>0</v>
      </c>
      <c r="J665" s="129"/>
    </row>
    <row r="666" spans="1:10" ht="31.5">
      <c r="A666" s="26" t="s">
        <v>373</v>
      </c>
      <c r="B666" s="205">
        <v>906</v>
      </c>
      <c r="C666" s="203" t="s">
        <v>157</v>
      </c>
      <c r="D666" s="203" t="s">
        <v>179</v>
      </c>
      <c r="E666" s="203" t="s">
        <v>374</v>
      </c>
      <c r="F666" s="203"/>
      <c r="G666" s="27">
        <f>G667+G673+G670</f>
        <v>20</v>
      </c>
      <c r="H666" s="27">
        <f aca="true" t="shared" si="311" ref="H666">H667+H673+H670</f>
        <v>0</v>
      </c>
      <c r="I666" s="27">
        <f t="shared" si="305"/>
        <v>0</v>
      </c>
      <c r="J666" s="129"/>
    </row>
    <row r="667" spans="1:10" ht="31.5" hidden="1">
      <c r="A667" s="117" t="s">
        <v>897</v>
      </c>
      <c r="B667" s="205">
        <v>906</v>
      </c>
      <c r="C667" s="203" t="s">
        <v>157</v>
      </c>
      <c r="D667" s="203" t="s">
        <v>179</v>
      </c>
      <c r="E667" s="203" t="s">
        <v>376</v>
      </c>
      <c r="F667" s="203"/>
      <c r="G667" s="27">
        <f>G668</f>
        <v>0</v>
      </c>
      <c r="H667" s="27">
        <f aca="true" t="shared" si="312" ref="H667:H668">H668</f>
        <v>0</v>
      </c>
      <c r="I667" s="27" t="e">
        <f t="shared" si="305"/>
        <v>#DIV/0!</v>
      </c>
      <c r="J667" s="129"/>
    </row>
    <row r="668" spans="1:10" ht="31.5" hidden="1">
      <c r="A668" s="26" t="s">
        <v>170</v>
      </c>
      <c r="B668" s="205">
        <v>906</v>
      </c>
      <c r="C668" s="203" t="s">
        <v>157</v>
      </c>
      <c r="D668" s="203" t="s">
        <v>179</v>
      </c>
      <c r="E668" s="203" t="s">
        <v>376</v>
      </c>
      <c r="F668" s="203" t="s">
        <v>171</v>
      </c>
      <c r="G668" s="27">
        <f>G669</f>
        <v>0</v>
      </c>
      <c r="H668" s="27">
        <f t="shared" si="312"/>
        <v>0</v>
      </c>
      <c r="I668" s="27" t="e">
        <f t="shared" si="305"/>
        <v>#DIV/0!</v>
      </c>
      <c r="J668" s="129"/>
    </row>
    <row r="669" spans="1:10" ht="31.5" hidden="1">
      <c r="A669" s="26" t="s">
        <v>172</v>
      </c>
      <c r="B669" s="205">
        <v>906</v>
      </c>
      <c r="C669" s="203" t="s">
        <v>157</v>
      </c>
      <c r="D669" s="203" t="s">
        <v>179</v>
      </c>
      <c r="E669" s="203" t="s">
        <v>376</v>
      </c>
      <c r="F669" s="203" t="s">
        <v>173</v>
      </c>
      <c r="G669" s="27">
        <v>0</v>
      </c>
      <c r="H669" s="27">
        <v>0</v>
      </c>
      <c r="I669" s="27" t="e">
        <f t="shared" si="305"/>
        <v>#DIV/0!</v>
      </c>
      <c r="J669" s="129"/>
    </row>
    <row r="670" spans="1:10" ht="45">
      <c r="A670" s="277" t="s">
        <v>991</v>
      </c>
      <c r="B670" s="205">
        <v>906</v>
      </c>
      <c r="C670" s="203" t="s">
        <v>157</v>
      </c>
      <c r="D670" s="203" t="s">
        <v>179</v>
      </c>
      <c r="E670" s="203" t="s">
        <v>517</v>
      </c>
      <c r="F670" s="203"/>
      <c r="G670" s="27">
        <f>G671</f>
        <v>20</v>
      </c>
      <c r="H670" s="27">
        <f aca="true" t="shared" si="313" ref="H670:H671">H671</f>
        <v>0</v>
      </c>
      <c r="I670" s="27">
        <f t="shared" si="305"/>
        <v>0</v>
      </c>
      <c r="J670" s="129"/>
    </row>
    <row r="671" spans="1:10" ht="31.5">
      <c r="A671" s="26" t="s">
        <v>170</v>
      </c>
      <c r="B671" s="205">
        <v>906</v>
      </c>
      <c r="C671" s="203" t="s">
        <v>157</v>
      </c>
      <c r="D671" s="203" t="s">
        <v>179</v>
      </c>
      <c r="E671" s="203" t="s">
        <v>517</v>
      </c>
      <c r="F671" s="203" t="s">
        <v>171</v>
      </c>
      <c r="G671" s="27">
        <f>G672</f>
        <v>20</v>
      </c>
      <c r="H671" s="27">
        <f t="shared" si="313"/>
        <v>0</v>
      </c>
      <c r="I671" s="27">
        <f t="shared" si="305"/>
        <v>0</v>
      </c>
      <c r="J671" s="129"/>
    </row>
    <row r="672" spans="1:10" ht="31.5">
      <c r="A672" s="26" t="s">
        <v>172</v>
      </c>
      <c r="B672" s="205">
        <v>906</v>
      </c>
      <c r="C672" s="203" t="s">
        <v>157</v>
      </c>
      <c r="D672" s="203" t="s">
        <v>179</v>
      </c>
      <c r="E672" s="203" t="s">
        <v>517</v>
      </c>
      <c r="F672" s="203" t="s">
        <v>173</v>
      </c>
      <c r="G672" s="27">
        <v>20</v>
      </c>
      <c r="H672" s="27">
        <v>0</v>
      </c>
      <c r="I672" s="27">
        <f t="shared" si="305"/>
        <v>0</v>
      </c>
      <c r="J672" s="129"/>
    </row>
    <row r="673" spans="1:10" ht="15.75" hidden="1">
      <c r="A673" s="33" t="s">
        <v>902</v>
      </c>
      <c r="B673" s="205">
        <v>906</v>
      </c>
      <c r="C673" s="203" t="s">
        <v>157</v>
      </c>
      <c r="D673" s="203" t="s">
        <v>179</v>
      </c>
      <c r="E673" s="203" t="s">
        <v>901</v>
      </c>
      <c r="F673" s="203"/>
      <c r="G673" s="27">
        <f>G674</f>
        <v>0</v>
      </c>
      <c r="H673" s="27">
        <f aca="true" t="shared" si="314" ref="H673:H674">H674</f>
        <v>0</v>
      </c>
      <c r="I673" s="22" t="e">
        <f t="shared" si="305"/>
        <v>#DIV/0!</v>
      </c>
      <c r="J673" s="129"/>
    </row>
    <row r="674" spans="1:10" ht="31.5" hidden="1">
      <c r="A674" s="26" t="s">
        <v>170</v>
      </c>
      <c r="B674" s="205">
        <v>906</v>
      </c>
      <c r="C674" s="203" t="s">
        <v>157</v>
      </c>
      <c r="D674" s="203" t="s">
        <v>179</v>
      </c>
      <c r="E674" s="203" t="s">
        <v>901</v>
      </c>
      <c r="F674" s="203" t="s">
        <v>171</v>
      </c>
      <c r="G674" s="27">
        <f>G675</f>
        <v>0</v>
      </c>
      <c r="H674" s="27">
        <f t="shared" si="314"/>
        <v>0</v>
      </c>
      <c r="I674" s="22" t="e">
        <f t="shared" si="305"/>
        <v>#DIV/0!</v>
      </c>
      <c r="J674" s="129"/>
    </row>
    <row r="675" spans="1:10" ht="31.5" hidden="1">
      <c r="A675" s="26" t="s">
        <v>172</v>
      </c>
      <c r="B675" s="205">
        <v>906</v>
      </c>
      <c r="C675" s="203" t="s">
        <v>157</v>
      </c>
      <c r="D675" s="203" t="s">
        <v>179</v>
      </c>
      <c r="E675" s="203" t="s">
        <v>901</v>
      </c>
      <c r="F675" s="203" t="s">
        <v>173</v>
      </c>
      <c r="G675" s="27">
        <v>0</v>
      </c>
      <c r="H675" s="27">
        <v>0</v>
      </c>
      <c r="I675" s="22" t="e">
        <f t="shared" si="305"/>
        <v>#DIV/0!</v>
      </c>
      <c r="J675" s="129"/>
    </row>
    <row r="676" spans="1:10" ht="18" customHeight="1" hidden="1">
      <c r="A676" s="33" t="s">
        <v>160</v>
      </c>
      <c r="B676" s="205">
        <v>906</v>
      </c>
      <c r="C676" s="203" t="s">
        <v>157</v>
      </c>
      <c r="D676" s="203" t="s">
        <v>179</v>
      </c>
      <c r="E676" s="203" t="s">
        <v>161</v>
      </c>
      <c r="F676" s="203"/>
      <c r="G676" s="27">
        <f>G677</f>
        <v>0</v>
      </c>
      <c r="H676" s="27">
        <f aca="true" t="shared" si="315" ref="H676:H679">H677</f>
        <v>0</v>
      </c>
      <c r="I676" s="22" t="e">
        <f t="shared" si="305"/>
        <v>#DIV/0!</v>
      </c>
      <c r="J676" s="129"/>
    </row>
    <row r="677" spans="1:10" ht="15.75" hidden="1">
      <c r="A677" s="33" t="s">
        <v>180</v>
      </c>
      <c r="B677" s="205">
        <v>906</v>
      </c>
      <c r="C677" s="203" t="s">
        <v>157</v>
      </c>
      <c r="D677" s="203" t="s">
        <v>179</v>
      </c>
      <c r="E677" s="203" t="s">
        <v>181</v>
      </c>
      <c r="F677" s="203"/>
      <c r="G677" s="27">
        <f>G678</f>
        <v>0</v>
      </c>
      <c r="H677" s="27">
        <f t="shared" si="315"/>
        <v>0</v>
      </c>
      <c r="I677" s="22" t="e">
        <f t="shared" si="305"/>
        <v>#DIV/0!</v>
      </c>
      <c r="J677" s="129"/>
    </row>
    <row r="678" spans="1:10" ht="15.75" hidden="1">
      <c r="A678" s="26" t="s">
        <v>218</v>
      </c>
      <c r="B678" s="205">
        <v>906</v>
      </c>
      <c r="C678" s="203" t="s">
        <v>157</v>
      </c>
      <c r="D678" s="203" t="s">
        <v>179</v>
      </c>
      <c r="E678" s="203" t="s">
        <v>244</v>
      </c>
      <c r="F678" s="203"/>
      <c r="G678" s="27">
        <f>G679</f>
        <v>0</v>
      </c>
      <c r="H678" s="27">
        <f t="shared" si="315"/>
        <v>0</v>
      </c>
      <c r="I678" s="22" t="e">
        <f t="shared" si="305"/>
        <v>#DIV/0!</v>
      </c>
      <c r="J678" s="129"/>
    </row>
    <row r="679" spans="1:10" ht="31.5" hidden="1">
      <c r="A679" s="26" t="s">
        <v>170</v>
      </c>
      <c r="B679" s="205">
        <v>906</v>
      </c>
      <c r="C679" s="203" t="s">
        <v>157</v>
      </c>
      <c r="D679" s="203" t="s">
        <v>179</v>
      </c>
      <c r="E679" s="203" t="s">
        <v>244</v>
      </c>
      <c r="F679" s="203" t="s">
        <v>171</v>
      </c>
      <c r="G679" s="27">
        <f>G680</f>
        <v>0</v>
      </c>
      <c r="H679" s="27">
        <f t="shared" si="315"/>
        <v>0</v>
      </c>
      <c r="I679" s="22" t="e">
        <f t="shared" si="305"/>
        <v>#DIV/0!</v>
      </c>
      <c r="J679" s="129"/>
    </row>
    <row r="680" spans="1:10" ht="31.5" hidden="1">
      <c r="A680" s="26" t="s">
        <v>172</v>
      </c>
      <c r="B680" s="205">
        <v>906</v>
      </c>
      <c r="C680" s="203" t="s">
        <v>157</v>
      </c>
      <c r="D680" s="203" t="s">
        <v>179</v>
      </c>
      <c r="E680" s="203" t="s">
        <v>244</v>
      </c>
      <c r="F680" s="203" t="s">
        <v>173</v>
      </c>
      <c r="G680" s="27">
        <v>0</v>
      </c>
      <c r="H680" s="27">
        <v>0</v>
      </c>
      <c r="I680" s="22" t="e">
        <f t="shared" si="305"/>
        <v>#DIV/0!</v>
      </c>
      <c r="J680" s="129"/>
    </row>
    <row r="681" spans="1:10" ht="47.25" hidden="1">
      <c r="A681" s="31" t="s">
        <v>777</v>
      </c>
      <c r="B681" s="205">
        <v>906</v>
      </c>
      <c r="C681" s="203" t="s">
        <v>157</v>
      </c>
      <c r="D681" s="203" t="s">
        <v>179</v>
      </c>
      <c r="E681" s="203" t="s">
        <v>775</v>
      </c>
      <c r="F681" s="210"/>
      <c r="G681" s="27">
        <f>G682</f>
        <v>0</v>
      </c>
      <c r="H681" s="27">
        <f aca="true" t="shared" si="316" ref="H681:H683">H682</f>
        <v>0</v>
      </c>
      <c r="I681" s="22" t="e">
        <f t="shared" si="305"/>
        <v>#DIV/0!</v>
      </c>
      <c r="J681" s="129"/>
    </row>
    <row r="682" spans="1:10" ht="31.5" hidden="1">
      <c r="A682" s="119" t="s">
        <v>915</v>
      </c>
      <c r="B682" s="205">
        <v>906</v>
      </c>
      <c r="C682" s="203" t="s">
        <v>157</v>
      </c>
      <c r="D682" s="203" t="s">
        <v>179</v>
      </c>
      <c r="E682" s="203" t="s">
        <v>916</v>
      </c>
      <c r="F682" s="210"/>
      <c r="G682" s="27">
        <f>G683</f>
        <v>0</v>
      </c>
      <c r="H682" s="27">
        <f t="shared" si="316"/>
        <v>0</v>
      </c>
      <c r="I682" s="22" t="e">
        <f t="shared" si="305"/>
        <v>#DIV/0!</v>
      </c>
      <c r="J682" s="129"/>
    </row>
    <row r="683" spans="1:10" ht="31.5" hidden="1">
      <c r="A683" s="31" t="s">
        <v>311</v>
      </c>
      <c r="B683" s="205">
        <v>906</v>
      </c>
      <c r="C683" s="203" t="s">
        <v>157</v>
      </c>
      <c r="D683" s="203" t="s">
        <v>179</v>
      </c>
      <c r="E683" s="203" t="s">
        <v>916</v>
      </c>
      <c r="F683" s="210" t="s">
        <v>312</v>
      </c>
      <c r="G683" s="27">
        <f>G684</f>
        <v>0</v>
      </c>
      <c r="H683" s="27">
        <f t="shared" si="316"/>
        <v>0</v>
      </c>
      <c r="I683" s="22" t="e">
        <f t="shared" si="305"/>
        <v>#DIV/0!</v>
      </c>
      <c r="J683" s="129"/>
    </row>
    <row r="684" spans="1:10" ht="15.75" hidden="1">
      <c r="A684" s="242" t="s">
        <v>313</v>
      </c>
      <c r="B684" s="205">
        <v>906</v>
      </c>
      <c r="C684" s="203" t="s">
        <v>157</v>
      </c>
      <c r="D684" s="203" t="s">
        <v>179</v>
      </c>
      <c r="E684" s="203" t="s">
        <v>916</v>
      </c>
      <c r="F684" s="210" t="s">
        <v>314</v>
      </c>
      <c r="G684" s="27">
        <v>0</v>
      </c>
      <c r="H684" s="27">
        <v>0</v>
      </c>
      <c r="I684" s="22" t="e">
        <f t="shared" si="305"/>
        <v>#DIV/0!</v>
      </c>
      <c r="J684" s="129"/>
    </row>
    <row r="685" spans="1:10" ht="15.75">
      <c r="A685" s="24" t="s">
        <v>302</v>
      </c>
      <c r="B685" s="202">
        <v>906</v>
      </c>
      <c r="C685" s="204" t="s">
        <v>303</v>
      </c>
      <c r="D685" s="204"/>
      <c r="E685" s="204"/>
      <c r="F685" s="204"/>
      <c r="G685" s="22">
        <f>G686+G745+G853+G865+G825</f>
        <v>300096.39999999997</v>
      </c>
      <c r="H685" s="22">
        <f aca="true" t="shared" si="317" ref="H685">H686+H745+H853+H865+H825</f>
        <v>239892.99999999997</v>
      </c>
      <c r="I685" s="22">
        <f t="shared" si="305"/>
        <v>79.93864638162937</v>
      </c>
      <c r="J685" s="129"/>
    </row>
    <row r="686" spans="1:10" ht="15.75">
      <c r="A686" s="24" t="s">
        <v>444</v>
      </c>
      <c r="B686" s="202">
        <v>906</v>
      </c>
      <c r="C686" s="204" t="s">
        <v>303</v>
      </c>
      <c r="D686" s="204" t="s">
        <v>157</v>
      </c>
      <c r="E686" s="204"/>
      <c r="F686" s="204"/>
      <c r="G686" s="22">
        <f>G687+G722+G714+G718</f>
        <v>98625.7</v>
      </c>
      <c r="H686" s="22">
        <f aca="true" t="shared" si="318" ref="H686">H687+H722+H714+H718</f>
        <v>78070</v>
      </c>
      <c r="I686" s="22">
        <f t="shared" si="305"/>
        <v>79.15786656013594</v>
      </c>
      <c r="J686" s="129"/>
    </row>
    <row r="687" spans="1:10" ht="31.5">
      <c r="A687" s="26" t="s">
        <v>445</v>
      </c>
      <c r="B687" s="205">
        <v>906</v>
      </c>
      <c r="C687" s="203" t="s">
        <v>303</v>
      </c>
      <c r="D687" s="203" t="s">
        <v>157</v>
      </c>
      <c r="E687" s="203" t="s">
        <v>446</v>
      </c>
      <c r="F687" s="203"/>
      <c r="G687" s="27">
        <f>G688+G692</f>
        <v>22293.000000000004</v>
      </c>
      <c r="H687" s="27">
        <f aca="true" t="shared" si="319" ref="H687">H688+H692</f>
        <v>16567.5</v>
      </c>
      <c r="I687" s="27">
        <f t="shared" si="305"/>
        <v>74.3170501951285</v>
      </c>
      <c r="J687" s="129"/>
    </row>
    <row r="688" spans="1:10" ht="38.25" customHeight="1">
      <c r="A688" s="26" t="s">
        <v>447</v>
      </c>
      <c r="B688" s="205">
        <v>906</v>
      </c>
      <c r="C688" s="203" t="s">
        <v>303</v>
      </c>
      <c r="D688" s="203" t="s">
        <v>157</v>
      </c>
      <c r="E688" s="203" t="s">
        <v>448</v>
      </c>
      <c r="F688" s="203"/>
      <c r="G688" s="27">
        <f>G689</f>
        <v>12145.500000000002</v>
      </c>
      <c r="H688" s="27">
        <f aca="true" t="shared" si="320" ref="H688:H690">H689</f>
        <v>7974.9</v>
      </c>
      <c r="I688" s="27">
        <f t="shared" si="305"/>
        <v>65.66135605779917</v>
      </c>
      <c r="J688" s="129"/>
    </row>
    <row r="689" spans="1:10" ht="31.5">
      <c r="A689" s="26" t="s">
        <v>449</v>
      </c>
      <c r="B689" s="205">
        <v>906</v>
      </c>
      <c r="C689" s="203" t="s">
        <v>303</v>
      </c>
      <c r="D689" s="203" t="s">
        <v>157</v>
      </c>
      <c r="E689" s="203" t="s">
        <v>450</v>
      </c>
      <c r="F689" s="203"/>
      <c r="G689" s="27">
        <f>G690</f>
        <v>12145.500000000002</v>
      </c>
      <c r="H689" s="27">
        <f t="shared" si="320"/>
        <v>7974.9</v>
      </c>
      <c r="I689" s="27">
        <f t="shared" si="305"/>
        <v>65.66135605779917</v>
      </c>
      <c r="J689" s="129"/>
    </row>
    <row r="690" spans="1:10" ht="31.5">
      <c r="A690" s="26" t="s">
        <v>311</v>
      </c>
      <c r="B690" s="205">
        <v>906</v>
      </c>
      <c r="C690" s="203" t="s">
        <v>303</v>
      </c>
      <c r="D690" s="203" t="s">
        <v>157</v>
      </c>
      <c r="E690" s="203" t="s">
        <v>450</v>
      </c>
      <c r="F690" s="203" t="s">
        <v>312</v>
      </c>
      <c r="G690" s="27">
        <f>G691</f>
        <v>12145.500000000002</v>
      </c>
      <c r="H690" s="27">
        <f t="shared" si="320"/>
        <v>7974.9</v>
      </c>
      <c r="I690" s="27">
        <f t="shared" si="305"/>
        <v>65.66135605779917</v>
      </c>
      <c r="J690" s="129"/>
    </row>
    <row r="691" spans="1:10" ht="15.75">
      <c r="A691" s="26" t="s">
        <v>313</v>
      </c>
      <c r="B691" s="205">
        <v>906</v>
      </c>
      <c r="C691" s="203" t="s">
        <v>303</v>
      </c>
      <c r="D691" s="203" t="s">
        <v>157</v>
      </c>
      <c r="E691" s="203" t="s">
        <v>450</v>
      </c>
      <c r="F691" s="203" t="s">
        <v>314</v>
      </c>
      <c r="G691" s="28">
        <f>15759.4-2232.4-212-486.9-350-303.8-28.8</f>
        <v>12145.500000000002</v>
      </c>
      <c r="H691" s="28">
        <v>7974.9</v>
      </c>
      <c r="I691" s="27">
        <f t="shared" si="305"/>
        <v>65.66135605779917</v>
      </c>
      <c r="J691" s="129"/>
    </row>
    <row r="692" spans="1:10" ht="30" customHeight="1">
      <c r="A692" s="26" t="s">
        <v>451</v>
      </c>
      <c r="B692" s="205">
        <v>906</v>
      </c>
      <c r="C692" s="203" t="s">
        <v>303</v>
      </c>
      <c r="D692" s="203" t="s">
        <v>157</v>
      </c>
      <c r="E692" s="203" t="s">
        <v>452</v>
      </c>
      <c r="F692" s="203"/>
      <c r="G692" s="27">
        <f>G693+G696+G699+G702+G705+G708+G711</f>
        <v>10147.500000000002</v>
      </c>
      <c r="H692" s="27">
        <f aca="true" t="shared" si="321" ref="H692">H693+H696+H699+H702+H705+H708+H711</f>
        <v>8592.6</v>
      </c>
      <c r="I692" s="27">
        <f t="shared" si="305"/>
        <v>84.6770140428677</v>
      </c>
      <c r="J692" s="289"/>
    </row>
    <row r="693" spans="1:10" ht="35.25" customHeight="1">
      <c r="A693" s="26" t="s">
        <v>317</v>
      </c>
      <c r="B693" s="205">
        <v>906</v>
      </c>
      <c r="C693" s="203" t="s">
        <v>303</v>
      </c>
      <c r="D693" s="203" t="s">
        <v>157</v>
      </c>
      <c r="E693" s="203" t="s">
        <v>453</v>
      </c>
      <c r="F693" s="203"/>
      <c r="G693" s="27">
        <f>G694</f>
        <v>503.8</v>
      </c>
      <c r="H693" s="27">
        <f aca="true" t="shared" si="322" ref="H693:H694">H694</f>
        <v>303.8</v>
      </c>
      <c r="I693" s="27">
        <f t="shared" si="305"/>
        <v>60.30170702659786</v>
      </c>
      <c r="J693" s="129"/>
    </row>
    <row r="694" spans="1:10" ht="35.25" customHeight="1">
      <c r="A694" s="26" t="s">
        <v>311</v>
      </c>
      <c r="B694" s="205">
        <v>906</v>
      </c>
      <c r="C694" s="203" t="s">
        <v>303</v>
      </c>
      <c r="D694" s="203" t="s">
        <v>157</v>
      </c>
      <c r="E694" s="203" t="s">
        <v>453</v>
      </c>
      <c r="F694" s="203" t="s">
        <v>312</v>
      </c>
      <c r="G694" s="27">
        <f>G695</f>
        <v>503.8</v>
      </c>
      <c r="H694" s="27">
        <f t="shared" si="322"/>
        <v>303.8</v>
      </c>
      <c r="I694" s="27">
        <f t="shared" si="305"/>
        <v>60.30170702659786</v>
      </c>
      <c r="J694" s="129"/>
    </row>
    <row r="695" spans="1:10" ht="15.75" customHeight="1">
      <c r="A695" s="26" t="s">
        <v>313</v>
      </c>
      <c r="B695" s="205">
        <v>906</v>
      </c>
      <c r="C695" s="203" t="s">
        <v>303</v>
      </c>
      <c r="D695" s="203" t="s">
        <v>157</v>
      </c>
      <c r="E695" s="203" t="s">
        <v>453</v>
      </c>
      <c r="F695" s="203" t="s">
        <v>314</v>
      </c>
      <c r="G695" s="27">
        <f>200+303.8</f>
        <v>503.8</v>
      </c>
      <c r="H695" s="27">
        <v>303.8</v>
      </c>
      <c r="I695" s="27">
        <f t="shared" si="305"/>
        <v>60.30170702659786</v>
      </c>
      <c r="J695" s="129"/>
    </row>
    <row r="696" spans="1:10" ht="21" customHeight="1">
      <c r="A696" s="26" t="s">
        <v>319</v>
      </c>
      <c r="B696" s="205">
        <v>906</v>
      </c>
      <c r="C696" s="203" t="s">
        <v>303</v>
      </c>
      <c r="D696" s="203" t="s">
        <v>157</v>
      </c>
      <c r="E696" s="203" t="s">
        <v>454</v>
      </c>
      <c r="F696" s="203"/>
      <c r="G696" s="27">
        <f>G697</f>
        <v>240.8</v>
      </c>
      <c r="H696" s="27">
        <f aca="true" t="shared" si="323" ref="H696:H697">H697</f>
        <v>240.8</v>
      </c>
      <c r="I696" s="27">
        <f t="shared" si="305"/>
        <v>100</v>
      </c>
      <c r="J696" s="129"/>
    </row>
    <row r="697" spans="1:10" ht="31.5">
      <c r="A697" s="26" t="s">
        <v>311</v>
      </c>
      <c r="B697" s="205">
        <v>906</v>
      </c>
      <c r="C697" s="203" t="s">
        <v>303</v>
      </c>
      <c r="D697" s="203" t="s">
        <v>157</v>
      </c>
      <c r="E697" s="203" t="s">
        <v>454</v>
      </c>
      <c r="F697" s="203" t="s">
        <v>312</v>
      </c>
      <c r="G697" s="27">
        <f>G698</f>
        <v>240.8</v>
      </c>
      <c r="H697" s="27">
        <f t="shared" si="323"/>
        <v>240.8</v>
      </c>
      <c r="I697" s="27">
        <f t="shared" si="305"/>
        <v>100</v>
      </c>
      <c r="J697" s="129"/>
    </row>
    <row r="698" spans="1:10" ht="15.75">
      <c r="A698" s="26" t="s">
        <v>313</v>
      </c>
      <c r="B698" s="205">
        <v>906</v>
      </c>
      <c r="C698" s="203" t="s">
        <v>303</v>
      </c>
      <c r="D698" s="203" t="s">
        <v>157</v>
      </c>
      <c r="E698" s="203" t="s">
        <v>454</v>
      </c>
      <c r="F698" s="203" t="s">
        <v>314</v>
      </c>
      <c r="G698" s="27">
        <f>212+28.8</f>
        <v>240.8</v>
      </c>
      <c r="H698" s="27">
        <v>240.8</v>
      </c>
      <c r="I698" s="27">
        <f t="shared" si="305"/>
        <v>100</v>
      </c>
      <c r="J698" s="129"/>
    </row>
    <row r="699" spans="1:10" ht="31.5">
      <c r="A699" s="26" t="s">
        <v>455</v>
      </c>
      <c r="B699" s="205">
        <v>906</v>
      </c>
      <c r="C699" s="203" t="s">
        <v>303</v>
      </c>
      <c r="D699" s="203" t="s">
        <v>157</v>
      </c>
      <c r="E699" s="203" t="s">
        <v>456</v>
      </c>
      <c r="F699" s="203"/>
      <c r="G699" s="27">
        <f>G700</f>
        <v>5168.8</v>
      </c>
      <c r="H699" s="27">
        <f aca="true" t="shared" si="324" ref="H699:H700">H700</f>
        <v>3940</v>
      </c>
      <c r="I699" s="27">
        <f t="shared" si="305"/>
        <v>76.22659031109735</v>
      </c>
      <c r="J699" s="129"/>
    </row>
    <row r="700" spans="1:10" ht="31.5">
      <c r="A700" s="26" t="s">
        <v>311</v>
      </c>
      <c r="B700" s="205">
        <v>906</v>
      </c>
      <c r="C700" s="203" t="s">
        <v>303</v>
      </c>
      <c r="D700" s="203" t="s">
        <v>157</v>
      </c>
      <c r="E700" s="203" t="s">
        <v>456</v>
      </c>
      <c r="F700" s="203" t="s">
        <v>312</v>
      </c>
      <c r="G700" s="27">
        <f>G701</f>
        <v>5168.8</v>
      </c>
      <c r="H700" s="27">
        <f t="shared" si="324"/>
        <v>3940</v>
      </c>
      <c r="I700" s="27">
        <f t="shared" si="305"/>
        <v>76.22659031109735</v>
      </c>
      <c r="J700" s="129"/>
    </row>
    <row r="701" spans="1:10" ht="15.75">
      <c r="A701" s="26" t="s">
        <v>313</v>
      </c>
      <c r="B701" s="205">
        <v>906</v>
      </c>
      <c r="C701" s="203" t="s">
        <v>303</v>
      </c>
      <c r="D701" s="203" t="s">
        <v>157</v>
      </c>
      <c r="E701" s="203" t="s">
        <v>456</v>
      </c>
      <c r="F701" s="203" t="s">
        <v>314</v>
      </c>
      <c r="G701" s="28">
        <v>5168.8</v>
      </c>
      <c r="H701" s="28">
        <v>3940</v>
      </c>
      <c r="I701" s="27">
        <f t="shared" si="305"/>
        <v>76.22659031109735</v>
      </c>
      <c r="J701" s="129"/>
    </row>
    <row r="702" spans="1:10" ht="31.5" customHeight="1" hidden="1">
      <c r="A702" s="26" t="s">
        <v>323</v>
      </c>
      <c r="B702" s="205">
        <v>906</v>
      </c>
      <c r="C702" s="203" t="s">
        <v>303</v>
      </c>
      <c r="D702" s="203" t="s">
        <v>157</v>
      </c>
      <c r="E702" s="203" t="s">
        <v>457</v>
      </c>
      <c r="F702" s="203"/>
      <c r="G702" s="27">
        <f>G703</f>
        <v>0</v>
      </c>
      <c r="H702" s="27">
        <f aca="true" t="shared" si="325" ref="H702:H703">H703</f>
        <v>0</v>
      </c>
      <c r="I702" s="27" t="e">
        <f t="shared" si="305"/>
        <v>#DIV/0!</v>
      </c>
      <c r="J702" s="129"/>
    </row>
    <row r="703" spans="1:10" ht="47.25" customHeight="1" hidden="1">
      <c r="A703" s="26" t="s">
        <v>311</v>
      </c>
      <c r="B703" s="205">
        <v>906</v>
      </c>
      <c r="C703" s="203" t="s">
        <v>303</v>
      </c>
      <c r="D703" s="203" t="s">
        <v>157</v>
      </c>
      <c r="E703" s="203" t="s">
        <v>457</v>
      </c>
      <c r="F703" s="203" t="s">
        <v>312</v>
      </c>
      <c r="G703" s="27">
        <f>G704</f>
        <v>0</v>
      </c>
      <c r="H703" s="27">
        <f t="shared" si="325"/>
        <v>0</v>
      </c>
      <c r="I703" s="27" t="e">
        <f t="shared" si="305"/>
        <v>#DIV/0!</v>
      </c>
      <c r="J703" s="129"/>
    </row>
    <row r="704" spans="1:10" ht="15.75" customHeight="1" hidden="1">
      <c r="A704" s="26" t="s">
        <v>313</v>
      </c>
      <c r="B704" s="205">
        <v>906</v>
      </c>
      <c r="C704" s="203" t="s">
        <v>303</v>
      </c>
      <c r="D704" s="203" t="s">
        <v>157</v>
      </c>
      <c r="E704" s="203" t="s">
        <v>457</v>
      </c>
      <c r="F704" s="203" t="s">
        <v>314</v>
      </c>
      <c r="G704" s="27">
        <v>0</v>
      </c>
      <c r="H704" s="27">
        <v>0</v>
      </c>
      <c r="I704" s="27" t="e">
        <f t="shared" si="305"/>
        <v>#DIV/0!</v>
      </c>
      <c r="J704" s="129"/>
    </row>
    <row r="705" spans="1:10" ht="34.5" customHeight="1">
      <c r="A705" s="70" t="s">
        <v>837</v>
      </c>
      <c r="B705" s="205">
        <v>906</v>
      </c>
      <c r="C705" s="203" t="s">
        <v>303</v>
      </c>
      <c r="D705" s="203" t="s">
        <v>157</v>
      </c>
      <c r="E705" s="203" t="s">
        <v>840</v>
      </c>
      <c r="F705" s="203"/>
      <c r="G705" s="27">
        <f>G706</f>
        <v>2850</v>
      </c>
      <c r="H705" s="27">
        <f aca="true" t="shared" si="326" ref="H705:H706">H706</f>
        <v>2735</v>
      </c>
      <c r="I705" s="27">
        <f t="shared" si="305"/>
        <v>95.96491228070175</v>
      </c>
      <c r="J705" s="129"/>
    </row>
    <row r="706" spans="1:10" ht="32.25" customHeight="1">
      <c r="A706" s="31" t="s">
        <v>311</v>
      </c>
      <c r="B706" s="205">
        <v>906</v>
      </c>
      <c r="C706" s="203" t="s">
        <v>303</v>
      </c>
      <c r="D706" s="203" t="s">
        <v>157</v>
      </c>
      <c r="E706" s="203" t="s">
        <v>840</v>
      </c>
      <c r="F706" s="203" t="s">
        <v>312</v>
      </c>
      <c r="G706" s="27">
        <f>G707</f>
        <v>2850</v>
      </c>
      <c r="H706" s="27">
        <f t="shared" si="326"/>
        <v>2735</v>
      </c>
      <c r="I706" s="27">
        <f t="shared" si="305"/>
        <v>95.96491228070175</v>
      </c>
      <c r="J706" s="129"/>
    </row>
    <row r="707" spans="1:10" ht="15.75" customHeight="1">
      <c r="A707" s="242" t="s">
        <v>313</v>
      </c>
      <c r="B707" s="205">
        <v>906</v>
      </c>
      <c r="C707" s="203" t="s">
        <v>303</v>
      </c>
      <c r="D707" s="203" t="s">
        <v>157</v>
      </c>
      <c r="E707" s="203" t="s">
        <v>840</v>
      </c>
      <c r="F707" s="203" t="s">
        <v>314</v>
      </c>
      <c r="G707" s="27">
        <f>2500+350</f>
        <v>2850</v>
      </c>
      <c r="H707" s="27">
        <v>2735</v>
      </c>
      <c r="I707" s="27">
        <f t="shared" si="305"/>
        <v>95.96491228070175</v>
      </c>
      <c r="J707" s="129"/>
    </row>
    <row r="708" spans="1:10" ht="50.25" customHeight="1">
      <c r="A708" s="70" t="s">
        <v>846</v>
      </c>
      <c r="B708" s="205">
        <v>906</v>
      </c>
      <c r="C708" s="203" t="s">
        <v>303</v>
      </c>
      <c r="D708" s="203" t="s">
        <v>157</v>
      </c>
      <c r="E708" s="203" t="s">
        <v>841</v>
      </c>
      <c r="F708" s="203"/>
      <c r="G708" s="27">
        <f>G709</f>
        <v>1259.6999999999998</v>
      </c>
      <c r="H708" s="27">
        <f aca="true" t="shared" si="327" ref="H708:H709">H709</f>
        <v>1248.6</v>
      </c>
      <c r="I708" s="27">
        <f t="shared" si="305"/>
        <v>99.11883781852822</v>
      </c>
      <c r="J708" s="289"/>
    </row>
    <row r="709" spans="1:10" ht="31.5">
      <c r="A709" s="31" t="s">
        <v>311</v>
      </c>
      <c r="B709" s="205">
        <v>906</v>
      </c>
      <c r="C709" s="203" t="s">
        <v>303</v>
      </c>
      <c r="D709" s="203" t="s">
        <v>157</v>
      </c>
      <c r="E709" s="203" t="s">
        <v>841</v>
      </c>
      <c r="F709" s="203" t="s">
        <v>312</v>
      </c>
      <c r="G709" s="27">
        <f>G710</f>
        <v>1259.6999999999998</v>
      </c>
      <c r="H709" s="27">
        <f t="shared" si="327"/>
        <v>1248.6</v>
      </c>
      <c r="I709" s="27">
        <f t="shared" si="305"/>
        <v>99.11883781852822</v>
      </c>
      <c r="J709" s="129"/>
    </row>
    <row r="710" spans="1:10" ht="15.75">
      <c r="A710" s="242" t="s">
        <v>313</v>
      </c>
      <c r="B710" s="205">
        <v>906</v>
      </c>
      <c r="C710" s="203" t="s">
        <v>303</v>
      </c>
      <c r="D710" s="203" t="s">
        <v>157</v>
      </c>
      <c r="E710" s="203" t="s">
        <v>841</v>
      </c>
      <c r="F710" s="203" t="s">
        <v>314</v>
      </c>
      <c r="G710" s="27">
        <f>1230.6-457.8+486.9</f>
        <v>1259.6999999999998</v>
      </c>
      <c r="H710" s="27">
        <v>1248.6</v>
      </c>
      <c r="I710" s="27">
        <f t="shared" si="305"/>
        <v>99.11883781852822</v>
      </c>
      <c r="J710" s="129"/>
    </row>
    <row r="711" spans="1:10" ht="132.75" customHeight="1">
      <c r="A711" s="26" t="s">
        <v>979</v>
      </c>
      <c r="B711" s="205">
        <v>906</v>
      </c>
      <c r="C711" s="203" t="s">
        <v>303</v>
      </c>
      <c r="D711" s="203" t="s">
        <v>157</v>
      </c>
      <c r="E711" s="203" t="s">
        <v>978</v>
      </c>
      <c r="F711" s="203"/>
      <c r="G711" s="27">
        <f>G712</f>
        <v>124.4</v>
      </c>
      <c r="H711" s="27">
        <f aca="true" t="shared" si="328" ref="H711:H712">H712</f>
        <v>124.4</v>
      </c>
      <c r="I711" s="27">
        <f t="shared" si="305"/>
        <v>100</v>
      </c>
      <c r="J711" s="129"/>
    </row>
    <row r="712" spans="1:10" ht="31.5">
      <c r="A712" s="31" t="s">
        <v>311</v>
      </c>
      <c r="B712" s="205">
        <v>906</v>
      </c>
      <c r="C712" s="203" t="s">
        <v>303</v>
      </c>
      <c r="D712" s="203" t="s">
        <v>157</v>
      </c>
      <c r="E712" s="203" t="s">
        <v>978</v>
      </c>
      <c r="F712" s="203" t="s">
        <v>312</v>
      </c>
      <c r="G712" s="27">
        <f>G713</f>
        <v>124.4</v>
      </c>
      <c r="H712" s="27">
        <f t="shared" si="328"/>
        <v>124.4</v>
      </c>
      <c r="I712" s="27">
        <f t="shared" si="305"/>
        <v>100</v>
      </c>
      <c r="J712" s="129"/>
    </row>
    <row r="713" spans="1:10" ht="18.75" customHeight="1">
      <c r="A713" s="242" t="s">
        <v>313</v>
      </c>
      <c r="B713" s="205">
        <v>906</v>
      </c>
      <c r="C713" s="203" t="s">
        <v>303</v>
      </c>
      <c r="D713" s="203" t="s">
        <v>157</v>
      </c>
      <c r="E713" s="203" t="s">
        <v>978</v>
      </c>
      <c r="F713" s="203" t="s">
        <v>314</v>
      </c>
      <c r="G713" s="27">
        <v>124.4</v>
      </c>
      <c r="H713" s="27">
        <v>124.4</v>
      </c>
      <c r="I713" s="27">
        <f t="shared" si="305"/>
        <v>100</v>
      </c>
      <c r="J713" s="129"/>
    </row>
    <row r="714" spans="1:10" ht="43.5" customHeight="1">
      <c r="A714" s="33" t="s">
        <v>920</v>
      </c>
      <c r="B714" s="205">
        <v>906</v>
      </c>
      <c r="C714" s="203" t="s">
        <v>303</v>
      </c>
      <c r="D714" s="203" t="s">
        <v>157</v>
      </c>
      <c r="E714" s="203" t="s">
        <v>363</v>
      </c>
      <c r="F714" s="203"/>
      <c r="G714" s="27">
        <f>G715</f>
        <v>697</v>
      </c>
      <c r="H714" s="27">
        <f aca="true" t="shared" si="329" ref="H714:H716">H715</f>
        <v>0</v>
      </c>
      <c r="I714" s="27">
        <f t="shared" si="305"/>
        <v>0</v>
      </c>
      <c r="J714" s="129"/>
    </row>
    <row r="715" spans="1:10" ht="50.25" customHeight="1">
      <c r="A715" s="33" t="s">
        <v>364</v>
      </c>
      <c r="B715" s="205">
        <v>906</v>
      </c>
      <c r="C715" s="203" t="s">
        <v>303</v>
      </c>
      <c r="D715" s="203" t="s">
        <v>157</v>
      </c>
      <c r="E715" s="203" t="s">
        <v>365</v>
      </c>
      <c r="F715" s="203"/>
      <c r="G715" s="27">
        <f>G716</f>
        <v>697</v>
      </c>
      <c r="H715" s="27">
        <f t="shared" si="329"/>
        <v>0</v>
      </c>
      <c r="I715" s="27">
        <f aca="true" t="shared" si="330" ref="I715:I778">H715/G715*100</f>
        <v>0</v>
      </c>
      <c r="J715" s="129"/>
    </row>
    <row r="716" spans="1:10" ht="42" customHeight="1">
      <c r="A716" s="33" t="s">
        <v>311</v>
      </c>
      <c r="B716" s="205">
        <v>906</v>
      </c>
      <c r="C716" s="203" t="s">
        <v>303</v>
      </c>
      <c r="D716" s="203" t="s">
        <v>157</v>
      </c>
      <c r="E716" s="203" t="s">
        <v>365</v>
      </c>
      <c r="F716" s="203" t="s">
        <v>312</v>
      </c>
      <c r="G716" s="27">
        <f>G717</f>
        <v>697</v>
      </c>
      <c r="H716" s="27">
        <f t="shared" si="329"/>
        <v>0</v>
      </c>
      <c r="I716" s="27">
        <f t="shared" si="330"/>
        <v>0</v>
      </c>
      <c r="J716" s="129"/>
    </row>
    <row r="717" spans="1:10" ht="16.5" customHeight="1">
      <c r="A717" s="33" t="s">
        <v>313</v>
      </c>
      <c r="B717" s="205">
        <v>906</v>
      </c>
      <c r="C717" s="203" t="s">
        <v>303</v>
      </c>
      <c r="D717" s="203" t="s">
        <v>157</v>
      </c>
      <c r="E717" s="203" t="s">
        <v>365</v>
      </c>
      <c r="F717" s="203" t="s">
        <v>314</v>
      </c>
      <c r="G717" s="27">
        <v>697</v>
      </c>
      <c r="H717" s="27">
        <v>0</v>
      </c>
      <c r="I717" s="27">
        <f t="shared" si="330"/>
        <v>0</v>
      </c>
      <c r="J717" s="129"/>
    </row>
    <row r="718" spans="1:10" ht="46.5" customHeight="1">
      <c r="A718" s="31" t="s">
        <v>777</v>
      </c>
      <c r="B718" s="205">
        <v>906</v>
      </c>
      <c r="C718" s="203" t="s">
        <v>303</v>
      </c>
      <c r="D718" s="203" t="s">
        <v>157</v>
      </c>
      <c r="E718" s="203" t="s">
        <v>775</v>
      </c>
      <c r="F718" s="210"/>
      <c r="G718" s="27">
        <f>G719</f>
        <v>464.3</v>
      </c>
      <c r="H718" s="27">
        <f aca="true" t="shared" si="331" ref="H718:H720">H719</f>
        <v>315.9</v>
      </c>
      <c r="I718" s="27">
        <f t="shared" si="330"/>
        <v>68.03790652595303</v>
      </c>
      <c r="J718" s="129"/>
    </row>
    <row r="719" spans="1:10" ht="36" customHeight="1">
      <c r="A719" s="119" t="s">
        <v>915</v>
      </c>
      <c r="B719" s="205">
        <v>906</v>
      </c>
      <c r="C719" s="203" t="s">
        <v>303</v>
      </c>
      <c r="D719" s="203" t="s">
        <v>157</v>
      </c>
      <c r="E719" s="203" t="s">
        <v>916</v>
      </c>
      <c r="F719" s="210"/>
      <c r="G719" s="27">
        <f>G720</f>
        <v>464.3</v>
      </c>
      <c r="H719" s="27">
        <f t="shared" si="331"/>
        <v>315.9</v>
      </c>
      <c r="I719" s="27">
        <f t="shared" si="330"/>
        <v>68.03790652595303</v>
      </c>
      <c r="J719" s="129"/>
    </row>
    <row r="720" spans="1:10" ht="35.25" customHeight="1">
      <c r="A720" s="31" t="s">
        <v>311</v>
      </c>
      <c r="B720" s="205">
        <v>906</v>
      </c>
      <c r="C720" s="203" t="s">
        <v>303</v>
      </c>
      <c r="D720" s="203" t="s">
        <v>157</v>
      </c>
      <c r="E720" s="203" t="s">
        <v>916</v>
      </c>
      <c r="F720" s="210" t="s">
        <v>312</v>
      </c>
      <c r="G720" s="27">
        <f>G721</f>
        <v>464.3</v>
      </c>
      <c r="H720" s="27">
        <f t="shared" si="331"/>
        <v>315.9</v>
      </c>
      <c r="I720" s="27">
        <f t="shared" si="330"/>
        <v>68.03790652595303</v>
      </c>
      <c r="J720" s="129"/>
    </row>
    <row r="721" spans="1:10" ht="15.75" customHeight="1">
      <c r="A721" s="242" t="s">
        <v>313</v>
      </c>
      <c r="B721" s="205">
        <v>906</v>
      </c>
      <c r="C721" s="203" t="s">
        <v>303</v>
      </c>
      <c r="D721" s="203" t="s">
        <v>157</v>
      </c>
      <c r="E721" s="203" t="s">
        <v>916</v>
      </c>
      <c r="F721" s="210" t="s">
        <v>314</v>
      </c>
      <c r="G721" s="27">
        <v>464.3</v>
      </c>
      <c r="H721" s="27">
        <v>315.9</v>
      </c>
      <c r="I721" s="27">
        <f t="shared" si="330"/>
        <v>68.03790652595303</v>
      </c>
      <c r="J721" s="129"/>
    </row>
    <row r="722" spans="1:10" ht="15.75">
      <c r="A722" s="26" t="s">
        <v>160</v>
      </c>
      <c r="B722" s="205">
        <v>906</v>
      </c>
      <c r="C722" s="203" t="s">
        <v>303</v>
      </c>
      <c r="D722" s="203" t="s">
        <v>157</v>
      </c>
      <c r="E722" s="203" t="s">
        <v>161</v>
      </c>
      <c r="F722" s="203"/>
      <c r="G722" s="27">
        <f>G723</f>
        <v>75171.4</v>
      </c>
      <c r="H722" s="27">
        <f aca="true" t="shared" si="332" ref="H722">H723</f>
        <v>61186.6</v>
      </c>
      <c r="I722" s="27">
        <f t="shared" si="330"/>
        <v>81.39611607606085</v>
      </c>
      <c r="J722" s="129"/>
    </row>
    <row r="723" spans="1:10" ht="15.75">
      <c r="A723" s="26" t="s">
        <v>224</v>
      </c>
      <c r="B723" s="205">
        <v>906</v>
      </c>
      <c r="C723" s="203" t="s">
        <v>303</v>
      </c>
      <c r="D723" s="203" t="s">
        <v>157</v>
      </c>
      <c r="E723" s="203" t="s">
        <v>225</v>
      </c>
      <c r="F723" s="203"/>
      <c r="G723" s="27">
        <f>G727+G730+G733+G736+G739+G742+G724</f>
        <v>75171.4</v>
      </c>
      <c r="H723" s="27">
        <f aca="true" t="shared" si="333" ref="H723">H727+H730+H733+H736+H739+H742+H724</f>
        <v>61186.6</v>
      </c>
      <c r="I723" s="27">
        <f t="shared" si="330"/>
        <v>81.39611607606085</v>
      </c>
      <c r="J723" s="129"/>
    </row>
    <row r="724" spans="1:10" ht="114.75" customHeight="1">
      <c r="A724" s="26" t="s">
        <v>463</v>
      </c>
      <c r="B724" s="205">
        <v>906</v>
      </c>
      <c r="C724" s="203" t="s">
        <v>303</v>
      </c>
      <c r="D724" s="203" t="s">
        <v>157</v>
      </c>
      <c r="E724" s="203" t="s">
        <v>968</v>
      </c>
      <c r="F724" s="203"/>
      <c r="G724" s="27">
        <f>G725</f>
        <v>165.9</v>
      </c>
      <c r="H724" s="27">
        <f aca="true" t="shared" si="334" ref="H724:H725">H725</f>
        <v>97.4</v>
      </c>
      <c r="I724" s="27">
        <f t="shared" si="330"/>
        <v>58.71006630500302</v>
      </c>
      <c r="J724" s="129"/>
    </row>
    <row r="725" spans="1:10" ht="31.5">
      <c r="A725" s="26" t="s">
        <v>311</v>
      </c>
      <c r="B725" s="205">
        <v>906</v>
      </c>
      <c r="C725" s="203" t="s">
        <v>303</v>
      </c>
      <c r="D725" s="203" t="s">
        <v>157</v>
      </c>
      <c r="E725" s="203" t="s">
        <v>968</v>
      </c>
      <c r="F725" s="203" t="s">
        <v>312</v>
      </c>
      <c r="G725" s="27">
        <f>G726</f>
        <v>165.9</v>
      </c>
      <c r="H725" s="27">
        <f t="shared" si="334"/>
        <v>97.4</v>
      </c>
      <c r="I725" s="27">
        <f t="shared" si="330"/>
        <v>58.71006630500302</v>
      </c>
      <c r="J725" s="129"/>
    </row>
    <row r="726" spans="1:10" ht="15.75">
      <c r="A726" s="26" t="s">
        <v>313</v>
      </c>
      <c r="B726" s="205">
        <v>906</v>
      </c>
      <c r="C726" s="203" t="s">
        <v>303</v>
      </c>
      <c r="D726" s="203" t="s">
        <v>157</v>
      </c>
      <c r="E726" s="203" t="s">
        <v>968</v>
      </c>
      <c r="F726" s="203" t="s">
        <v>314</v>
      </c>
      <c r="G726" s="27">
        <v>165.9</v>
      </c>
      <c r="H726" s="27">
        <v>97.4</v>
      </c>
      <c r="I726" s="27">
        <f t="shared" si="330"/>
        <v>58.71006630500302</v>
      </c>
      <c r="J726" s="129"/>
    </row>
    <row r="727" spans="1:10" ht="31.5" customHeight="1" hidden="1">
      <c r="A727" s="26" t="s">
        <v>458</v>
      </c>
      <c r="B727" s="205">
        <v>906</v>
      </c>
      <c r="C727" s="203" t="s">
        <v>303</v>
      </c>
      <c r="D727" s="203" t="s">
        <v>157</v>
      </c>
      <c r="E727" s="203" t="s">
        <v>459</v>
      </c>
      <c r="F727" s="203"/>
      <c r="G727" s="27">
        <f>G728</f>
        <v>0</v>
      </c>
      <c r="H727" s="27">
        <f aca="true" t="shared" si="335" ref="H727:H728">H728</f>
        <v>0</v>
      </c>
      <c r="I727" s="27" t="e">
        <f t="shared" si="330"/>
        <v>#DIV/0!</v>
      </c>
      <c r="J727" s="129"/>
    </row>
    <row r="728" spans="1:10" ht="47.25" customHeight="1" hidden="1">
      <c r="A728" s="26" t="s">
        <v>311</v>
      </c>
      <c r="B728" s="205">
        <v>906</v>
      </c>
      <c r="C728" s="203" t="s">
        <v>303</v>
      </c>
      <c r="D728" s="203" t="s">
        <v>157</v>
      </c>
      <c r="E728" s="203" t="s">
        <v>459</v>
      </c>
      <c r="F728" s="203" t="s">
        <v>312</v>
      </c>
      <c r="G728" s="27">
        <f>G729</f>
        <v>0</v>
      </c>
      <c r="H728" s="27">
        <f t="shared" si="335"/>
        <v>0</v>
      </c>
      <c r="I728" s="27" t="e">
        <f t="shared" si="330"/>
        <v>#DIV/0!</v>
      </c>
      <c r="J728" s="129"/>
    </row>
    <row r="729" spans="1:10" ht="15.75" customHeight="1" hidden="1">
      <c r="A729" s="26" t="s">
        <v>313</v>
      </c>
      <c r="B729" s="205">
        <v>906</v>
      </c>
      <c r="C729" s="203" t="s">
        <v>303</v>
      </c>
      <c r="D729" s="203" t="s">
        <v>157</v>
      </c>
      <c r="E729" s="203" t="s">
        <v>459</v>
      </c>
      <c r="F729" s="203" t="s">
        <v>314</v>
      </c>
      <c r="G729" s="27"/>
      <c r="H729" s="27"/>
      <c r="I729" s="27" t="e">
        <f t="shared" si="330"/>
        <v>#DIV/0!</v>
      </c>
      <c r="J729" s="129"/>
    </row>
    <row r="730" spans="1:10" ht="47.25">
      <c r="A730" s="33" t="s">
        <v>328</v>
      </c>
      <c r="B730" s="205">
        <v>906</v>
      </c>
      <c r="C730" s="203" t="s">
        <v>303</v>
      </c>
      <c r="D730" s="203" t="s">
        <v>157</v>
      </c>
      <c r="E730" s="203" t="s">
        <v>329</v>
      </c>
      <c r="F730" s="203"/>
      <c r="G730" s="27">
        <f>G731</f>
        <v>310.2</v>
      </c>
      <c r="H730" s="27">
        <f aca="true" t="shared" si="336" ref="H730:H731">H731</f>
        <v>271.8</v>
      </c>
      <c r="I730" s="27">
        <f t="shared" si="330"/>
        <v>87.62088974854933</v>
      </c>
      <c r="J730" s="129"/>
    </row>
    <row r="731" spans="1:10" ht="31.5">
      <c r="A731" s="26" t="s">
        <v>311</v>
      </c>
      <c r="B731" s="205">
        <v>906</v>
      </c>
      <c r="C731" s="203" t="s">
        <v>303</v>
      </c>
      <c r="D731" s="203" t="s">
        <v>157</v>
      </c>
      <c r="E731" s="203" t="s">
        <v>329</v>
      </c>
      <c r="F731" s="203" t="s">
        <v>312</v>
      </c>
      <c r="G731" s="27">
        <f>G732</f>
        <v>310.2</v>
      </c>
      <c r="H731" s="27">
        <f t="shared" si="336"/>
        <v>271.8</v>
      </c>
      <c r="I731" s="27">
        <f t="shared" si="330"/>
        <v>87.62088974854933</v>
      </c>
      <c r="J731" s="129"/>
    </row>
    <row r="732" spans="1:10" ht="15.75">
      <c r="A732" s="26" t="s">
        <v>313</v>
      </c>
      <c r="B732" s="205">
        <v>906</v>
      </c>
      <c r="C732" s="203" t="s">
        <v>303</v>
      </c>
      <c r="D732" s="203" t="s">
        <v>157</v>
      </c>
      <c r="E732" s="203" t="s">
        <v>329</v>
      </c>
      <c r="F732" s="203" t="s">
        <v>314</v>
      </c>
      <c r="G732" s="27">
        <f>416.2-106</f>
        <v>310.2</v>
      </c>
      <c r="H732" s="27">
        <v>271.8</v>
      </c>
      <c r="I732" s="27">
        <f t="shared" si="330"/>
        <v>87.62088974854933</v>
      </c>
      <c r="J732" s="129"/>
    </row>
    <row r="733" spans="1:10" ht="63">
      <c r="A733" s="33" t="s">
        <v>460</v>
      </c>
      <c r="B733" s="205">
        <v>906</v>
      </c>
      <c r="C733" s="203" t="s">
        <v>303</v>
      </c>
      <c r="D733" s="203" t="s">
        <v>157</v>
      </c>
      <c r="E733" s="203" t="s">
        <v>331</v>
      </c>
      <c r="F733" s="203"/>
      <c r="G733" s="27">
        <f>G734</f>
        <v>1755.8</v>
      </c>
      <c r="H733" s="27">
        <f aca="true" t="shared" si="337" ref="H733:H734">H734</f>
        <v>931.6</v>
      </c>
      <c r="I733" s="27">
        <f t="shared" si="330"/>
        <v>53.05843490146942</v>
      </c>
      <c r="J733" s="129"/>
    </row>
    <row r="734" spans="1:10" ht="31.5">
      <c r="A734" s="26" t="s">
        <v>311</v>
      </c>
      <c r="B734" s="205">
        <v>906</v>
      </c>
      <c r="C734" s="203" t="s">
        <v>303</v>
      </c>
      <c r="D734" s="203" t="s">
        <v>157</v>
      </c>
      <c r="E734" s="203" t="s">
        <v>331</v>
      </c>
      <c r="F734" s="203" t="s">
        <v>312</v>
      </c>
      <c r="G734" s="27">
        <f>G735</f>
        <v>1755.8</v>
      </c>
      <c r="H734" s="27">
        <f t="shared" si="337"/>
        <v>931.6</v>
      </c>
      <c r="I734" s="27">
        <f t="shared" si="330"/>
        <v>53.05843490146942</v>
      </c>
      <c r="J734" s="129"/>
    </row>
    <row r="735" spans="1:10" ht="15.75">
      <c r="A735" s="26" t="s">
        <v>313</v>
      </c>
      <c r="B735" s="205">
        <v>906</v>
      </c>
      <c r="C735" s="203" t="s">
        <v>303</v>
      </c>
      <c r="D735" s="203" t="s">
        <v>157</v>
      </c>
      <c r="E735" s="203" t="s">
        <v>331</v>
      </c>
      <c r="F735" s="203" t="s">
        <v>314</v>
      </c>
      <c r="G735" s="27">
        <f>1900-203.2+59</f>
        <v>1755.8</v>
      </c>
      <c r="H735" s="27">
        <v>931.6</v>
      </c>
      <c r="I735" s="27">
        <f t="shared" si="330"/>
        <v>53.05843490146942</v>
      </c>
      <c r="J735" s="129"/>
    </row>
    <row r="736" spans="1:10" ht="78.75">
      <c r="A736" s="33" t="s">
        <v>461</v>
      </c>
      <c r="B736" s="205">
        <v>906</v>
      </c>
      <c r="C736" s="203" t="s">
        <v>303</v>
      </c>
      <c r="D736" s="203" t="s">
        <v>157</v>
      </c>
      <c r="E736" s="203" t="s">
        <v>462</v>
      </c>
      <c r="F736" s="203"/>
      <c r="G736" s="27">
        <f>G737</f>
        <v>70227.1</v>
      </c>
      <c r="H736" s="27">
        <f aca="true" t="shared" si="338" ref="H736:H737">H737</f>
        <v>57624.7</v>
      </c>
      <c r="I736" s="27">
        <f t="shared" si="330"/>
        <v>82.05479081437221</v>
      </c>
      <c r="J736" s="129"/>
    </row>
    <row r="737" spans="1:10" ht="36.75" customHeight="1">
      <c r="A737" s="26" t="s">
        <v>311</v>
      </c>
      <c r="B737" s="205">
        <v>906</v>
      </c>
      <c r="C737" s="203" t="s">
        <v>303</v>
      </c>
      <c r="D737" s="203" t="s">
        <v>157</v>
      </c>
      <c r="E737" s="203" t="s">
        <v>462</v>
      </c>
      <c r="F737" s="203" t="s">
        <v>312</v>
      </c>
      <c r="G737" s="27">
        <f>G738</f>
        <v>70227.1</v>
      </c>
      <c r="H737" s="27">
        <f t="shared" si="338"/>
        <v>57624.7</v>
      </c>
      <c r="I737" s="27">
        <f t="shared" si="330"/>
        <v>82.05479081437221</v>
      </c>
      <c r="J737" s="129"/>
    </row>
    <row r="738" spans="1:10" ht="15.75">
      <c r="A738" s="26" t="s">
        <v>313</v>
      </c>
      <c r="B738" s="205">
        <v>906</v>
      </c>
      <c r="C738" s="203" t="s">
        <v>303</v>
      </c>
      <c r="D738" s="203" t="s">
        <v>157</v>
      </c>
      <c r="E738" s="203" t="s">
        <v>462</v>
      </c>
      <c r="F738" s="203" t="s">
        <v>314</v>
      </c>
      <c r="G738" s="28">
        <v>70227.1</v>
      </c>
      <c r="H738" s="28">
        <v>57624.7</v>
      </c>
      <c r="I738" s="27">
        <f t="shared" si="330"/>
        <v>82.05479081437221</v>
      </c>
      <c r="J738" s="129"/>
    </row>
    <row r="739" spans="1:10" ht="93.75" customHeight="1">
      <c r="A739" s="33" t="s">
        <v>332</v>
      </c>
      <c r="B739" s="205">
        <v>906</v>
      </c>
      <c r="C739" s="203" t="s">
        <v>303</v>
      </c>
      <c r="D739" s="203" t="s">
        <v>157</v>
      </c>
      <c r="E739" s="203" t="s">
        <v>333</v>
      </c>
      <c r="F739" s="203"/>
      <c r="G739" s="27">
        <f>G740</f>
        <v>2712.4</v>
      </c>
      <c r="H739" s="27">
        <f aca="true" t="shared" si="339" ref="H739:H740">H740</f>
        <v>2261.1</v>
      </c>
      <c r="I739" s="27">
        <f t="shared" si="330"/>
        <v>83.36159858427959</v>
      </c>
      <c r="J739" s="129"/>
    </row>
    <row r="740" spans="1:10" ht="35.25" customHeight="1">
      <c r="A740" s="26" t="s">
        <v>311</v>
      </c>
      <c r="B740" s="205">
        <v>906</v>
      </c>
      <c r="C740" s="203" t="s">
        <v>303</v>
      </c>
      <c r="D740" s="203" t="s">
        <v>157</v>
      </c>
      <c r="E740" s="203" t="s">
        <v>333</v>
      </c>
      <c r="F740" s="203" t="s">
        <v>312</v>
      </c>
      <c r="G740" s="27">
        <f>G741</f>
        <v>2712.4</v>
      </c>
      <c r="H740" s="27">
        <f t="shared" si="339"/>
        <v>2261.1</v>
      </c>
      <c r="I740" s="27">
        <f t="shared" si="330"/>
        <v>83.36159858427959</v>
      </c>
      <c r="J740" s="129"/>
    </row>
    <row r="741" spans="1:10" ht="15.75">
      <c r="A741" s="26" t="s">
        <v>313</v>
      </c>
      <c r="B741" s="205">
        <v>906</v>
      </c>
      <c r="C741" s="203" t="s">
        <v>303</v>
      </c>
      <c r="D741" s="203" t="s">
        <v>157</v>
      </c>
      <c r="E741" s="203" t="s">
        <v>333</v>
      </c>
      <c r="F741" s="203" t="s">
        <v>314</v>
      </c>
      <c r="G741" s="28">
        <f>2937.2-58.2-49+300-300-117.6</f>
        <v>2712.4</v>
      </c>
      <c r="H741" s="28">
        <v>2261.1</v>
      </c>
      <c r="I741" s="27">
        <f t="shared" si="330"/>
        <v>83.36159858427959</v>
      </c>
      <c r="J741" s="129"/>
    </row>
    <row r="742" spans="1:10" ht="157.5" customHeight="1" hidden="1">
      <c r="A742" s="26" t="s">
        <v>463</v>
      </c>
      <c r="B742" s="205">
        <v>906</v>
      </c>
      <c r="C742" s="203" t="s">
        <v>303</v>
      </c>
      <c r="D742" s="203" t="s">
        <v>157</v>
      </c>
      <c r="E742" s="203" t="s">
        <v>464</v>
      </c>
      <c r="F742" s="203"/>
      <c r="G742" s="28">
        <f>G743</f>
        <v>0</v>
      </c>
      <c r="H742" s="28">
        <f aca="true" t="shared" si="340" ref="H742:H743">H743</f>
        <v>0</v>
      </c>
      <c r="I742" s="22" t="e">
        <f t="shared" si="330"/>
        <v>#DIV/0!</v>
      </c>
      <c r="J742" s="129"/>
    </row>
    <row r="743" spans="1:10" ht="47.25" customHeight="1" hidden="1">
      <c r="A743" s="26" t="s">
        <v>311</v>
      </c>
      <c r="B743" s="205">
        <v>906</v>
      </c>
      <c r="C743" s="203" t="s">
        <v>303</v>
      </c>
      <c r="D743" s="203" t="s">
        <v>157</v>
      </c>
      <c r="E743" s="203" t="s">
        <v>464</v>
      </c>
      <c r="F743" s="203" t="s">
        <v>312</v>
      </c>
      <c r="G743" s="28">
        <f>G744</f>
        <v>0</v>
      </c>
      <c r="H743" s="28">
        <f t="shared" si="340"/>
        <v>0</v>
      </c>
      <c r="I743" s="22" t="e">
        <f t="shared" si="330"/>
        <v>#DIV/0!</v>
      </c>
      <c r="J743" s="129"/>
    </row>
    <row r="744" spans="1:10" ht="15.75" customHeight="1" hidden="1">
      <c r="A744" s="26" t="s">
        <v>313</v>
      </c>
      <c r="B744" s="205">
        <v>906</v>
      </c>
      <c r="C744" s="203" t="s">
        <v>303</v>
      </c>
      <c r="D744" s="203" t="s">
        <v>157</v>
      </c>
      <c r="E744" s="203" t="s">
        <v>464</v>
      </c>
      <c r="F744" s="203" t="s">
        <v>314</v>
      </c>
      <c r="G744" s="28">
        <f>276.5-276.5</f>
        <v>0</v>
      </c>
      <c r="H744" s="28">
        <f aca="true" t="shared" si="341" ref="H744">276.5-276.5</f>
        <v>0</v>
      </c>
      <c r="I744" s="22" t="e">
        <f t="shared" si="330"/>
        <v>#DIV/0!</v>
      </c>
      <c r="J744" s="129"/>
    </row>
    <row r="745" spans="1:10" ht="15.75">
      <c r="A745" s="24" t="s">
        <v>465</v>
      </c>
      <c r="B745" s="202">
        <v>906</v>
      </c>
      <c r="C745" s="204" t="s">
        <v>303</v>
      </c>
      <c r="D745" s="204" t="s">
        <v>252</v>
      </c>
      <c r="E745" s="204"/>
      <c r="F745" s="204"/>
      <c r="G745" s="22">
        <f>G746+G793+G785+G789</f>
        <v>141314.1</v>
      </c>
      <c r="H745" s="22">
        <f aca="true" t="shared" si="342" ref="H745">H746+H793+H785+H789</f>
        <v>116946.5</v>
      </c>
      <c r="I745" s="22">
        <f t="shared" si="330"/>
        <v>82.75642699490001</v>
      </c>
      <c r="J745" s="129"/>
    </row>
    <row r="746" spans="1:10" ht="31.5">
      <c r="A746" s="26" t="s">
        <v>466</v>
      </c>
      <c r="B746" s="205">
        <v>906</v>
      </c>
      <c r="C746" s="203" t="s">
        <v>303</v>
      </c>
      <c r="D746" s="203" t="s">
        <v>252</v>
      </c>
      <c r="E746" s="203" t="s">
        <v>446</v>
      </c>
      <c r="F746" s="203"/>
      <c r="G746" s="27">
        <f>G747+G751</f>
        <v>37048.1</v>
      </c>
      <c r="H746" s="27">
        <f aca="true" t="shared" si="343" ref="H746">H747+H751</f>
        <v>26319.399999999998</v>
      </c>
      <c r="I746" s="27">
        <f t="shared" si="330"/>
        <v>71.04116000550636</v>
      </c>
      <c r="J746" s="129"/>
    </row>
    <row r="747" spans="1:10" ht="37.5" customHeight="1">
      <c r="A747" s="26" t="s">
        <v>447</v>
      </c>
      <c r="B747" s="205">
        <v>906</v>
      </c>
      <c r="C747" s="203" t="s">
        <v>303</v>
      </c>
      <c r="D747" s="203" t="s">
        <v>252</v>
      </c>
      <c r="E747" s="203" t="s">
        <v>448</v>
      </c>
      <c r="F747" s="203"/>
      <c r="G747" s="27">
        <f>G748</f>
        <v>27637.999999999996</v>
      </c>
      <c r="H747" s="27">
        <f aca="true" t="shared" si="344" ref="H747:H749">H748</f>
        <v>18675.6</v>
      </c>
      <c r="I747" s="27">
        <f t="shared" si="330"/>
        <v>67.5721832259932</v>
      </c>
      <c r="J747" s="129"/>
    </row>
    <row r="748" spans="1:10" ht="31.5">
      <c r="A748" s="26" t="s">
        <v>467</v>
      </c>
      <c r="B748" s="205">
        <v>906</v>
      </c>
      <c r="C748" s="203" t="s">
        <v>303</v>
      </c>
      <c r="D748" s="203" t="s">
        <v>252</v>
      </c>
      <c r="E748" s="203" t="s">
        <v>468</v>
      </c>
      <c r="F748" s="203"/>
      <c r="G748" s="27">
        <f>G749</f>
        <v>27637.999999999996</v>
      </c>
      <c r="H748" s="27">
        <f t="shared" si="344"/>
        <v>18675.6</v>
      </c>
      <c r="I748" s="27">
        <f t="shared" si="330"/>
        <v>67.5721832259932</v>
      </c>
      <c r="J748" s="129"/>
    </row>
    <row r="749" spans="1:10" ht="32.25" customHeight="1">
      <c r="A749" s="26" t="s">
        <v>311</v>
      </c>
      <c r="B749" s="205">
        <v>906</v>
      </c>
      <c r="C749" s="203" t="s">
        <v>303</v>
      </c>
      <c r="D749" s="203" t="s">
        <v>252</v>
      </c>
      <c r="E749" s="203" t="s">
        <v>468</v>
      </c>
      <c r="F749" s="203" t="s">
        <v>312</v>
      </c>
      <c r="G749" s="27">
        <f>G750</f>
        <v>27637.999999999996</v>
      </c>
      <c r="H749" s="27">
        <f t="shared" si="344"/>
        <v>18675.6</v>
      </c>
      <c r="I749" s="27">
        <f t="shared" si="330"/>
        <v>67.5721832259932</v>
      </c>
      <c r="J749" s="129"/>
    </row>
    <row r="750" spans="1:11" ht="15.75">
      <c r="A750" s="26" t="s">
        <v>313</v>
      </c>
      <c r="B750" s="205">
        <v>906</v>
      </c>
      <c r="C750" s="203" t="s">
        <v>303</v>
      </c>
      <c r="D750" s="203" t="s">
        <v>252</v>
      </c>
      <c r="E750" s="203" t="s">
        <v>468</v>
      </c>
      <c r="F750" s="203" t="s">
        <v>314</v>
      </c>
      <c r="G750" s="28">
        <f>31456.1-1653.7-621.6-237.5-539.9-92-100-455.2-118.2</f>
        <v>27637.999999999996</v>
      </c>
      <c r="H750" s="28">
        <v>18675.6</v>
      </c>
      <c r="I750" s="27">
        <f t="shared" si="330"/>
        <v>67.5721832259932</v>
      </c>
      <c r="J750" s="315"/>
      <c r="K750" s="129"/>
    </row>
    <row r="751" spans="1:11" ht="36" customHeight="1">
      <c r="A751" s="26" t="s">
        <v>470</v>
      </c>
      <c r="B751" s="205">
        <v>906</v>
      </c>
      <c r="C751" s="203" t="s">
        <v>303</v>
      </c>
      <c r="D751" s="203" t="s">
        <v>252</v>
      </c>
      <c r="E751" s="203" t="s">
        <v>471</v>
      </c>
      <c r="F751" s="203"/>
      <c r="G751" s="27">
        <f>G757+G773+G770+G776+G767+G752+G758+G761+G764+G779+G782</f>
        <v>9410.1</v>
      </c>
      <c r="H751" s="27">
        <f aca="true" t="shared" si="345" ref="H751">H757+H773+H770+H776+H767+H752+H758+H761+H764+H779+H782</f>
        <v>7643.8</v>
      </c>
      <c r="I751" s="27">
        <f t="shared" si="330"/>
        <v>81.22974251070659</v>
      </c>
      <c r="J751" s="289"/>
      <c r="K751" s="289"/>
    </row>
    <row r="752" spans="1:10" ht="63" customHeight="1" hidden="1">
      <c r="A752" s="26" t="s">
        <v>472</v>
      </c>
      <c r="B752" s="205">
        <v>906</v>
      </c>
      <c r="C752" s="203" t="s">
        <v>303</v>
      </c>
      <c r="D752" s="203" t="s">
        <v>252</v>
      </c>
      <c r="E752" s="203" t="s">
        <v>473</v>
      </c>
      <c r="F752" s="203"/>
      <c r="G752" s="27">
        <f>G753</f>
        <v>0</v>
      </c>
      <c r="H752" s="27">
        <f aca="true" t="shared" si="346" ref="H752:H753">H753</f>
        <v>0</v>
      </c>
      <c r="I752" s="27" t="e">
        <f t="shared" si="330"/>
        <v>#DIV/0!</v>
      </c>
      <c r="J752" s="129"/>
    </row>
    <row r="753" spans="1:10" ht="47.25" customHeight="1" hidden="1">
      <c r="A753" s="26" t="s">
        <v>311</v>
      </c>
      <c r="B753" s="205">
        <v>906</v>
      </c>
      <c r="C753" s="203" t="s">
        <v>303</v>
      </c>
      <c r="D753" s="203" t="s">
        <v>252</v>
      </c>
      <c r="E753" s="203" t="s">
        <v>473</v>
      </c>
      <c r="F753" s="203" t="s">
        <v>312</v>
      </c>
      <c r="G753" s="27">
        <f>G754</f>
        <v>0</v>
      </c>
      <c r="H753" s="27">
        <f t="shared" si="346"/>
        <v>0</v>
      </c>
      <c r="I753" s="27" t="e">
        <f t="shared" si="330"/>
        <v>#DIV/0!</v>
      </c>
      <c r="J753" s="129"/>
    </row>
    <row r="754" spans="1:10" ht="15.75" customHeight="1" hidden="1">
      <c r="A754" s="26" t="s">
        <v>313</v>
      </c>
      <c r="B754" s="205">
        <v>906</v>
      </c>
      <c r="C754" s="203" t="s">
        <v>303</v>
      </c>
      <c r="D754" s="203" t="s">
        <v>252</v>
      </c>
      <c r="E754" s="203" t="s">
        <v>473</v>
      </c>
      <c r="F754" s="203" t="s">
        <v>314</v>
      </c>
      <c r="G754" s="27">
        <v>0</v>
      </c>
      <c r="H754" s="27">
        <v>0</v>
      </c>
      <c r="I754" s="27" t="e">
        <f t="shared" si="330"/>
        <v>#DIV/0!</v>
      </c>
      <c r="J754" s="129"/>
    </row>
    <row r="755" spans="1:10" ht="48.75" customHeight="1" hidden="1">
      <c r="A755" s="26" t="s">
        <v>474</v>
      </c>
      <c r="B755" s="205">
        <v>906</v>
      </c>
      <c r="C755" s="203" t="s">
        <v>303</v>
      </c>
      <c r="D755" s="203" t="s">
        <v>252</v>
      </c>
      <c r="E755" s="203" t="s">
        <v>475</v>
      </c>
      <c r="F755" s="203"/>
      <c r="G755" s="27">
        <f>G756</f>
        <v>0</v>
      </c>
      <c r="H755" s="27">
        <f aca="true" t="shared" si="347" ref="H755:H756">H756</f>
        <v>0</v>
      </c>
      <c r="I755" s="27" t="e">
        <f t="shared" si="330"/>
        <v>#DIV/0!</v>
      </c>
      <c r="J755" s="129"/>
    </row>
    <row r="756" spans="1:10" ht="47.25" customHeight="1" hidden="1">
      <c r="A756" s="26" t="s">
        <v>311</v>
      </c>
      <c r="B756" s="205">
        <v>906</v>
      </c>
      <c r="C756" s="203" t="s">
        <v>303</v>
      </c>
      <c r="D756" s="203" t="s">
        <v>252</v>
      </c>
      <c r="E756" s="203" t="s">
        <v>475</v>
      </c>
      <c r="F756" s="203" t="s">
        <v>312</v>
      </c>
      <c r="G756" s="27">
        <f>G757</f>
        <v>0</v>
      </c>
      <c r="H756" s="27">
        <f t="shared" si="347"/>
        <v>0</v>
      </c>
      <c r="I756" s="27" t="e">
        <f t="shared" si="330"/>
        <v>#DIV/0!</v>
      </c>
      <c r="J756" s="129"/>
    </row>
    <row r="757" spans="1:10" ht="15.75" customHeight="1" hidden="1">
      <c r="A757" s="26" t="s">
        <v>313</v>
      </c>
      <c r="B757" s="205">
        <v>906</v>
      </c>
      <c r="C757" s="203" t="s">
        <v>303</v>
      </c>
      <c r="D757" s="203" t="s">
        <v>252</v>
      </c>
      <c r="E757" s="203" t="s">
        <v>475</v>
      </c>
      <c r="F757" s="203" t="s">
        <v>314</v>
      </c>
      <c r="G757" s="27">
        <v>0</v>
      </c>
      <c r="H757" s="27">
        <v>0</v>
      </c>
      <c r="I757" s="27" t="e">
        <f t="shared" si="330"/>
        <v>#DIV/0!</v>
      </c>
      <c r="J757" s="129"/>
    </row>
    <row r="758" spans="1:10" ht="52.5" customHeight="1">
      <c r="A758" s="278" t="s">
        <v>476</v>
      </c>
      <c r="B758" s="205">
        <v>906</v>
      </c>
      <c r="C758" s="203" t="s">
        <v>303</v>
      </c>
      <c r="D758" s="203" t="s">
        <v>252</v>
      </c>
      <c r="E758" s="203" t="s">
        <v>477</v>
      </c>
      <c r="F758" s="203"/>
      <c r="G758" s="27">
        <f>G759</f>
        <v>2914.2000000000003</v>
      </c>
      <c r="H758" s="27">
        <f aca="true" t="shared" si="348" ref="H758:H759">H759</f>
        <v>1488</v>
      </c>
      <c r="I758" s="27">
        <f t="shared" si="330"/>
        <v>51.060325303685396</v>
      </c>
      <c r="J758" s="129"/>
    </row>
    <row r="759" spans="1:10" ht="31.5">
      <c r="A759" s="26" t="s">
        <v>311</v>
      </c>
      <c r="B759" s="205">
        <v>906</v>
      </c>
      <c r="C759" s="203" t="s">
        <v>303</v>
      </c>
      <c r="D759" s="203" t="s">
        <v>252</v>
      </c>
      <c r="E759" s="203" t="s">
        <v>477</v>
      </c>
      <c r="F759" s="203" t="s">
        <v>312</v>
      </c>
      <c r="G759" s="27">
        <f>G760</f>
        <v>2914.2000000000003</v>
      </c>
      <c r="H759" s="27">
        <f t="shared" si="348"/>
        <v>1488</v>
      </c>
      <c r="I759" s="27">
        <f t="shared" si="330"/>
        <v>51.060325303685396</v>
      </c>
      <c r="J759" s="129"/>
    </row>
    <row r="760" spans="1:10" ht="15.75">
      <c r="A760" s="26" t="s">
        <v>313</v>
      </c>
      <c r="B760" s="205">
        <v>906</v>
      </c>
      <c r="C760" s="203" t="s">
        <v>303</v>
      </c>
      <c r="D760" s="203" t="s">
        <v>252</v>
      </c>
      <c r="E760" s="203" t="s">
        <v>477</v>
      </c>
      <c r="F760" s="203" t="s">
        <v>314</v>
      </c>
      <c r="G760" s="28">
        <f>2967.9-53.7</f>
        <v>2914.2000000000003</v>
      </c>
      <c r="H760" s="28">
        <v>1488</v>
      </c>
      <c r="I760" s="27">
        <f t="shared" si="330"/>
        <v>51.060325303685396</v>
      </c>
      <c r="J760" s="129"/>
    </row>
    <row r="761" spans="1:10" ht="47.25">
      <c r="A761" s="26" t="s">
        <v>478</v>
      </c>
      <c r="B761" s="205">
        <v>906</v>
      </c>
      <c r="C761" s="203" t="s">
        <v>303</v>
      </c>
      <c r="D761" s="203" t="s">
        <v>252</v>
      </c>
      <c r="E761" s="203" t="s">
        <v>479</v>
      </c>
      <c r="F761" s="203"/>
      <c r="G761" s="27">
        <f>G762</f>
        <v>416</v>
      </c>
      <c r="H761" s="27">
        <f aca="true" t="shared" si="349" ref="H761:H762">H762</f>
        <v>416</v>
      </c>
      <c r="I761" s="27">
        <f t="shared" si="330"/>
        <v>100</v>
      </c>
      <c r="J761" s="129"/>
    </row>
    <row r="762" spans="1:10" ht="31.5">
      <c r="A762" s="26" t="s">
        <v>311</v>
      </c>
      <c r="B762" s="205">
        <v>906</v>
      </c>
      <c r="C762" s="203" t="s">
        <v>303</v>
      </c>
      <c r="D762" s="203" t="s">
        <v>252</v>
      </c>
      <c r="E762" s="203" t="s">
        <v>479</v>
      </c>
      <c r="F762" s="203" t="s">
        <v>312</v>
      </c>
      <c r="G762" s="27">
        <f>G763</f>
        <v>416</v>
      </c>
      <c r="H762" s="27">
        <f t="shared" si="349"/>
        <v>416</v>
      </c>
      <c r="I762" s="27">
        <f t="shared" si="330"/>
        <v>100</v>
      </c>
      <c r="J762" s="129"/>
    </row>
    <row r="763" spans="1:10" ht="15.75">
      <c r="A763" s="26" t="s">
        <v>313</v>
      </c>
      <c r="B763" s="205">
        <v>906</v>
      </c>
      <c r="C763" s="203" t="s">
        <v>303</v>
      </c>
      <c r="D763" s="203" t="s">
        <v>252</v>
      </c>
      <c r="E763" s="203" t="s">
        <v>479</v>
      </c>
      <c r="F763" s="203" t="s">
        <v>314</v>
      </c>
      <c r="G763" s="27">
        <f>320+96</f>
        <v>416</v>
      </c>
      <c r="H763" s="27">
        <v>416</v>
      </c>
      <c r="I763" s="27">
        <f t="shared" si="330"/>
        <v>100</v>
      </c>
      <c r="J763" s="129"/>
    </row>
    <row r="764" spans="1:10" ht="34.5" customHeight="1">
      <c r="A764" s="26" t="s">
        <v>480</v>
      </c>
      <c r="B764" s="205">
        <v>906</v>
      </c>
      <c r="C764" s="203" t="s">
        <v>303</v>
      </c>
      <c r="D764" s="203" t="s">
        <v>252</v>
      </c>
      <c r="E764" s="203" t="s">
        <v>481</v>
      </c>
      <c r="F764" s="203"/>
      <c r="G764" s="27">
        <f>G765</f>
        <v>57.3</v>
      </c>
      <c r="H764" s="27">
        <f aca="true" t="shared" si="350" ref="H764:H765">H765</f>
        <v>57.3</v>
      </c>
      <c r="I764" s="27">
        <f t="shared" si="330"/>
        <v>100</v>
      </c>
      <c r="J764" s="129"/>
    </row>
    <row r="765" spans="1:10" ht="33.75" customHeight="1">
      <c r="A765" s="26" t="s">
        <v>311</v>
      </c>
      <c r="B765" s="205">
        <v>906</v>
      </c>
      <c r="C765" s="203" t="s">
        <v>303</v>
      </c>
      <c r="D765" s="203" t="s">
        <v>252</v>
      </c>
      <c r="E765" s="203" t="s">
        <v>481</v>
      </c>
      <c r="F765" s="203" t="s">
        <v>312</v>
      </c>
      <c r="G765" s="27">
        <f>G766</f>
        <v>57.3</v>
      </c>
      <c r="H765" s="27">
        <f t="shared" si="350"/>
        <v>57.3</v>
      </c>
      <c r="I765" s="27">
        <f t="shared" si="330"/>
        <v>100</v>
      </c>
      <c r="J765" s="129"/>
    </row>
    <row r="766" spans="1:10" ht="15.75" customHeight="1">
      <c r="A766" s="26" t="s">
        <v>313</v>
      </c>
      <c r="B766" s="205">
        <v>906</v>
      </c>
      <c r="C766" s="203" t="s">
        <v>303</v>
      </c>
      <c r="D766" s="203" t="s">
        <v>252</v>
      </c>
      <c r="E766" s="203" t="s">
        <v>481</v>
      </c>
      <c r="F766" s="203" t="s">
        <v>314</v>
      </c>
      <c r="G766" s="27">
        <f>25.3+32</f>
        <v>57.3</v>
      </c>
      <c r="H766" s="27">
        <v>57.3</v>
      </c>
      <c r="I766" s="27">
        <f t="shared" si="330"/>
        <v>100</v>
      </c>
      <c r="J766" s="129"/>
    </row>
    <row r="767" spans="1:10" ht="33.75" customHeight="1">
      <c r="A767" s="26" t="s">
        <v>317</v>
      </c>
      <c r="B767" s="205">
        <v>906</v>
      </c>
      <c r="C767" s="203" t="s">
        <v>303</v>
      </c>
      <c r="D767" s="203" t="s">
        <v>252</v>
      </c>
      <c r="E767" s="203" t="s">
        <v>482</v>
      </c>
      <c r="F767" s="203"/>
      <c r="G767" s="27">
        <f>G768</f>
        <v>1337.5</v>
      </c>
      <c r="H767" s="27">
        <f aca="true" t="shared" si="351" ref="H767:H768">H768</f>
        <v>1311.4</v>
      </c>
      <c r="I767" s="27">
        <f t="shared" si="330"/>
        <v>98.04859813084113</v>
      </c>
      <c r="J767" s="129"/>
    </row>
    <row r="768" spans="1:10" ht="31.5">
      <c r="A768" s="26" t="s">
        <v>311</v>
      </c>
      <c r="B768" s="205">
        <v>906</v>
      </c>
      <c r="C768" s="203" t="s">
        <v>303</v>
      </c>
      <c r="D768" s="203" t="s">
        <v>252</v>
      </c>
      <c r="E768" s="203" t="s">
        <v>482</v>
      </c>
      <c r="F768" s="203" t="s">
        <v>312</v>
      </c>
      <c r="G768" s="27">
        <f>G769</f>
        <v>1337.5</v>
      </c>
      <c r="H768" s="27">
        <f t="shared" si="351"/>
        <v>1311.4</v>
      </c>
      <c r="I768" s="27">
        <f t="shared" si="330"/>
        <v>98.04859813084113</v>
      </c>
      <c r="J768" s="129"/>
    </row>
    <row r="769" spans="1:10" ht="15.75">
      <c r="A769" s="26" t="s">
        <v>313</v>
      </c>
      <c r="B769" s="205">
        <v>906</v>
      </c>
      <c r="C769" s="203" t="s">
        <v>303</v>
      </c>
      <c r="D769" s="203" t="s">
        <v>252</v>
      </c>
      <c r="E769" s="203" t="s">
        <v>482</v>
      </c>
      <c r="F769" s="203" t="s">
        <v>314</v>
      </c>
      <c r="G769" s="27">
        <f>300+100-100+700+237.5+100</f>
        <v>1337.5</v>
      </c>
      <c r="H769" s="27">
        <v>1311.4</v>
      </c>
      <c r="I769" s="27">
        <f t="shared" si="330"/>
        <v>98.04859813084113</v>
      </c>
      <c r="J769" s="129"/>
    </row>
    <row r="770" spans="1:10" ht="31.5" customHeight="1">
      <c r="A770" s="26" t="s">
        <v>319</v>
      </c>
      <c r="B770" s="205">
        <v>906</v>
      </c>
      <c r="C770" s="203" t="s">
        <v>303</v>
      </c>
      <c r="D770" s="203" t="s">
        <v>252</v>
      </c>
      <c r="E770" s="203" t="s">
        <v>483</v>
      </c>
      <c r="F770" s="203"/>
      <c r="G770" s="27">
        <f>G771</f>
        <v>547.2</v>
      </c>
      <c r="H770" s="27">
        <f aca="true" t="shared" si="352" ref="H770:H771">H771</f>
        <v>547.2</v>
      </c>
      <c r="I770" s="27">
        <f t="shared" si="330"/>
        <v>100</v>
      </c>
      <c r="J770" s="129"/>
    </row>
    <row r="771" spans="1:10" ht="47.25" customHeight="1">
      <c r="A771" s="26" t="s">
        <v>311</v>
      </c>
      <c r="B771" s="205">
        <v>906</v>
      </c>
      <c r="C771" s="203" t="s">
        <v>303</v>
      </c>
      <c r="D771" s="203" t="s">
        <v>252</v>
      </c>
      <c r="E771" s="203" t="s">
        <v>483</v>
      </c>
      <c r="F771" s="203" t="s">
        <v>312</v>
      </c>
      <c r="G771" s="27">
        <f>G772</f>
        <v>547.2</v>
      </c>
      <c r="H771" s="27">
        <f t="shared" si="352"/>
        <v>547.2</v>
      </c>
      <c r="I771" s="27">
        <f t="shared" si="330"/>
        <v>100</v>
      </c>
      <c r="J771" s="129"/>
    </row>
    <row r="772" spans="1:10" ht="15.75" customHeight="1">
      <c r="A772" s="26" t="s">
        <v>313</v>
      </c>
      <c r="B772" s="205">
        <v>906</v>
      </c>
      <c r="C772" s="203" t="s">
        <v>303</v>
      </c>
      <c r="D772" s="203" t="s">
        <v>252</v>
      </c>
      <c r="E772" s="203" t="s">
        <v>483</v>
      </c>
      <c r="F772" s="203" t="s">
        <v>314</v>
      </c>
      <c r="G772" s="27">
        <f>92+455.2</f>
        <v>547.2</v>
      </c>
      <c r="H772" s="27">
        <v>547.2</v>
      </c>
      <c r="I772" s="27">
        <f t="shared" si="330"/>
        <v>100</v>
      </c>
      <c r="J772" s="129"/>
    </row>
    <row r="773" spans="1:10" ht="31.5">
      <c r="A773" s="26" t="s">
        <v>321</v>
      </c>
      <c r="B773" s="205">
        <v>906</v>
      </c>
      <c r="C773" s="203" t="s">
        <v>303</v>
      </c>
      <c r="D773" s="203" t="s">
        <v>252</v>
      </c>
      <c r="E773" s="203" t="s">
        <v>484</v>
      </c>
      <c r="F773" s="203"/>
      <c r="G773" s="27">
        <f>G774</f>
        <v>224.2</v>
      </c>
      <c r="H773" s="27">
        <f aca="true" t="shared" si="353" ref="H773:H774">H774</f>
        <v>162.6</v>
      </c>
      <c r="I773" s="27">
        <f t="shared" si="330"/>
        <v>72.52453166815343</v>
      </c>
      <c r="J773" s="129"/>
    </row>
    <row r="774" spans="1:10" ht="31.5">
      <c r="A774" s="26" t="s">
        <v>311</v>
      </c>
      <c r="B774" s="205">
        <v>906</v>
      </c>
      <c r="C774" s="203" t="s">
        <v>303</v>
      </c>
      <c r="D774" s="203" t="s">
        <v>252</v>
      </c>
      <c r="E774" s="203" t="s">
        <v>484</v>
      </c>
      <c r="F774" s="203" t="s">
        <v>312</v>
      </c>
      <c r="G774" s="27">
        <f>G775</f>
        <v>224.2</v>
      </c>
      <c r="H774" s="27">
        <f t="shared" si="353"/>
        <v>162.6</v>
      </c>
      <c r="I774" s="27">
        <f t="shared" si="330"/>
        <v>72.52453166815343</v>
      </c>
      <c r="J774" s="129"/>
    </row>
    <row r="775" spans="1:10" ht="15.75">
      <c r="A775" s="26" t="s">
        <v>313</v>
      </c>
      <c r="B775" s="205">
        <v>906</v>
      </c>
      <c r="C775" s="203" t="s">
        <v>303</v>
      </c>
      <c r="D775" s="203" t="s">
        <v>252</v>
      </c>
      <c r="E775" s="203" t="s">
        <v>484</v>
      </c>
      <c r="F775" s="203" t="s">
        <v>314</v>
      </c>
      <c r="G775" s="27">
        <f>127-72+72+97.2</f>
        <v>224.2</v>
      </c>
      <c r="H775" s="27">
        <v>162.6</v>
      </c>
      <c r="I775" s="27">
        <f t="shared" si="330"/>
        <v>72.52453166815343</v>
      </c>
      <c r="J775" s="129"/>
    </row>
    <row r="776" spans="1:10" ht="31.5">
      <c r="A776" s="26" t="s">
        <v>323</v>
      </c>
      <c r="B776" s="205">
        <v>906</v>
      </c>
      <c r="C776" s="203" t="s">
        <v>303</v>
      </c>
      <c r="D776" s="203" t="s">
        <v>252</v>
      </c>
      <c r="E776" s="203" t="s">
        <v>485</v>
      </c>
      <c r="F776" s="203"/>
      <c r="G776" s="27">
        <f>G777</f>
        <v>658.1</v>
      </c>
      <c r="H776" s="27">
        <f aca="true" t="shared" si="354" ref="H776:H777">H777</f>
        <v>658.2</v>
      </c>
      <c r="I776" s="27">
        <f t="shared" si="330"/>
        <v>100.01519525907918</v>
      </c>
      <c r="J776" s="129"/>
    </row>
    <row r="777" spans="1:10" ht="31.5">
      <c r="A777" s="26" t="s">
        <v>311</v>
      </c>
      <c r="B777" s="205">
        <v>906</v>
      </c>
      <c r="C777" s="203" t="s">
        <v>303</v>
      </c>
      <c r="D777" s="203" t="s">
        <v>252</v>
      </c>
      <c r="E777" s="203" t="s">
        <v>485</v>
      </c>
      <c r="F777" s="203" t="s">
        <v>312</v>
      </c>
      <c r="G777" s="27">
        <f>G778</f>
        <v>658.1</v>
      </c>
      <c r="H777" s="27">
        <f t="shared" si="354"/>
        <v>658.2</v>
      </c>
      <c r="I777" s="27">
        <f t="shared" si="330"/>
        <v>100.01519525907918</v>
      </c>
      <c r="J777" s="129"/>
    </row>
    <row r="778" spans="1:10" ht="15.75">
      <c r="A778" s="26" t="s">
        <v>313</v>
      </c>
      <c r="B778" s="205">
        <v>906</v>
      </c>
      <c r="C778" s="203" t="s">
        <v>303</v>
      </c>
      <c r="D778" s="203" t="s">
        <v>252</v>
      </c>
      <c r="E778" s="203" t="s">
        <v>485</v>
      </c>
      <c r="F778" s="203" t="s">
        <v>314</v>
      </c>
      <c r="G778" s="27">
        <f>539.9+118.2</f>
        <v>658.1</v>
      </c>
      <c r="H778" s="27">
        <v>658.2</v>
      </c>
      <c r="I778" s="27">
        <f t="shared" si="330"/>
        <v>100.01519525907918</v>
      </c>
      <c r="J778" s="129"/>
    </row>
    <row r="779" spans="1:10" ht="38.25" customHeight="1">
      <c r="A779" s="70" t="s">
        <v>837</v>
      </c>
      <c r="B779" s="205">
        <v>906</v>
      </c>
      <c r="C779" s="203" t="s">
        <v>303</v>
      </c>
      <c r="D779" s="203" t="s">
        <v>252</v>
      </c>
      <c r="E779" s="203" t="s">
        <v>839</v>
      </c>
      <c r="F779" s="203"/>
      <c r="G779" s="27">
        <f>G780</f>
        <v>2634</v>
      </c>
      <c r="H779" s="27">
        <f aca="true" t="shared" si="355" ref="H779:H780">H780</f>
        <v>2634</v>
      </c>
      <c r="I779" s="27">
        <f aca="true" t="shared" si="356" ref="I779:I842">H779/G779*100</f>
        <v>100</v>
      </c>
      <c r="J779" s="129"/>
    </row>
    <row r="780" spans="1:10" ht="31.5">
      <c r="A780" s="31" t="s">
        <v>311</v>
      </c>
      <c r="B780" s="205">
        <v>906</v>
      </c>
      <c r="C780" s="203" t="s">
        <v>303</v>
      </c>
      <c r="D780" s="203" t="s">
        <v>252</v>
      </c>
      <c r="E780" s="203" t="s">
        <v>839</v>
      </c>
      <c r="F780" s="203" t="s">
        <v>312</v>
      </c>
      <c r="G780" s="27">
        <f>G781</f>
        <v>2634</v>
      </c>
      <c r="H780" s="27">
        <f t="shared" si="355"/>
        <v>2634</v>
      </c>
      <c r="I780" s="27">
        <f t="shared" si="356"/>
        <v>100</v>
      </c>
      <c r="J780" s="129"/>
    </row>
    <row r="781" spans="1:10" ht="15.75">
      <c r="A781" s="242" t="s">
        <v>313</v>
      </c>
      <c r="B781" s="205">
        <v>906</v>
      </c>
      <c r="C781" s="203" t="s">
        <v>303</v>
      </c>
      <c r="D781" s="203" t="s">
        <v>252</v>
      </c>
      <c r="E781" s="203" t="s">
        <v>839</v>
      </c>
      <c r="F781" s="203" t="s">
        <v>314</v>
      </c>
      <c r="G781" s="27">
        <f>2634</f>
        <v>2634</v>
      </c>
      <c r="H781" s="27">
        <v>2634</v>
      </c>
      <c r="I781" s="27">
        <f t="shared" si="356"/>
        <v>100</v>
      </c>
      <c r="J781" s="291"/>
    </row>
    <row r="782" spans="1:10" s="300" customFormat="1" ht="47.25">
      <c r="A782" s="242" t="s">
        <v>1057</v>
      </c>
      <c r="B782" s="205">
        <v>906</v>
      </c>
      <c r="C782" s="203" t="s">
        <v>303</v>
      </c>
      <c r="D782" s="203" t="s">
        <v>252</v>
      </c>
      <c r="E782" s="203" t="s">
        <v>1058</v>
      </c>
      <c r="F782" s="203"/>
      <c r="G782" s="27">
        <f>G783</f>
        <v>621.6</v>
      </c>
      <c r="H782" s="27">
        <f aca="true" t="shared" si="357" ref="H782:H783">H783</f>
        <v>369.1</v>
      </c>
      <c r="I782" s="27">
        <f t="shared" si="356"/>
        <v>59.37902187902188</v>
      </c>
      <c r="J782" s="291"/>
    </row>
    <row r="783" spans="1:10" s="300" customFormat="1" ht="31.5">
      <c r="A783" s="33" t="s">
        <v>311</v>
      </c>
      <c r="B783" s="205">
        <v>906</v>
      </c>
      <c r="C783" s="203" t="s">
        <v>303</v>
      </c>
      <c r="D783" s="203" t="s">
        <v>252</v>
      </c>
      <c r="E783" s="203" t="s">
        <v>1058</v>
      </c>
      <c r="F783" s="203" t="s">
        <v>312</v>
      </c>
      <c r="G783" s="27">
        <f>G784</f>
        <v>621.6</v>
      </c>
      <c r="H783" s="27">
        <f t="shared" si="357"/>
        <v>369.1</v>
      </c>
      <c r="I783" s="27">
        <f t="shared" si="356"/>
        <v>59.37902187902188</v>
      </c>
      <c r="J783" s="291"/>
    </row>
    <row r="784" spans="1:10" s="300" customFormat="1" ht="15.75">
      <c r="A784" s="33" t="s">
        <v>313</v>
      </c>
      <c r="B784" s="205">
        <v>906</v>
      </c>
      <c r="C784" s="203" t="s">
        <v>303</v>
      </c>
      <c r="D784" s="203" t="s">
        <v>252</v>
      </c>
      <c r="E784" s="203" t="s">
        <v>1058</v>
      </c>
      <c r="F784" s="203" t="s">
        <v>314</v>
      </c>
      <c r="G784" s="27">
        <v>621.6</v>
      </c>
      <c r="H784" s="27">
        <v>369.1</v>
      </c>
      <c r="I784" s="27">
        <f t="shared" si="356"/>
        <v>59.37902187902188</v>
      </c>
      <c r="J784" s="291"/>
    </row>
    <row r="785" spans="1:10" ht="47.25">
      <c r="A785" s="33" t="s">
        <v>920</v>
      </c>
      <c r="B785" s="205">
        <v>906</v>
      </c>
      <c r="C785" s="203" t="s">
        <v>303</v>
      </c>
      <c r="D785" s="203" t="s">
        <v>252</v>
      </c>
      <c r="E785" s="203" t="s">
        <v>363</v>
      </c>
      <c r="F785" s="203"/>
      <c r="G785" s="27">
        <f>G786</f>
        <v>150</v>
      </c>
      <c r="H785" s="27">
        <f aca="true" t="shared" si="358" ref="H785:H787">H786</f>
        <v>150</v>
      </c>
      <c r="I785" s="27">
        <f t="shared" si="356"/>
        <v>100</v>
      </c>
      <c r="J785" s="289"/>
    </row>
    <row r="786" spans="1:10" ht="47.25">
      <c r="A786" s="33" t="s">
        <v>364</v>
      </c>
      <c r="B786" s="205">
        <v>906</v>
      </c>
      <c r="C786" s="203" t="s">
        <v>303</v>
      </c>
      <c r="D786" s="203" t="s">
        <v>252</v>
      </c>
      <c r="E786" s="203" t="s">
        <v>365</v>
      </c>
      <c r="F786" s="203"/>
      <c r="G786" s="27">
        <f>G787</f>
        <v>150</v>
      </c>
      <c r="H786" s="27">
        <f t="shared" si="358"/>
        <v>150</v>
      </c>
      <c r="I786" s="27">
        <f t="shared" si="356"/>
        <v>100</v>
      </c>
      <c r="J786" s="129"/>
    </row>
    <row r="787" spans="1:10" ht="31.5">
      <c r="A787" s="33" t="s">
        <v>311</v>
      </c>
      <c r="B787" s="205">
        <v>906</v>
      </c>
      <c r="C787" s="203" t="s">
        <v>303</v>
      </c>
      <c r="D787" s="203" t="s">
        <v>252</v>
      </c>
      <c r="E787" s="203" t="s">
        <v>365</v>
      </c>
      <c r="F787" s="203" t="s">
        <v>312</v>
      </c>
      <c r="G787" s="27">
        <f>G788</f>
        <v>150</v>
      </c>
      <c r="H787" s="27">
        <f t="shared" si="358"/>
        <v>150</v>
      </c>
      <c r="I787" s="27">
        <f t="shared" si="356"/>
        <v>100</v>
      </c>
      <c r="J787" s="129"/>
    </row>
    <row r="788" spans="1:10" ht="15.75">
      <c r="A788" s="33" t="s">
        <v>313</v>
      </c>
      <c r="B788" s="205">
        <v>906</v>
      </c>
      <c r="C788" s="203" t="s">
        <v>303</v>
      </c>
      <c r="D788" s="203" t="s">
        <v>252</v>
      </c>
      <c r="E788" s="203" t="s">
        <v>365</v>
      </c>
      <c r="F788" s="203" t="s">
        <v>314</v>
      </c>
      <c r="G788" s="27">
        <v>150</v>
      </c>
      <c r="H788" s="27">
        <v>150</v>
      </c>
      <c r="I788" s="27">
        <f t="shared" si="356"/>
        <v>100</v>
      </c>
      <c r="J788" s="129"/>
    </row>
    <row r="789" spans="1:10" ht="47.25">
      <c r="A789" s="31" t="s">
        <v>777</v>
      </c>
      <c r="B789" s="205">
        <v>906</v>
      </c>
      <c r="C789" s="203" t="s">
        <v>303</v>
      </c>
      <c r="D789" s="203" t="s">
        <v>252</v>
      </c>
      <c r="E789" s="203" t="s">
        <v>775</v>
      </c>
      <c r="F789" s="210"/>
      <c r="G789" s="27">
        <f>G790</f>
        <v>723.3</v>
      </c>
      <c r="H789" s="27">
        <f aca="true" t="shared" si="359" ref="H789:H791">H790</f>
        <v>605.3</v>
      </c>
      <c r="I789" s="27">
        <f t="shared" si="356"/>
        <v>83.68588414212637</v>
      </c>
      <c r="J789" s="129"/>
    </row>
    <row r="790" spans="1:10" ht="31.5">
      <c r="A790" s="119" t="s">
        <v>915</v>
      </c>
      <c r="B790" s="205">
        <v>906</v>
      </c>
      <c r="C790" s="203" t="s">
        <v>303</v>
      </c>
      <c r="D790" s="203" t="s">
        <v>252</v>
      </c>
      <c r="E790" s="203" t="s">
        <v>916</v>
      </c>
      <c r="F790" s="210"/>
      <c r="G790" s="27">
        <f>G791</f>
        <v>723.3</v>
      </c>
      <c r="H790" s="27">
        <f t="shared" si="359"/>
        <v>605.3</v>
      </c>
      <c r="I790" s="27">
        <f t="shared" si="356"/>
        <v>83.68588414212637</v>
      </c>
      <c r="J790" s="129"/>
    </row>
    <row r="791" spans="1:10" ht="39.75" customHeight="1">
      <c r="A791" s="31" t="s">
        <v>311</v>
      </c>
      <c r="B791" s="205">
        <v>906</v>
      </c>
      <c r="C791" s="203" t="s">
        <v>303</v>
      </c>
      <c r="D791" s="203" t="s">
        <v>252</v>
      </c>
      <c r="E791" s="203" t="s">
        <v>916</v>
      </c>
      <c r="F791" s="210" t="s">
        <v>312</v>
      </c>
      <c r="G791" s="27">
        <f>G792</f>
        <v>723.3</v>
      </c>
      <c r="H791" s="27">
        <f t="shared" si="359"/>
        <v>605.3</v>
      </c>
      <c r="I791" s="27">
        <f t="shared" si="356"/>
        <v>83.68588414212637</v>
      </c>
      <c r="J791" s="129"/>
    </row>
    <row r="792" spans="1:10" ht="15.75">
      <c r="A792" s="242" t="s">
        <v>313</v>
      </c>
      <c r="B792" s="205">
        <v>906</v>
      </c>
      <c r="C792" s="203" t="s">
        <v>303</v>
      </c>
      <c r="D792" s="203" t="s">
        <v>252</v>
      </c>
      <c r="E792" s="203" t="s">
        <v>916</v>
      </c>
      <c r="F792" s="210" t="s">
        <v>314</v>
      </c>
      <c r="G792" s="27">
        <v>723.3</v>
      </c>
      <c r="H792" s="27">
        <v>605.3</v>
      </c>
      <c r="I792" s="27">
        <f t="shared" si="356"/>
        <v>83.68588414212637</v>
      </c>
      <c r="J792" s="129"/>
    </row>
    <row r="793" spans="1:10" ht="15.75">
      <c r="A793" s="26" t="s">
        <v>160</v>
      </c>
      <c r="B793" s="205">
        <v>906</v>
      </c>
      <c r="C793" s="203" t="s">
        <v>303</v>
      </c>
      <c r="D793" s="203" t="s">
        <v>252</v>
      </c>
      <c r="E793" s="203" t="s">
        <v>161</v>
      </c>
      <c r="F793" s="203"/>
      <c r="G793" s="27">
        <f>G794</f>
        <v>103392.70000000001</v>
      </c>
      <c r="H793" s="27">
        <f aca="true" t="shared" si="360" ref="H793">H794</f>
        <v>89871.8</v>
      </c>
      <c r="I793" s="27">
        <f t="shared" si="356"/>
        <v>86.92277114341728</v>
      </c>
      <c r="J793" s="316"/>
    </row>
    <row r="794" spans="1:10" ht="15.75">
      <c r="A794" s="26" t="s">
        <v>224</v>
      </c>
      <c r="B794" s="205">
        <v>906</v>
      </c>
      <c r="C794" s="203" t="s">
        <v>303</v>
      </c>
      <c r="D794" s="203" t="s">
        <v>252</v>
      </c>
      <c r="E794" s="203" t="s">
        <v>225</v>
      </c>
      <c r="F794" s="203"/>
      <c r="G794" s="27">
        <f>G801+G804+G810+G813+G816+G819+G795+G798+G822+G807</f>
        <v>103392.70000000001</v>
      </c>
      <c r="H794" s="27">
        <f aca="true" t="shared" si="361" ref="H794">H801+H804+H810+H813+H816+H819+H795+H798+H822+H807</f>
        <v>89871.8</v>
      </c>
      <c r="I794" s="27">
        <f t="shared" si="356"/>
        <v>86.92277114341728</v>
      </c>
      <c r="J794" s="129"/>
    </row>
    <row r="795" spans="1:10" ht="47.25" customHeight="1" hidden="1">
      <c r="A795" s="26" t="s">
        <v>490</v>
      </c>
      <c r="B795" s="205">
        <v>906</v>
      </c>
      <c r="C795" s="203" t="s">
        <v>303</v>
      </c>
      <c r="D795" s="203" t="s">
        <v>252</v>
      </c>
      <c r="E795" s="203" t="s">
        <v>491</v>
      </c>
      <c r="F795" s="203"/>
      <c r="G795" s="27">
        <f>G796</f>
        <v>0</v>
      </c>
      <c r="H795" s="27">
        <f aca="true" t="shared" si="362" ref="H795:H796">H796</f>
        <v>0</v>
      </c>
      <c r="I795" s="27" t="e">
        <f t="shared" si="356"/>
        <v>#DIV/0!</v>
      </c>
      <c r="J795" s="129"/>
    </row>
    <row r="796" spans="1:10" ht="47.25" customHeight="1" hidden="1">
      <c r="A796" s="26" t="s">
        <v>311</v>
      </c>
      <c r="B796" s="205">
        <v>906</v>
      </c>
      <c r="C796" s="203" t="s">
        <v>303</v>
      </c>
      <c r="D796" s="203" t="s">
        <v>252</v>
      </c>
      <c r="E796" s="203" t="s">
        <v>491</v>
      </c>
      <c r="F796" s="203" t="s">
        <v>312</v>
      </c>
      <c r="G796" s="27">
        <f>G797</f>
        <v>0</v>
      </c>
      <c r="H796" s="27">
        <f t="shared" si="362"/>
        <v>0</v>
      </c>
      <c r="I796" s="27" t="e">
        <f t="shared" si="356"/>
        <v>#DIV/0!</v>
      </c>
      <c r="J796" s="129"/>
    </row>
    <row r="797" spans="1:10" ht="15.75" customHeight="1" hidden="1">
      <c r="A797" s="26" t="s">
        <v>313</v>
      </c>
      <c r="B797" s="205">
        <v>906</v>
      </c>
      <c r="C797" s="203" t="s">
        <v>303</v>
      </c>
      <c r="D797" s="203" t="s">
        <v>252</v>
      </c>
      <c r="E797" s="203" t="s">
        <v>491</v>
      </c>
      <c r="F797" s="203" t="s">
        <v>314</v>
      </c>
      <c r="G797" s="27">
        <v>0</v>
      </c>
      <c r="H797" s="27">
        <v>0</v>
      </c>
      <c r="I797" s="27" t="e">
        <f t="shared" si="356"/>
        <v>#DIV/0!</v>
      </c>
      <c r="J797" s="129"/>
    </row>
    <row r="798" spans="1:10" ht="15.75" customHeight="1" hidden="1">
      <c r="A798" s="26" t="s">
        <v>492</v>
      </c>
      <c r="B798" s="205">
        <v>906</v>
      </c>
      <c r="C798" s="203" t="s">
        <v>303</v>
      </c>
      <c r="D798" s="203" t="s">
        <v>252</v>
      </c>
      <c r="E798" s="203" t="s">
        <v>493</v>
      </c>
      <c r="F798" s="203"/>
      <c r="G798" s="27">
        <f>G799</f>
        <v>0</v>
      </c>
      <c r="H798" s="27">
        <f aca="true" t="shared" si="363" ref="H798:H799">H799</f>
        <v>0</v>
      </c>
      <c r="I798" s="27" t="e">
        <f t="shared" si="356"/>
        <v>#DIV/0!</v>
      </c>
      <c r="J798" s="129"/>
    </row>
    <row r="799" spans="1:10" ht="47.25" customHeight="1" hidden="1">
      <c r="A799" s="26" t="s">
        <v>311</v>
      </c>
      <c r="B799" s="205">
        <v>906</v>
      </c>
      <c r="C799" s="203" t="s">
        <v>303</v>
      </c>
      <c r="D799" s="203" t="s">
        <v>252</v>
      </c>
      <c r="E799" s="203" t="s">
        <v>493</v>
      </c>
      <c r="F799" s="203" t="s">
        <v>312</v>
      </c>
      <c r="G799" s="27">
        <f>G800</f>
        <v>0</v>
      </c>
      <c r="H799" s="27">
        <f t="shared" si="363"/>
        <v>0</v>
      </c>
      <c r="I799" s="27" t="e">
        <f t="shared" si="356"/>
        <v>#DIV/0!</v>
      </c>
      <c r="J799" s="129"/>
    </row>
    <row r="800" spans="1:10" ht="15.75" customHeight="1" hidden="1">
      <c r="A800" s="26" t="s">
        <v>313</v>
      </c>
      <c r="B800" s="205">
        <v>906</v>
      </c>
      <c r="C800" s="203" t="s">
        <v>303</v>
      </c>
      <c r="D800" s="203" t="s">
        <v>252</v>
      </c>
      <c r="E800" s="203" t="s">
        <v>493</v>
      </c>
      <c r="F800" s="203" t="s">
        <v>314</v>
      </c>
      <c r="G800" s="28">
        <v>0</v>
      </c>
      <c r="H800" s="28">
        <v>0</v>
      </c>
      <c r="I800" s="27" t="e">
        <f t="shared" si="356"/>
        <v>#DIV/0!</v>
      </c>
      <c r="J800" s="129"/>
    </row>
    <row r="801" spans="1:10" ht="31.5" customHeight="1" hidden="1">
      <c r="A801" s="26" t="s">
        <v>494</v>
      </c>
      <c r="B801" s="205">
        <v>906</v>
      </c>
      <c r="C801" s="203" t="s">
        <v>303</v>
      </c>
      <c r="D801" s="203" t="s">
        <v>252</v>
      </c>
      <c r="E801" s="203" t="s">
        <v>495</v>
      </c>
      <c r="F801" s="203"/>
      <c r="G801" s="27">
        <f>G802</f>
        <v>0</v>
      </c>
      <c r="H801" s="27">
        <f aca="true" t="shared" si="364" ref="H801:H802">H802</f>
        <v>0</v>
      </c>
      <c r="I801" s="27" t="e">
        <f t="shared" si="356"/>
        <v>#DIV/0!</v>
      </c>
      <c r="J801" s="129"/>
    </row>
    <row r="802" spans="1:10" ht="47.25" customHeight="1" hidden="1">
      <c r="A802" s="26" t="s">
        <v>311</v>
      </c>
      <c r="B802" s="205">
        <v>906</v>
      </c>
      <c r="C802" s="203" t="s">
        <v>303</v>
      </c>
      <c r="D802" s="203" t="s">
        <v>252</v>
      </c>
      <c r="E802" s="203" t="s">
        <v>495</v>
      </c>
      <c r="F802" s="203" t="s">
        <v>312</v>
      </c>
      <c r="G802" s="27">
        <f>G803</f>
        <v>0</v>
      </c>
      <c r="H802" s="27">
        <f t="shared" si="364"/>
        <v>0</v>
      </c>
      <c r="I802" s="27" t="e">
        <f t="shared" si="356"/>
        <v>#DIV/0!</v>
      </c>
      <c r="J802" s="129"/>
    </row>
    <row r="803" spans="1:10" ht="15.75" customHeight="1" hidden="1">
      <c r="A803" s="26" t="s">
        <v>313</v>
      </c>
      <c r="B803" s="205">
        <v>906</v>
      </c>
      <c r="C803" s="203" t="s">
        <v>303</v>
      </c>
      <c r="D803" s="203" t="s">
        <v>252</v>
      </c>
      <c r="E803" s="203" t="s">
        <v>495</v>
      </c>
      <c r="F803" s="203" t="s">
        <v>314</v>
      </c>
      <c r="G803" s="27">
        <f>157.3-157.3</f>
        <v>0</v>
      </c>
      <c r="H803" s="27">
        <f aca="true" t="shared" si="365" ref="H803">157.3-157.3</f>
        <v>0</v>
      </c>
      <c r="I803" s="27" t="e">
        <f t="shared" si="356"/>
        <v>#DIV/0!</v>
      </c>
      <c r="J803" s="129"/>
    </row>
    <row r="804" spans="1:10" ht="31.5">
      <c r="A804" s="26" t="s">
        <v>496</v>
      </c>
      <c r="B804" s="205">
        <v>906</v>
      </c>
      <c r="C804" s="203" t="s">
        <v>303</v>
      </c>
      <c r="D804" s="203" t="s">
        <v>252</v>
      </c>
      <c r="E804" s="203" t="s">
        <v>497</v>
      </c>
      <c r="F804" s="203"/>
      <c r="G804" s="27">
        <f>G805</f>
        <v>1668.6</v>
      </c>
      <c r="H804" s="27">
        <f aca="true" t="shared" si="366" ref="H804:H805">H805</f>
        <v>617</v>
      </c>
      <c r="I804" s="27">
        <f t="shared" si="356"/>
        <v>36.97710655639458</v>
      </c>
      <c r="J804" s="129"/>
    </row>
    <row r="805" spans="1:10" ht="41.25" customHeight="1">
      <c r="A805" s="26" t="s">
        <v>311</v>
      </c>
      <c r="B805" s="205">
        <v>906</v>
      </c>
      <c r="C805" s="203" t="s">
        <v>303</v>
      </c>
      <c r="D805" s="203" t="s">
        <v>252</v>
      </c>
      <c r="E805" s="203" t="s">
        <v>497</v>
      </c>
      <c r="F805" s="203" t="s">
        <v>312</v>
      </c>
      <c r="G805" s="27">
        <f>G806</f>
        <v>1668.6</v>
      </c>
      <c r="H805" s="27">
        <f t="shared" si="366"/>
        <v>617</v>
      </c>
      <c r="I805" s="27">
        <f t="shared" si="356"/>
        <v>36.97710655639458</v>
      </c>
      <c r="J805" s="129"/>
    </row>
    <row r="806" spans="1:10" ht="15.75">
      <c r="A806" s="26" t="s">
        <v>313</v>
      </c>
      <c r="B806" s="205">
        <v>906</v>
      </c>
      <c r="C806" s="203" t="s">
        <v>303</v>
      </c>
      <c r="D806" s="203" t="s">
        <v>252</v>
      </c>
      <c r="E806" s="203" t="s">
        <v>497</v>
      </c>
      <c r="F806" s="203" t="s">
        <v>314</v>
      </c>
      <c r="G806" s="28">
        <f>1317.5+351.1</f>
        <v>1668.6</v>
      </c>
      <c r="H806" s="28">
        <v>617</v>
      </c>
      <c r="I806" s="27">
        <f t="shared" si="356"/>
        <v>36.97710655639458</v>
      </c>
      <c r="J806" s="129"/>
    </row>
    <row r="807" spans="1:10" ht="31.5">
      <c r="A807" s="26" t="s">
        <v>498</v>
      </c>
      <c r="B807" s="205">
        <v>906</v>
      </c>
      <c r="C807" s="203" t="s">
        <v>303</v>
      </c>
      <c r="D807" s="203" t="s">
        <v>252</v>
      </c>
      <c r="E807" s="203" t="s">
        <v>499</v>
      </c>
      <c r="F807" s="203"/>
      <c r="G807" s="28">
        <f>G808</f>
        <v>496.7</v>
      </c>
      <c r="H807" s="28">
        <f aca="true" t="shared" si="367" ref="H807:H808">H808</f>
        <v>256.5</v>
      </c>
      <c r="I807" s="27">
        <f t="shared" si="356"/>
        <v>51.64082947453191</v>
      </c>
      <c r="J807" s="129"/>
    </row>
    <row r="808" spans="1:10" ht="39" customHeight="1">
      <c r="A808" s="26" t="s">
        <v>311</v>
      </c>
      <c r="B808" s="205">
        <v>906</v>
      </c>
      <c r="C808" s="203" t="s">
        <v>303</v>
      </c>
      <c r="D808" s="203" t="s">
        <v>252</v>
      </c>
      <c r="E808" s="203" t="s">
        <v>499</v>
      </c>
      <c r="F808" s="203" t="s">
        <v>312</v>
      </c>
      <c r="G808" s="28">
        <f>G809</f>
        <v>496.7</v>
      </c>
      <c r="H808" s="28">
        <f t="shared" si="367"/>
        <v>256.5</v>
      </c>
      <c r="I808" s="27">
        <f t="shared" si="356"/>
        <v>51.64082947453191</v>
      </c>
      <c r="J808" s="129"/>
    </row>
    <row r="809" spans="1:10" ht="15.75">
      <c r="A809" s="26" t="s">
        <v>313</v>
      </c>
      <c r="B809" s="205">
        <v>906</v>
      </c>
      <c r="C809" s="203" t="s">
        <v>303</v>
      </c>
      <c r="D809" s="203" t="s">
        <v>252</v>
      </c>
      <c r="E809" s="203" t="s">
        <v>499</v>
      </c>
      <c r="F809" s="203" t="s">
        <v>314</v>
      </c>
      <c r="G809" s="28">
        <f>733.5-244.8+8</f>
        <v>496.7</v>
      </c>
      <c r="H809" s="28">
        <v>256.5</v>
      </c>
      <c r="I809" s="27">
        <f t="shared" si="356"/>
        <v>51.64082947453191</v>
      </c>
      <c r="J809" s="129"/>
    </row>
    <row r="810" spans="1:10" ht="80.25" customHeight="1">
      <c r="A810" s="33" t="s">
        <v>500</v>
      </c>
      <c r="B810" s="205">
        <v>906</v>
      </c>
      <c r="C810" s="203" t="s">
        <v>303</v>
      </c>
      <c r="D810" s="203" t="s">
        <v>252</v>
      </c>
      <c r="E810" s="203" t="s">
        <v>501</v>
      </c>
      <c r="F810" s="203"/>
      <c r="G810" s="27">
        <f>G811</f>
        <v>92562.79999999999</v>
      </c>
      <c r="H810" s="27">
        <f aca="true" t="shared" si="368" ref="H810:H811">H811</f>
        <v>82772.1</v>
      </c>
      <c r="I810" s="27">
        <f t="shared" si="356"/>
        <v>89.42264062884875</v>
      </c>
      <c r="J810" s="129"/>
    </row>
    <row r="811" spans="1:10" ht="31.5">
      <c r="A811" s="26" t="s">
        <v>311</v>
      </c>
      <c r="B811" s="205">
        <v>906</v>
      </c>
      <c r="C811" s="203" t="s">
        <v>303</v>
      </c>
      <c r="D811" s="203" t="s">
        <v>252</v>
      </c>
      <c r="E811" s="203" t="s">
        <v>501</v>
      </c>
      <c r="F811" s="203" t="s">
        <v>312</v>
      </c>
      <c r="G811" s="27">
        <f>G812</f>
        <v>92562.79999999999</v>
      </c>
      <c r="H811" s="27">
        <f t="shared" si="368"/>
        <v>82772.1</v>
      </c>
      <c r="I811" s="27">
        <f t="shared" si="356"/>
        <v>89.42264062884875</v>
      </c>
      <c r="J811" s="129"/>
    </row>
    <row r="812" spans="1:10" ht="15.75">
      <c r="A812" s="26" t="s">
        <v>313</v>
      </c>
      <c r="B812" s="205">
        <v>906</v>
      </c>
      <c r="C812" s="203" t="s">
        <v>303</v>
      </c>
      <c r="D812" s="203" t="s">
        <v>252</v>
      </c>
      <c r="E812" s="203" t="s">
        <v>501</v>
      </c>
      <c r="F812" s="203" t="s">
        <v>314</v>
      </c>
      <c r="G812" s="28">
        <f>92921.9-359.1</f>
        <v>92562.79999999999</v>
      </c>
      <c r="H812" s="28">
        <v>82772.1</v>
      </c>
      <c r="I812" s="27">
        <f t="shared" si="356"/>
        <v>89.42264062884875</v>
      </c>
      <c r="J812" s="129"/>
    </row>
    <row r="813" spans="1:10" ht="47.25">
      <c r="A813" s="33" t="s">
        <v>328</v>
      </c>
      <c r="B813" s="205">
        <v>906</v>
      </c>
      <c r="C813" s="203" t="s">
        <v>303</v>
      </c>
      <c r="D813" s="203" t="s">
        <v>252</v>
      </c>
      <c r="E813" s="203" t="s">
        <v>329</v>
      </c>
      <c r="F813" s="203"/>
      <c r="G813" s="27">
        <f>G814</f>
        <v>605.5999999999999</v>
      </c>
      <c r="H813" s="27">
        <f aca="true" t="shared" si="369" ref="H813:H814">H814</f>
        <v>535.3</v>
      </c>
      <c r="I813" s="27">
        <f t="shared" si="356"/>
        <v>88.39167767503304</v>
      </c>
      <c r="J813" s="129"/>
    </row>
    <row r="814" spans="1:10" ht="31.5">
      <c r="A814" s="26" t="s">
        <v>311</v>
      </c>
      <c r="B814" s="205">
        <v>906</v>
      </c>
      <c r="C814" s="203" t="s">
        <v>303</v>
      </c>
      <c r="D814" s="203" t="s">
        <v>252</v>
      </c>
      <c r="E814" s="203" t="s">
        <v>329</v>
      </c>
      <c r="F814" s="203" t="s">
        <v>312</v>
      </c>
      <c r="G814" s="27">
        <f>G815</f>
        <v>605.5999999999999</v>
      </c>
      <c r="H814" s="27">
        <f t="shared" si="369"/>
        <v>535.3</v>
      </c>
      <c r="I814" s="27">
        <f t="shared" si="356"/>
        <v>88.39167767503304</v>
      </c>
      <c r="J814" s="129"/>
    </row>
    <row r="815" spans="1:10" ht="15.75">
      <c r="A815" s="26" t="s">
        <v>313</v>
      </c>
      <c r="B815" s="205">
        <v>906</v>
      </c>
      <c r="C815" s="203" t="s">
        <v>303</v>
      </c>
      <c r="D815" s="203" t="s">
        <v>252</v>
      </c>
      <c r="E815" s="203" t="s">
        <v>329</v>
      </c>
      <c r="F815" s="203" t="s">
        <v>314</v>
      </c>
      <c r="G815" s="28">
        <f>919.9+10.5-324.8</f>
        <v>605.5999999999999</v>
      </c>
      <c r="H815" s="28">
        <v>535.3</v>
      </c>
      <c r="I815" s="27">
        <f t="shared" si="356"/>
        <v>88.39167767503304</v>
      </c>
      <c r="J815" s="129"/>
    </row>
    <row r="816" spans="1:10" ht="63">
      <c r="A816" s="33" t="s">
        <v>330</v>
      </c>
      <c r="B816" s="205">
        <v>906</v>
      </c>
      <c r="C816" s="203" t="s">
        <v>303</v>
      </c>
      <c r="D816" s="203" t="s">
        <v>252</v>
      </c>
      <c r="E816" s="203" t="s">
        <v>331</v>
      </c>
      <c r="F816" s="203"/>
      <c r="G816" s="27">
        <f>G817</f>
        <v>2442.6</v>
      </c>
      <c r="H816" s="27">
        <f aca="true" t="shared" si="370" ref="H816:H817">H817</f>
        <v>1825.4</v>
      </c>
      <c r="I816" s="27">
        <f t="shared" si="356"/>
        <v>74.73184311798904</v>
      </c>
      <c r="J816" s="129"/>
    </row>
    <row r="817" spans="1:10" ht="35.25" customHeight="1">
      <c r="A817" s="26" t="s">
        <v>311</v>
      </c>
      <c r="B817" s="205">
        <v>906</v>
      </c>
      <c r="C817" s="203" t="s">
        <v>303</v>
      </c>
      <c r="D817" s="203" t="s">
        <v>252</v>
      </c>
      <c r="E817" s="203" t="s">
        <v>331</v>
      </c>
      <c r="F817" s="203" t="s">
        <v>312</v>
      </c>
      <c r="G817" s="27">
        <f>G818</f>
        <v>2442.6</v>
      </c>
      <c r="H817" s="27">
        <f t="shared" si="370"/>
        <v>1825.4</v>
      </c>
      <c r="I817" s="27">
        <f t="shared" si="356"/>
        <v>74.73184311798904</v>
      </c>
      <c r="J817" s="129"/>
    </row>
    <row r="818" spans="1:10" ht="15.75">
      <c r="A818" s="26" t="s">
        <v>313</v>
      </c>
      <c r="B818" s="205">
        <v>906</v>
      </c>
      <c r="C818" s="203" t="s">
        <v>303</v>
      </c>
      <c r="D818" s="203" t="s">
        <v>252</v>
      </c>
      <c r="E818" s="203" t="s">
        <v>331</v>
      </c>
      <c r="F818" s="203" t="s">
        <v>314</v>
      </c>
      <c r="G818" s="28">
        <f>2238.4+204.2</f>
        <v>2442.6</v>
      </c>
      <c r="H818" s="28">
        <v>1825.4</v>
      </c>
      <c r="I818" s="27">
        <f t="shared" si="356"/>
        <v>74.73184311798904</v>
      </c>
      <c r="J818" s="129"/>
    </row>
    <row r="819" spans="1:10" ht="47.25">
      <c r="A819" s="33" t="s">
        <v>502</v>
      </c>
      <c r="B819" s="205">
        <v>906</v>
      </c>
      <c r="C819" s="203" t="s">
        <v>303</v>
      </c>
      <c r="D819" s="203" t="s">
        <v>252</v>
      </c>
      <c r="E819" s="203" t="s">
        <v>503</v>
      </c>
      <c r="F819" s="203"/>
      <c r="G819" s="27">
        <f>G820</f>
        <v>946.8</v>
      </c>
      <c r="H819" s="27">
        <f aca="true" t="shared" si="371" ref="H819:H820">H820</f>
        <v>734.5</v>
      </c>
      <c r="I819" s="27">
        <f t="shared" si="356"/>
        <v>77.57710181664554</v>
      </c>
      <c r="J819" s="129"/>
    </row>
    <row r="820" spans="1:10" ht="31.5">
      <c r="A820" s="26" t="s">
        <v>311</v>
      </c>
      <c r="B820" s="205">
        <v>906</v>
      </c>
      <c r="C820" s="203" t="s">
        <v>303</v>
      </c>
      <c r="D820" s="203" t="s">
        <v>252</v>
      </c>
      <c r="E820" s="203" t="s">
        <v>503</v>
      </c>
      <c r="F820" s="203" t="s">
        <v>312</v>
      </c>
      <c r="G820" s="27">
        <f>G821</f>
        <v>946.8</v>
      </c>
      <c r="H820" s="27">
        <f t="shared" si="371"/>
        <v>734.5</v>
      </c>
      <c r="I820" s="27">
        <f t="shared" si="356"/>
        <v>77.57710181664554</v>
      </c>
      <c r="J820" s="129"/>
    </row>
    <row r="821" spans="1:10" ht="15.75">
      <c r="A821" s="26" t="s">
        <v>313</v>
      </c>
      <c r="B821" s="205">
        <v>906</v>
      </c>
      <c r="C821" s="203" t="s">
        <v>303</v>
      </c>
      <c r="D821" s="203" t="s">
        <v>252</v>
      </c>
      <c r="E821" s="203" t="s">
        <v>503</v>
      </c>
      <c r="F821" s="203" t="s">
        <v>314</v>
      </c>
      <c r="G821" s="28">
        <v>946.8</v>
      </c>
      <c r="H821" s="28">
        <v>734.5</v>
      </c>
      <c r="I821" s="27">
        <f t="shared" si="356"/>
        <v>77.57710181664554</v>
      </c>
      <c r="J821" s="129"/>
    </row>
    <row r="822" spans="1:10" ht="96" customHeight="1">
      <c r="A822" s="33" t="s">
        <v>504</v>
      </c>
      <c r="B822" s="205">
        <v>906</v>
      </c>
      <c r="C822" s="203" t="s">
        <v>303</v>
      </c>
      <c r="D822" s="203" t="s">
        <v>252</v>
      </c>
      <c r="E822" s="203" t="s">
        <v>333</v>
      </c>
      <c r="F822" s="203"/>
      <c r="G822" s="27">
        <f>G823</f>
        <v>4669.6</v>
      </c>
      <c r="H822" s="27">
        <f aca="true" t="shared" si="372" ref="H822:H823">H823</f>
        <v>3131</v>
      </c>
      <c r="I822" s="27">
        <f t="shared" si="356"/>
        <v>67.05071098166866</v>
      </c>
      <c r="J822" s="129"/>
    </row>
    <row r="823" spans="1:10" ht="36" customHeight="1">
      <c r="A823" s="26" t="s">
        <v>311</v>
      </c>
      <c r="B823" s="205">
        <v>906</v>
      </c>
      <c r="C823" s="203" t="s">
        <v>303</v>
      </c>
      <c r="D823" s="203" t="s">
        <v>252</v>
      </c>
      <c r="E823" s="203" t="s">
        <v>333</v>
      </c>
      <c r="F823" s="203" t="s">
        <v>312</v>
      </c>
      <c r="G823" s="27">
        <f>G824</f>
        <v>4669.6</v>
      </c>
      <c r="H823" s="27">
        <f t="shared" si="372"/>
        <v>3131</v>
      </c>
      <c r="I823" s="27">
        <f t="shared" si="356"/>
        <v>67.05071098166866</v>
      </c>
      <c r="J823" s="129"/>
    </row>
    <row r="824" spans="1:11" ht="15.75">
      <c r="A824" s="26" t="s">
        <v>313</v>
      </c>
      <c r="B824" s="205">
        <v>906</v>
      </c>
      <c r="C824" s="203" t="s">
        <v>303</v>
      </c>
      <c r="D824" s="203" t="s">
        <v>252</v>
      </c>
      <c r="E824" s="203" t="s">
        <v>333</v>
      </c>
      <c r="F824" s="203" t="s">
        <v>314</v>
      </c>
      <c r="G824" s="28">
        <f>5441.9-1072.9-74.3+582.6+114.9-114.9-207.7</f>
        <v>4669.6</v>
      </c>
      <c r="H824" s="28">
        <v>3131</v>
      </c>
      <c r="I824" s="27">
        <f t="shared" si="356"/>
        <v>67.05071098166866</v>
      </c>
      <c r="J824" s="129"/>
      <c r="K824" s="136"/>
    </row>
    <row r="825" spans="1:10" ht="15.75">
      <c r="A825" s="24" t="s">
        <v>304</v>
      </c>
      <c r="B825" s="202">
        <v>906</v>
      </c>
      <c r="C825" s="204" t="s">
        <v>303</v>
      </c>
      <c r="D825" s="204" t="s">
        <v>254</v>
      </c>
      <c r="E825" s="204"/>
      <c r="F825" s="204"/>
      <c r="G825" s="46">
        <f>G826+G842+G838</f>
        <v>33300.49999999999</v>
      </c>
      <c r="H825" s="46">
        <f aca="true" t="shared" si="373" ref="H825">H826+H842+H838</f>
        <v>24375.9</v>
      </c>
      <c r="I825" s="22">
        <f t="shared" si="356"/>
        <v>73.19980180477774</v>
      </c>
      <c r="J825" s="129"/>
    </row>
    <row r="826" spans="1:10" ht="31.5">
      <c r="A826" s="26" t="s">
        <v>466</v>
      </c>
      <c r="B826" s="205">
        <v>906</v>
      </c>
      <c r="C826" s="203" t="s">
        <v>303</v>
      </c>
      <c r="D826" s="203" t="s">
        <v>254</v>
      </c>
      <c r="E826" s="203" t="s">
        <v>446</v>
      </c>
      <c r="F826" s="203"/>
      <c r="G826" s="28">
        <f>G827+G831</f>
        <v>31457.399999999998</v>
      </c>
      <c r="H826" s="28">
        <f aca="true" t="shared" si="374" ref="H826">H827+H831</f>
        <v>22927.6</v>
      </c>
      <c r="I826" s="27">
        <f t="shared" si="356"/>
        <v>72.88459949010408</v>
      </c>
      <c r="J826" s="129"/>
    </row>
    <row r="827" spans="1:10" ht="36.75" customHeight="1">
      <c r="A827" s="26" t="s">
        <v>447</v>
      </c>
      <c r="B827" s="205">
        <v>906</v>
      </c>
      <c r="C827" s="203" t="s">
        <v>303</v>
      </c>
      <c r="D827" s="203" t="s">
        <v>254</v>
      </c>
      <c r="E827" s="203" t="s">
        <v>448</v>
      </c>
      <c r="F827" s="203"/>
      <c r="G827" s="28">
        <f>G828</f>
        <v>30768.399999999998</v>
      </c>
      <c r="H827" s="28">
        <f aca="true" t="shared" si="375" ref="H827:H829">H828</f>
        <v>22238.6</v>
      </c>
      <c r="I827" s="27">
        <f t="shared" si="356"/>
        <v>72.27740148984022</v>
      </c>
      <c r="J827" s="129"/>
    </row>
    <row r="828" spans="1:10" ht="31.5">
      <c r="A828" s="26" t="s">
        <v>309</v>
      </c>
      <c r="B828" s="205">
        <v>906</v>
      </c>
      <c r="C828" s="203" t="s">
        <v>303</v>
      </c>
      <c r="D828" s="203" t="s">
        <v>254</v>
      </c>
      <c r="E828" s="203" t="s">
        <v>469</v>
      </c>
      <c r="F828" s="203"/>
      <c r="G828" s="28">
        <f>G829</f>
        <v>30768.399999999998</v>
      </c>
      <c r="H828" s="28">
        <f t="shared" si="375"/>
        <v>22238.6</v>
      </c>
      <c r="I828" s="27">
        <f t="shared" si="356"/>
        <v>72.27740148984022</v>
      </c>
      <c r="J828" s="129"/>
    </row>
    <row r="829" spans="1:10" ht="36.75" customHeight="1">
      <c r="A829" s="26" t="s">
        <v>311</v>
      </c>
      <c r="B829" s="205">
        <v>906</v>
      </c>
      <c r="C829" s="203" t="s">
        <v>303</v>
      </c>
      <c r="D829" s="203" t="s">
        <v>254</v>
      </c>
      <c r="E829" s="203" t="s">
        <v>469</v>
      </c>
      <c r="F829" s="203" t="s">
        <v>312</v>
      </c>
      <c r="G829" s="28">
        <f>G830</f>
        <v>30768.399999999998</v>
      </c>
      <c r="H829" s="28">
        <f t="shared" si="375"/>
        <v>22238.6</v>
      </c>
      <c r="I829" s="27">
        <f t="shared" si="356"/>
        <v>72.27740148984022</v>
      </c>
      <c r="J829" s="129"/>
    </row>
    <row r="830" spans="1:10" ht="15.75">
      <c r="A830" s="26" t="s">
        <v>313</v>
      </c>
      <c r="B830" s="205">
        <v>906</v>
      </c>
      <c r="C830" s="203" t="s">
        <v>303</v>
      </c>
      <c r="D830" s="203" t="s">
        <v>254</v>
      </c>
      <c r="E830" s="203" t="s">
        <v>469</v>
      </c>
      <c r="F830" s="203" t="s">
        <v>314</v>
      </c>
      <c r="G830" s="28">
        <f>27381+1173.6+2213.8</f>
        <v>30768.399999999998</v>
      </c>
      <c r="H830" s="28">
        <v>22238.6</v>
      </c>
      <c r="I830" s="27">
        <f t="shared" si="356"/>
        <v>72.27740148984022</v>
      </c>
      <c r="J830" s="134"/>
    </row>
    <row r="831" spans="1:10" ht="38.25" customHeight="1">
      <c r="A831" s="33" t="s">
        <v>768</v>
      </c>
      <c r="B831" s="205">
        <v>906</v>
      </c>
      <c r="C831" s="203" t="s">
        <v>303</v>
      </c>
      <c r="D831" s="203" t="s">
        <v>254</v>
      </c>
      <c r="E831" s="203" t="s">
        <v>487</v>
      </c>
      <c r="F831" s="203"/>
      <c r="G831" s="28">
        <f>G832+G837</f>
        <v>689</v>
      </c>
      <c r="H831" s="28">
        <f aca="true" t="shared" si="376" ref="H831">H832+H837</f>
        <v>689</v>
      </c>
      <c r="I831" s="27">
        <f t="shared" si="356"/>
        <v>100</v>
      </c>
      <c r="J831" s="289"/>
    </row>
    <row r="832" spans="1:10" ht="31.5" hidden="1">
      <c r="A832" s="47" t="s">
        <v>851</v>
      </c>
      <c r="B832" s="205">
        <v>906</v>
      </c>
      <c r="C832" s="203" t="s">
        <v>303</v>
      </c>
      <c r="D832" s="203" t="s">
        <v>254</v>
      </c>
      <c r="E832" s="203" t="s">
        <v>770</v>
      </c>
      <c r="F832" s="203"/>
      <c r="G832" s="28">
        <f>G833</f>
        <v>0</v>
      </c>
      <c r="H832" s="28">
        <f aca="true" t="shared" si="377" ref="H832:H833">H833</f>
        <v>0</v>
      </c>
      <c r="I832" s="27" t="e">
        <f t="shared" si="356"/>
        <v>#DIV/0!</v>
      </c>
      <c r="J832" s="129"/>
    </row>
    <row r="833" spans="1:10" ht="31.5" hidden="1">
      <c r="A833" s="33" t="s">
        <v>311</v>
      </c>
      <c r="B833" s="205">
        <v>906</v>
      </c>
      <c r="C833" s="203" t="s">
        <v>303</v>
      </c>
      <c r="D833" s="203" t="s">
        <v>254</v>
      </c>
      <c r="E833" s="203" t="s">
        <v>770</v>
      </c>
      <c r="F833" s="203" t="s">
        <v>312</v>
      </c>
      <c r="G833" s="28">
        <f>G834</f>
        <v>0</v>
      </c>
      <c r="H833" s="28">
        <f t="shared" si="377"/>
        <v>0</v>
      </c>
      <c r="I833" s="27" t="e">
        <f t="shared" si="356"/>
        <v>#DIV/0!</v>
      </c>
      <c r="J833" s="129"/>
    </row>
    <row r="834" spans="1:10" ht="15.75" hidden="1">
      <c r="A834" s="33" t="s">
        <v>313</v>
      </c>
      <c r="B834" s="205">
        <v>906</v>
      </c>
      <c r="C834" s="203" t="s">
        <v>303</v>
      </c>
      <c r="D834" s="203" t="s">
        <v>254</v>
      </c>
      <c r="E834" s="203" t="s">
        <v>770</v>
      </c>
      <c r="F834" s="203" t="s">
        <v>314</v>
      </c>
      <c r="G834" s="28">
        <v>0</v>
      </c>
      <c r="H834" s="28">
        <v>0</v>
      </c>
      <c r="I834" s="27" t="e">
        <f t="shared" si="356"/>
        <v>#DIV/0!</v>
      </c>
      <c r="J834" s="129"/>
    </row>
    <row r="835" spans="1:10" ht="37.5" customHeight="1">
      <c r="A835" s="47" t="s">
        <v>837</v>
      </c>
      <c r="B835" s="205">
        <v>906</v>
      </c>
      <c r="C835" s="203" t="s">
        <v>303</v>
      </c>
      <c r="D835" s="203" t="s">
        <v>254</v>
      </c>
      <c r="E835" s="203" t="s">
        <v>838</v>
      </c>
      <c r="F835" s="203"/>
      <c r="G835" s="28">
        <f>G836</f>
        <v>689</v>
      </c>
      <c r="H835" s="28">
        <f aca="true" t="shared" si="378" ref="H835:H836">H836</f>
        <v>689</v>
      </c>
      <c r="I835" s="27">
        <f t="shared" si="356"/>
        <v>100</v>
      </c>
      <c r="J835" s="129"/>
    </row>
    <row r="836" spans="1:10" ht="32.25" customHeight="1">
      <c r="A836" s="26" t="s">
        <v>311</v>
      </c>
      <c r="B836" s="205">
        <v>906</v>
      </c>
      <c r="C836" s="203" t="s">
        <v>303</v>
      </c>
      <c r="D836" s="203" t="s">
        <v>254</v>
      </c>
      <c r="E836" s="203" t="s">
        <v>838</v>
      </c>
      <c r="F836" s="203" t="s">
        <v>312</v>
      </c>
      <c r="G836" s="28">
        <f>G837</f>
        <v>689</v>
      </c>
      <c r="H836" s="28">
        <f t="shared" si="378"/>
        <v>689</v>
      </c>
      <c r="I836" s="27">
        <f t="shared" si="356"/>
        <v>100</v>
      </c>
      <c r="J836" s="129"/>
    </row>
    <row r="837" spans="1:10" ht="15.75">
      <c r="A837" s="33" t="s">
        <v>313</v>
      </c>
      <c r="B837" s="205">
        <v>906</v>
      </c>
      <c r="C837" s="203" t="s">
        <v>303</v>
      </c>
      <c r="D837" s="203" t="s">
        <v>254</v>
      </c>
      <c r="E837" s="203" t="s">
        <v>838</v>
      </c>
      <c r="F837" s="203" t="s">
        <v>314</v>
      </c>
      <c r="G837" s="28">
        <f>689</f>
        <v>689</v>
      </c>
      <c r="H837" s="28">
        <v>689</v>
      </c>
      <c r="I837" s="27">
        <f t="shared" si="356"/>
        <v>100</v>
      </c>
      <c r="J837" s="129"/>
    </row>
    <row r="838" spans="1:10" ht="54.75" customHeight="1">
      <c r="A838" s="31" t="s">
        <v>777</v>
      </c>
      <c r="B838" s="205">
        <v>906</v>
      </c>
      <c r="C838" s="203" t="s">
        <v>303</v>
      </c>
      <c r="D838" s="203" t="s">
        <v>254</v>
      </c>
      <c r="E838" s="203" t="s">
        <v>775</v>
      </c>
      <c r="F838" s="210"/>
      <c r="G838" s="28">
        <f>G839</f>
        <v>300.7</v>
      </c>
      <c r="H838" s="28">
        <f aca="true" t="shared" si="379" ref="H838:H840">H839</f>
        <v>213.9</v>
      </c>
      <c r="I838" s="27">
        <f t="shared" si="356"/>
        <v>71.1340206185567</v>
      </c>
      <c r="J838" s="289"/>
    </row>
    <row r="839" spans="1:10" ht="31.5">
      <c r="A839" s="119" t="s">
        <v>915</v>
      </c>
      <c r="B839" s="205">
        <v>906</v>
      </c>
      <c r="C839" s="203" t="s">
        <v>303</v>
      </c>
      <c r="D839" s="203" t="s">
        <v>254</v>
      </c>
      <c r="E839" s="203" t="s">
        <v>916</v>
      </c>
      <c r="F839" s="210"/>
      <c r="G839" s="28">
        <f>G840</f>
        <v>300.7</v>
      </c>
      <c r="H839" s="28">
        <f t="shared" si="379"/>
        <v>213.9</v>
      </c>
      <c r="I839" s="27">
        <f t="shared" si="356"/>
        <v>71.1340206185567</v>
      </c>
      <c r="J839" s="129"/>
    </row>
    <row r="840" spans="1:10" ht="34.5" customHeight="1">
      <c r="A840" s="31" t="s">
        <v>311</v>
      </c>
      <c r="B840" s="205">
        <v>906</v>
      </c>
      <c r="C840" s="203" t="s">
        <v>303</v>
      </c>
      <c r="D840" s="203" t="s">
        <v>254</v>
      </c>
      <c r="E840" s="203" t="s">
        <v>916</v>
      </c>
      <c r="F840" s="210" t="s">
        <v>312</v>
      </c>
      <c r="G840" s="28">
        <f>G841</f>
        <v>300.7</v>
      </c>
      <c r="H840" s="28">
        <f t="shared" si="379"/>
        <v>213.9</v>
      </c>
      <c r="I840" s="27">
        <f t="shared" si="356"/>
        <v>71.1340206185567</v>
      </c>
      <c r="J840" s="129"/>
    </row>
    <row r="841" spans="1:10" ht="15.75">
      <c r="A841" s="242" t="s">
        <v>313</v>
      </c>
      <c r="B841" s="205">
        <v>906</v>
      </c>
      <c r="C841" s="203" t="s">
        <v>303</v>
      </c>
      <c r="D841" s="203" t="s">
        <v>254</v>
      </c>
      <c r="E841" s="203" t="s">
        <v>916</v>
      </c>
      <c r="F841" s="210" t="s">
        <v>314</v>
      </c>
      <c r="G841" s="28">
        <v>300.7</v>
      </c>
      <c r="H841" s="28">
        <v>213.9</v>
      </c>
      <c r="I841" s="27">
        <f t="shared" si="356"/>
        <v>71.1340206185567</v>
      </c>
      <c r="J841" s="129"/>
    </row>
    <row r="842" spans="1:10" ht="15.75">
      <c r="A842" s="26" t="s">
        <v>505</v>
      </c>
      <c r="B842" s="205">
        <v>906</v>
      </c>
      <c r="C842" s="203" t="s">
        <v>303</v>
      </c>
      <c r="D842" s="203" t="s">
        <v>254</v>
      </c>
      <c r="E842" s="203" t="s">
        <v>161</v>
      </c>
      <c r="F842" s="203"/>
      <c r="G842" s="28">
        <f>G843</f>
        <v>1542.4</v>
      </c>
      <c r="H842" s="28">
        <f aca="true" t="shared" si="380" ref="H842">H843</f>
        <v>1234.4</v>
      </c>
      <c r="I842" s="27">
        <f t="shared" si="356"/>
        <v>80.0311203319502</v>
      </c>
      <c r="J842" s="129"/>
    </row>
    <row r="843" spans="1:10" ht="15.75">
      <c r="A843" s="26" t="s">
        <v>224</v>
      </c>
      <c r="B843" s="205">
        <v>906</v>
      </c>
      <c r="C843" s="203" t="s">
        <v>303</v>
      </c>
      <c r="D843" s="203" t="s">
        <v>254</v>
      </c>
      <c r="E843" s="203" t="s">
        <v>225</v>
      </c>
      <c r="F843" s="203"/>
      <c r="G843" s="28">
        <f>G844+G847+G850</f>
        <v>1542.4</v>
      </c>
      <c r="H843" s="28">
        <f aca="true" t="shared" si="381" ref="H843">H844+H847+H850</f>
        <v>1234.4</v>
      </c>
      <c r="I843" s="27">
        <f aca="true" t="shared" si="382" ref="I843:I906">H843/G843*100</f>
        <v>80.0311203319502</v>
      </c>
      <c r="J843" s="129"/>
    </row>
    <row r="844" spans="1:10" ht="47.25">
      <c r="A844" s="33" t="s">
        <v>328</v>
      </c>
      <c r="B844" s="205">
        <v>906</v>
      </c>
      <c r="C844" s="203" t="s">
        <v>303</v>
      </c>
      <c r="D844" s="203" t="s">
        <v>254</v>
      </c>
      <c r="E844" s="203" t="s">
        <v>329</v>
      </c>
      <c r="F844" s="203"/>
      <c r="G844" s="28">
        <f>G845</f>
        <v>110</v>
      </c>
      <c r="H844" s="28">
        <f aca="true" t="shared" si="383" ref="H844:H845">H845</f>
        <v>74.8</v>
      </c>
      <c r="I844" s="27">
        <f t="shared" si="382"/>
        <v>68</v>
      </c>
      <c r="J844" s="129"/>
    </row>
    <row r="845" spans="1:10" ht="31.5" customHeight="1">
      <c r="A845" s="26" t="s">
        <v>311</v>
      </c>
      <c r="B845" s="205">
        <v>906</v>
      </c>
      <c r="C845" s="203" t="s">
        <v>303</v>
      </c>
      <c r="D845" s="203" t="s">
        <v>254</v>
      </c>
      <c r="E845" s="203" t="s">
        <v>329</v>
      </c>
      <c r="F845" s="203" t="s">
        <v>312</v>
      </c>
      <c r="G845" s="28">
        <f>G846</f>
        <v>110</v>
      </c>
      <c r="H845" s="28">
        <f t="shared" si="383"/>
        <v>74.8</v>
      </c>
      <c r="I845" s="27">
        <f t="shared" si="382"/>
        <v>68</v>
      </c>
      <c r="J845" s="129"/>
    </row>
    <row r="846" spans="1:10" ht="15.75">
      <c r="A846" s="26" t="s">
        <v>313</v>
      </c>
      <c r="B846" s="205">
        <v>906</v>
      </c>
      <c r="C846" s="203" t="s">
        <v>303</v>
      </c>
      <c r="D846" s="203" t="s">
        <v>254</v>
      </c>
      <c r="E846" s="203" t="s">
        <v>329</v>
      </c>
      <c r="F846" s="203" t="s">
        <v>314</v>
      </c>
      <c r="G846" s="28">
        <v>110</v>
      </c>
      <c r="H846" s="28">
        <v>74.8</v>
      </c>
      <c r="I846" s="27">
        <f t="shared" si="382"/>
        <v>68</v>
      </c>
      <c r="J846" s="129"/>
    </row>
    <row r="847" spans="1:10" ht="68.25" customHeight="1">
      <c r="A847" s="33" t="s">
        <v>330</v>
      </c>
      <c r="B847" s="205">
        <v>906</v>
      </c>
      <c r="C847" s="203" t="s">
        <v>303</v>
      </c>
      <c r="D847" s="203" t="s">
        <v>254</v>
      </c>
      <c r="E847" s="203" t="s">
        <v>331</v>
      </c>
      <c r="F847" s="203"/>
      <c r="G847" s="28">
        <f>G848</f>
        <v>592.1</v>
      </c>
      <c r="H847" s="28">
        <f aca="true" t="shared" si="384" ref="H847:H848">H848</f>
        <v>446.4</v>
      </c>
      <c r="I847" s="27">
        <f t="shared" si="382"/>
        <v>75.39267015706805</v>
      </c>
      <c r="J847" s="129"/>
    </row>
    <row r="848" spans="1:10" ht="32.25" customHeight="1">
      <c r="A848" s="26" t="s">
        <v>311</v>
      </c>
      <c r="B848" s="205">
        <v>906</v>
      </c>
      <c r="C848" s="203" t="s">
        <v>303</v>
      </c>
      <c r="D848" s="203" t="s">
        <v>254</v>
      </c>
      <c r="E848" s="203" t="s">
        <v>331</v>
      </c>
      <c r="F848" s="203" t="s">
        <v>312</v>
      </c>
      <c r="G848" s="28">
        <f>G849</f>
        <v>592.1</v>
      </c>
      <c r="H848" s="28">
        <f t="shared" si="384"/>
        <v>446.4</v>
      </c>
      <c r="I848" s="27">
        <f t="shared" si="382"/>
        <v>75.39267015706805</v>
      </c>
      <c r="J848" s="129"/>
    </row>
    <row r="849" spans="1:10" ht="15.75">
      <c r="A849" s="26" t="s">
        <v>313</v>
      </c>
      <c r="B849" s="205">
        <v>906</v>
      </c>
      <c r="C849" s="203" t="s">
        <v>303</v>
      </c>
      <c r="D849" s="203" t="s">
        <v>254</v>
      </c>
      <c r="E849" s="203" t="s">
        <v>331</v>
      </c>
      <c r="F849" s="203" t="s">
        <v>314</v>
      </c>
      <c r="G849" s="28">
        <f>572.2+19.9</f>
        <v>592.1</v>
      </c>
      <c r="H849" s="28">
        <v>446.4</v>
      </c>
      <c r="I849" s="27">
        <f t="shared" si="382"/>
        <v>75.39267015706805</v>
      </c>
      <c r="J849" s="129"/>
    </row>
    <row r="850" spans="1:10" ht="92.25" customHeight="1">
      <c r="A850" s="33" t="s">
        <v>332</v>
      </c>
      <c r="B850" s="205">
        <v>906</v>
      </c>
      <c r="C850" s="203" t="s">
        <v>303</v>
      </c>
      <c r="D850" s="203" t="s">
        <v>254</v>
      </c>
      <c r="E850" s="203" t="s">
        <v>333</v>
      </c>
      <c r="F850" s="203"/>
      <c r="G850" s="28">
        <f>G851</f>
        <v>840.3</v>
      </c>
      <c r="H850" s="28">
        <f aca="true" t="shared" si="385" ref="H850:H851">H851</f>
        <v>713.2</v>
      </c>
      <c r="I850" s="27">
        <f t="shared" si="382"/>
        <v>84.87444960133287</v>
      </c>
      <c r="J850" s="129"/>
    </row>
    <row r="851" spans="1:10" ht="32.25" customHeight="1">
      <c r="A851" s="26" t="s">
        <v>311</v>
      </c>
      <c r="B851" s="205">
        <v>906</v>
      </c>
      <c r="C851" s="203" t="s">
        <v>303</v>
      </c>
      <c r="D851" s="203" t="s">
        <v>254</v>
      </c>
      <c r="E851" s="203" t="s">
        <v>333</v>
      </c>
      <c r="F851" s="203" t="s">
        <v>312</v>
      </c>
      <c r="G851" s="28">
        <f>G852</f>
        <v>840.3</v>
      </c>
      <c r="H851" s="28">
        <f t="shared" si="385"/>
        <v>713.2</v>
      </c>
      <c r="I851" s="27">
        <f t="shared" si="382"/>
        <v>84.87444960133287</v>
      </c>
      <c r="J851" s="129"/>
    </row>
    <row r="852" spans="1:10" ht="15.75">
      <c r="A852" s="26" t="s">
        <v>313</v>
      </c>
      <c r="B852" s="205">
        <v>906</v>
      </c>
      <c r="C852" s="203" t="s">
        <v>303</v>
      </c>
      <c r="D852" s="203" t="s">
        <v>254</v>
      </c>
      <c r="E852" s="203" t="s">
        <v>333</v>
      </c>
      <c r="F852" s="203" t="s">
        <v>314</v>
      </c>
      <c r="G852" s="28">
        <f>900-15.5-44.2</f>
        <v>840.3</v>
      </c>
      <c r="H852" s="28">
        <v>713.2</v>
      </c>
      <c r="I852" s="27">
        <f t="shared" si="382"/>
        <v>84.87444960133287</v>
      </c>
      <c r="J852" s="129"/>
    </row>
    <row r="853" spans="1:10" ht="21" customHeight="1">
      <c r="A853" s="24" t="s">
        <v>506</v>
      </c>
      <c r="B853" s="202">
        <v>906</v>
      </c>
      <c r="C853" s="204" t="s">
        <v>303</v>
      </c>
      <c r="D853" s="204" t="s">
        <v>303</v>
      </c>
      <c r="E853" s="204"/>
      <c r="F853" s="204"/>
      <c r="G853" s="22">
        <f>G854+G859</f>
        <v>6836.3</v>
      </c>
      <c r="H853" s="22">
        <f aca="true" t="shared" si="386" ref="H853">H854+H859</f>
        <v>6836.3</v>
      </c>
      <c r="I853" s="22">
        <f t="shared" si="382"/>
        <v>100</v>
      </c>
      <c r="J853" s="129"/>
    </row>
    <row r="854" spans="1:10" ht="31.5">
      <c r="A854" s="26" t="s">
        <v>466</v>
      </c>
      <c r="B854" s="205">
        <v>906</v>
      </c>
      <c r="C854" s="203" t="s">
        <v>303</v>
      </c>
      <c r="D854" s="203" t="s">
        <v>303</v>
      </c>
      <c r="E854" s="203" t="s">
        <v>446</v>
      </c>
      <c r="F854" s="203"/>
      <c r="G854" s="27">
        <f aca="true" t="shared" si="387" ref="G854:H863">G855</f>
        <v>3584</v>
      </c>
      <c r="H854" s="27">
        <f t="shared" si="387"/>
        <v>3584</v>
      </c>
      <c r="I854" s="27">
        <f t="shared" si="382"/>
        <v>100</v>
      </c>
      <c r="J854" s="129"/>
    </row>
    <row r="855" spans="1:10" ht="31.5">
      <c r="A855" s="26" t="s">
        <v>507</v>
      </c>
      <c r="B855" s="205">
        <v>906</v>
      </c>
      <c r="C855" s="203" t="s">
        <v>303</v>
      </c>
      <c r="D855" s="203" t="s">
        <v>508</v>
      </c>
      <c r="E855" s="203" t="s">
        <v>509</v>
      </c>
      <c r="F855" s="203"/>
      <c r="G855" s="27">
        <f t="shared" si="387"/>
        <v>3584</v>
      </c>
      <c r="H855" s="27">
        <f t="shared" si="387"/>
        <v>3584</v>
      </c>
      <c r="I855" s="27">
        <f t="shared" si="382"/>
        <v>100</v>
      </c>
      <c r="J855" s="129"/>
    </row>
    <row r="856" spans="1:10" ht="31.5">
      <c r="A856" s="26" t="s">
        <v>510</v>
      </c>
      <c r="B856" s="205">
        <v>906</v>
      </c>
      <c r="C856" s="203" t="s">
        <v>303</v>
      </c>
      <c r="D856" s="203" t="s">
        <v>303</v>
      </c>
      <c r="E856" s="203" t="s">
        <v>511</v>
      </c>
      <c r="F856" s="203"/>
      <c r="G856" s="27">
        <f t="shared" si="387"/>
        <v>3584</v>
      </c>
      <c r="H856" s="27">
        <f t="shared" si="387"/>
        <v>3584</v>
      </c>
      <c r="I856" s="27">
        <f t="shared" si="382"/>
        <v>100</v>
      </c>
      <c r="J856" s="129"/>
    </row>
    <row r="857" spans="1:10" ht="36" customHeight="1">
      <c r="A857" s="26" t="s">
        <v>311</v>
      </c>
      <c r="B857" s="205">
        <v>906</v>
      </c>
      <c r="C857" s="203" t="s">
        <v>303</v>
      </c>
      <c r="D857" s="203" t="s">
        <v>303</v>
      </c>
      <c r="E857" s="203" t="s">
        <v>511</v>
      </c>
      <c r="F857" s="203" t="s">
        <v>312</v>
      </c>
      <c r="G857" s="27">
        <f t="shared" si="387"/>
        <v>3584</v>
      </c>
      <c r="H857" s="27">
        <f t="shared" si="387"/>
        <v>3584</v>
      </c>
      <c r="I857" s="27">
        <f t="shared" si="382"/>
        <v>100</v>
      </c>
      <c r="J857" s="129"/>
    </row>
    <row r="858" spans="1:10" ht="15.75">
      <c r="A858" s="26" t="s">
        <v>313</v>
      </c>
      <c r="B858" s="205">
        <v>906</v>
      </c>
      <c r="C858" s="203" t="s">
        <v>303</v>
      </c>
      <c r="D858" s="203" t="s">
        <v>303</v>
      </c>
      <c r="E858" s="203" t="s">
        <v>511</v>
      </c>
      <c r="F858" s="203" t="s">
        <v>314</v>
      </c>
      <c r="G858" s="28">
        <f>3485+99</f>
        <v>3584</v>
      </c>
      <c r="H858" s="28">
        <v>3584</v>
      </c>
      <c r="I858" s="27">
        <f t="shared" si="382"/>
        <v>100</v>
      </c>
      <c r="J858" s="129"/>
    </row>
    <row r="859" spans="1:10" ht="15.75">
      <c r="A859" s="26" t="s">
        <v>160</v>
      </c>
      <c r="B859" s="205">
        <v>906</v>
      </c>
      <c r="C859" s="203" t="s">
        <v>303</v>
      </c>
      <c r="D859" s="203" t="s">
        <v>303</v>
      </c>
      <c r="E859" s="203" t="s">
        <v>161</v>
      </c>
      <c r="F859" s="203"/>
      <c r="G859" s="27">
        <f>G861</f>
        <v>3252.3</v>
      </c>
      <c r="H859" s="27">
        <f aca="true" t="shared" si="388" ref="H859">H861</f>
        <v>3252.3</v>
      </c>
      <c r="I859" s="27">
        <f t="shared" si="382"/>
        <v>100</v>
      </c>
      <c r="J859" s="129"/>
    </row>
    <row r="860" spans="1:10" ht="63" customHeight="1" hidden="1">
      <c r="A860" s="26" t="s">
        <v>512</v>
      </c>
      <c r="B860" s="205">
        <v>906</v>
      </c>
      <c r="C860" s="203" t="s">
        <v>303</v>
      </c>
      <c r="D860" s="203" t="s">
        <v>303</v>
      </c>
      <c r="E860" s="203" t="s">
        <v>513</v>
      </c>
      <c r="F860" s="203"/>
      <c r="G860" s="27">
        <f>G862</f>
        <v>3252.3</v>
      </c>
      <c r="H860" s="27">
        <f aca="true" t="shared" si="389" ref="H860">H862</f>
        <v>3252.3</v>
      </c>
      <c r="I860" s="27">
        <f t="shared" si="382"/>
        <v>100</v>
      </c>
      <c r="J860" s="129"/>
    </row>
    <row r="861" spans="1:10" ht="19.5" customHeight="1">
      <c r="A861" s="33" t="s">
        <v>224</v>
      </c>
      <c r="B861" s="205">
        <v>906</v>
      </c>
      <c r="C861" s="203" t="s">
        <v>303</v>
      </c>
      <c r="D861" s="203" t="s">
        <v>303</v>
      </c>
      <c r="E861" s="203" t="s">
        <v>225</v>
      </c>
      <c r="F861" s="203"/>
      <c r="G861" s="27">
        <f>G862</f>
        <v>3252.3</v>
      </c>
      <c r="H861" s="27">
        <f aca="true" t="shared" si="390" ref="H861">H862</f>
        <v>3252.3</v>
      </c>
      <c r="I861" s="27">
        <f t="shared" si="382"/>
        <v>100</v>
      </c>
      <c r="J861" s="129"/>
    </row>
    <row r="862" spans="1:10" ht="31.5">
      <c r="A862" s="33" t="s">
        <v>514</v>
      </c>
      <c r="B862" s="205">
        <v>906</v>
      </c>
      <c r="C862" s="203" t="s">
        <v>303</v>
      </c>
      <c r="D862" s="203" t="s">
        <v>303</v>
      </c>
      <c r="E862" s="203" t="s">
        <v>515</v>
      </c>
      <c r="F862" s="203"/>
      <c r="G862" s="27">
        <f t="shared" si="387"/>
        <v>3252.3</v>
      </c>
      <c r="H862" s="27">
        <f t="shared" si="387"/>
        <v>3252.3</v>
      </c>
      <c r="I862" s="27">
        <f t="shared" si="382"/>
        <v>100</v>
      </c>
      <c r="J862" s="129"/>
    </row>
    <row r="863" spans="1:10" ht="36.75" customHeight="1">
      <c r="A863" s="26" t="s">
        <v>311</v>
      </c>
      <c r="B863" s="205">
        <v>906</v>
      </c>
      <c r="C863" s="203" t="s">
        <v>303</v>
      </c>
      <c r="D863" s="203" t="s">
        <v>303</v>
      </c>
      <c r="E863" s="203" t="s">
        <v>515</v>
      </c>
      <c r="F863" s="203" t="s">
        <v>312</v>
      </c>
      <c r="G863" s="27">
        <f t="shared" si="387"/>
        <v>3252.3</v>
      </c>
      <c r="H863" s="27">
        <f t="shared" si="387"/>
        <v>3252.3</v>
      </c>
      <c r="I863" s="27">
        <f t="shared" si="382"/>
        <v>100</v>
      </c>
      <c r="J863" s="129"/>
    </row>
    <row r="864" spans="1:10" ht="15.75">
      <c r="A864" s="26" t="s">
        <v>313</v>
      </c>
      <c r="B864" s="205">
        <v>906</v>
      </c>
      <c r="C864" s="203" t="s">
        <v>303</v>
      </c>
      <c r="D864" s="203" t="s">
        <v>303</v>
      </c>
      <c r="E864" s="203" t="s">
        <v>515</v>
      </c>
      <c r="F864" s="203" t="s">
        <v>314</v>
      </c>
      <c r="G864" s="28">
        <f>2124.9+1127.4</f>
        <v>3252.3</v>
      </c>
      <c r="H864" s="28">
        <v>3252.3</v>
      </c>
      <c r="I864" s="27">
        <f t="shared" si="382"/>
        <v>100</v>
      </c>
      <c r="J864" s="129"/>
    </row>
    <row r="865" spans="1:10" ht="15.75">
      <c r="A865" s="24" t="s">
        <v>334</v>
      </c>
      <c r="B865" s="202">
        <v>906</v>
      </c>
      <c r="C865" s="204" t="s">
        <v>303</v>
      </c>
      <c r="D865" s="204" t="s">
        <v>258</v>
      </c>
      <c r="E865" s="204"/>
      <c r="F865" s="204"/>
      <c r="G865" s="22">
        <f>G866+G875</f>
        <v>20019.8</v>
      </c>
      <c r="H865" s="22">
        <f aca="true" t="shared" si="391" ref="H865">H866+H875</f>
        <v>13664.3</v>
      </c>
      <c r="I865" s="22">
        <f t="shared" si="382"/>
        <v>68.25392861067543</v>
      </c>
      <c r="J865" s="129"/>
    </row>
    <row r="866" spans="1:10" ht="31.5" hidden="1">
      <c r="A866" s="26" t="s">
        <v>373</v>
      </c>
      <c r="B866" s="205">
        <v>906</v>
      </c>
      <c r="C866" s="203" t="s">
        <v>303</v>
      </c>
      <c r="D866" s="203" t="s">
        <v>258</v>
      </c>
      <c r="E866" s="203" t="s">
        <v>374</v>
      </c>
      <c r="F866" s="203"/>
      <c r="G866" s="27">
        <f>G867+G870</f>
        <v>0</v>
      </c>
      <c r="H866" s="27">
        <f aca="true" t="shared" si="392" ref="H866">H867+H870</f>
        <v>0</v>
      </c>
      <c r="I866" s="22" t="e">
        <f t="shared" si="382"/>
        <v>#DIV/0!</v>
      </c>
      <c r="J866" s="129"/>
    </row>
    <row r="867" spans="1:10" ht="31.5" customHeight="1" hidden="1">
      <c r="A867" s="26" t="s">
        <v>375</v>
      </c>
      <c r="B867" s="205">
        <v>906</v>
      </c>
      <c r="C867" s="203" t="s">
        <v>303</v>
      </c>
      <c r="D867" s="203" t="s">
        <v>258</v>
      </c>
      <c r="E867" s="203" t="s">
        <v>376</v>
      </c>
      <c r="F867" s="203"/>
      <c r="G867" s="27">
        <f>G868</f>
        <v>0</v>
      </c>
      <c r="H867" s="27">
        <f aca="true" t="shared" si="393" ref="H867:H868">H868</f>
        <v>0</v>
      </c>
      <c r="I867" s="22" t="e">
        <f t="shared" si="382"/>
        <v>#DIV/0!</v>
      </c>
      <c r="J867" s="129"/>
    </row>
    <row r="868" spans="1:10" ht="31.5" customHeight="1" hidden="1">
      <c r="A868" s="26" t="s">
        <v>170</v>
      </c>
      <c r="B868" s="205">
        <v>906</v>
      </c>
      <c r="C868" s="203" t="s">
        <v>303</v>
      </c>
      <c r="D868" s="203" t="s">
        <v>258</v>
      </c>
      <c r="E868" s="203" t="s">
        <v>376</v>
      </c>
      <c r="F868" s="203" t="s">
        <v>171</v>
      </c>
      <c r="G868" s="27">
        <f>G869</f>
        <v>0</v>
      </c>
      <c r="H868" s="27">
        <f t="shared" si="393"/>
        <v>0</v>
      </c>
      <c r="I868" s="22" t="e">
        <f t="shared" si="382"/>
        <v>#DIV/0!</v>
      </c>
      <c r="J868" s="129"/>
    </row>
    <row r="869" spans="1:10" ht="47.25" customHeight="1" hidden="1">
      <c r="A869" s="26" t="s">
        <v>172</v>
      </c>
      <c r="B869" s="205">
        <v>906</v>
      </c>
      <c r="C869" s="203" t="s">
        <v>303</v>
      </c>
      <c r="D869" s="203" t="s">
        <v>258</v>
      </c>
      <c r="E869" s="203" t="s">
        <v>376</v>
      </c>
      <c r="F869" s="203" t="s">
        <v>173</v>
      </c>
      <c r="G869" s="27">
        <f>50-50</f>
        <v>0</v>
      </c>
      <c r="H869" s="27">
        <f aca="true" t="shared" si="394" ref="H869">50-50</f>
        <v>0</v>
      </c>
      <c r="I869" s="22" t="e">
        <f t="shared" si="382"/>
        <v>#DIV/0!</v>
      </c>
      <c r="J869" s="129"/>
    </row>
    <row r="870" spans="1:10" ht="47.25" hidden="1">
      <c r="A870" s="26" t="s">
        <v>516</v>
      </c>
      <c r="B870" s="205">
        <v>906</v>
      </c>
      <c r="C870" s="203" t="s">
        <v>303</v>
      </c>
      <c r="D870" s="203" t="s">
        <v>258</v>
      </c>
      <c r="E870" s="203" t="s">
        <v>517</v>
      </c>
      <c r="F870" s="203"/>
      <c r="G870" s="27">
        <f>G871+G873</f>
        <v>0</v>
      </c>
      <c r="H870" s="27">
        <f aca="true" t="shared" si="395" ref="H870">H871+H873</f>
        <v>0</v>
      </c>
      <c r="I870" s="22" t="e">
        <f t="shared" si="382"/>
        <v>#DIV/0!</v>
      </c>
      <c r="J870" s="129"/>
    </row>
    <row r="871" spans="1:10" ht="63" hidden="1">
      <c r="A871" s="26" t="s">
        <v>166</v>
      </c>
      <c r="B871" s="205">
        <v>906</v>
      </c>
      <c r="C871" s="203" t="s">
        <v>303</v>
      </c>
      <c r="D871" s="203" t="s">
        <v>258</v>
      </c>
      <c r="E871" s="203" t="s">
        <v>517</v>
      </c>
      <c r="F871" s="203" t="s">
        <v>167</v>
      </c>
      <c r="G871" s="27">
        <f>G872</f>
        <v>0</v>
      </c>
      <c r="H871" s="27">
        <f aca="true" t="shared" si="396" ref="H871">H872</f>
        <v>0</v>
      </c>
      <c r="I871" s="22" t="e">
        <f t="shared" si="382"/>
        <v>#DIV/0!</v>
      </c>
      <c r="J871" s="129"/>
    </row>
    <row r="872" spans="1:10" ht="15.75" hidden="1">
      <c r="A872" s="26" t="s">
        <v>381</v>
      </c>
      <c r="B872" s="205">
        <v>906</v>
      </c>
      <c r="C872" s="203" t="s">
        <v>303</v>
      </c>
      <c r="D872" s="203" t="s">
        <v>258</v>
      </c>
      <c r="E872" s="203" t="s">
        <v>517</v>
      </c>
      <c r="F872" s="203" t="s">
        <v>248</v>
      </c>
      <c r="G872" s="27">
        <v>0</v>
      </c>
      <c r="H872" s="27">
        <v>0</v>
      </c>
      <c r="I872" s="22" t="e">
        <f t="shared" si="382"/>
        <v>#DIV/0!</v>
      </c>
      <c r="J872" s="129"/>
    </row>
    <row r="873" spans="1:10" ht="31.5" hidden="1">
      <c r="A873" s="26" t="s">
        <v>170</v>
      </c>
      <c r="B873" s="205">
        <v>906</v>
      </c>
      <c r="C873" s="203" t="s">
        <v>303</v>
      </c>
      <c r="D873" s="203" t="s">
        <v>258</v>
      </c>
      <c r="E873" s="203" t="s">
        <v>517</v>
      </c>
      <c r="F873" s="203" t="s">
        <v>171</v>
      </c>
      <c r="G873" s="27">
        <f>G874</f>
        <v>0</v>
      </c>
      <c r="H873" s="27">
        <f aca="true" t="shared" si="397" ref="H873">H874</f>
        <v>0</v>
      </c>
      <c r="I873" s="22" t="e">
        <f t="shared" si="382"/>
        <v>#DIV/0!</v>
      </c>
      <c r="J873" s="129"/>
    </row>
    <row r="874" spans="1:10" ht="31.5" hidden="1">
      <c r="A874" s="26" t="s">
        <v>172</v>
      </c>
      <c r="B874" s="205">
        <v>906</v>
      </c>
      <c r="C874" s="203" t="s">
        <v>303</v>
      </c>
      <c r="D874" s="203" t="s">
        <v>258</v>
      </c>
      <c r="E874" s="203" t="s">
        <v>517</v>
      </c>
      <c r="F874" s="203" t="s">
        <v>173</v>
      </c>
      <c r="G874" s="27">
        <v>0</v>
      </c>
      <c r="H874" s="27">
        <v>0</v>
      </c>
      <c r="I874" s="22" t="e">
        <f t="shared" si="382"/>
        <v>#DIV/0!</v>
      </c>
      <c r="J874" s="129"/>
    </row>
    <row r="875" spans="1:10" ht="15.75">
      <c r="A875" s="26" t="s">
        <v>160</v>
      </c>
      <c r="B875" s="205">
        <v>906</v>
      </c>
      <c r="C875" s="203" t="s">
        <v>303</v>
      </c>
      <c r="D875" s="203" t="s">
        <v>258</v>
      </c>
      <c r="E875" s="203" t="s">
        <v>161</v>
      </c>
      <c r="F875" s="203"/>
      <c r="G875" s="27">
        <f>G876+G882</f>
        <v>20019.8</v>
      </c>
      <c r="H875" s="27">
        <f aca="true" t="shared" si="398" ref="H875">H876+H882</f>
        <v>13664.3</v>
      </c>
      <c r="I875" s="27">
        <f t="shared" si="382"/>
        <v>68.25392861067543</v>
      </c>
      <c r="J875" s="129"/>
    </row>
    <row r="876" spans="1:10" ht="31.5">
      <c r="A876" s="26" t="s">
        <v>162</v>
      </c>
      <c r="B876" s="205">
        <v>906</v>
      </c>
      <c r="C876" s="203" t="s">
        <v>303</v>
      </c>
      <c r="D876" s="203" t="s">
        <v>258</v>
      </c>
      <c r="E876" s="203" t="s">
        <v>163</v>
      </c>
      <c r="F876" s="203"/>
      <c r="G876" s="27">
        <f>G877</f>
        <v>5581.400000000001</v>
      </c>
      <c r="H876" s="27">
        <f aca="true" t="shared" si="399" ref="H876">H877</f>
        <v>4209.2</v>
      </c>
      <c r="I876" s="27">
        <f t="shared" si="382"/>
        <v>75.41477048769126</v>
      </c>
      <c r="J876" s="129"/>
    </row>
    <row r="877" spans="1:10" ht="36.75" customHeight="1">
      <c r="A877" s="26" t="s">
        <v>164</v>
      </c>
      <c r="B877" s="205">
        <v>906</v>
      </c>
      <c r="C877" s="203" t="s">
        <v>303</v>
      </c>
      <c r="D877" s="203" t="s">
        <v>258</v>
      </c>
      <c r="E877" s="203" t="s">
        <v>165</v>
      </c>
      <c r="F877" s="203"/>
      <c r="G877" s="27">
        <f>G878+G880</f>
        <v>5581.400000000001</v>
      </c>
      <c r="H877" s="27">
        <f aca="true" t="shared" si="400" ref="H877">H878+H880</f>
        <v>4209.2</v>
      </c>
      <c r="I877" s="27">
        <f t="shared" si="382"/>
        <v>75.41477048769126</v>
      </c>
      <c r="J877" s="129"/>
    </row>
    <row r="878" spans="1:10" ht="72" customHeight="1">
      <c r="A878" s="26" t="s">
        <v>166</v>
      </c>
      <c r="B878" s="205">
        <v>906</v>
      </c>
      <c r="C878" s="203" t="s">
        <v>303</v>
      </c>
      <c r="D878" s="203" t="s">
        <v>258</v>
      </c>
      <c r="E878" s="203" t="s">
        <v>165</v>
      </c>
      <c r="F878" s="203" t="s">
        <v>167</v>
      </c>
      <c r="G878" s="27">
        <f>G879</f>
        <v>5325.8</v>
      </c>
      <c r="H878" s="27">
        <f aca="true" t="shared" si="401" ref="H878">H879</f>
        <v>4056.4</v>
      </c>
      <c r="I878" s="27">
        <f t="shared" si="382"/>
        <v>76.16508317999174</v>
      </c>
      <c r="J878" s="129"/>
    </row>
    <row r="879" spans="1:10" ht="31.5">
      <c r="A879" s="26" t="s">
        <v>168</v>
      </c>
      <c r="B879" s="205">
        <v>906</v>
      </c>
      <c r="C879" s="203" t="s">
        <v>303</v>
      </c>
      <c r="D879" s="203" t="s">
        <v>258</v>
      </c>
      <c r="E879" s="203" t="s">
        <v>165</v>
      </c>
      <c r="F879" s="203" t="s">
        <v>169</v>
      </c>
      <c r="G879" s="28">
        <f>5430.2-175.2+169.2-98.4</f>
        <v>5325.8</v>
      </c>
      <c r="H879" s="28">
        <v>4056.4</v>
      </c>
      <c r="I879" s="27">
        <f t="shared" si="382"/>
        <v>76.16508317999174</v>
      </c>
      <c r="J879" s="129"/>
    </row>
    <row r="880" spans="1:10" ht="31.5">
      <c r="A880" s="26" t="s">
        <v>170</v>
      </c>
      <c r="B880" s="205">
        <v>906</v>
      </c>
      <c r="C880" s="203" t="s">
        <v>303</v>
      </c>
      <c r="D880" s="203" t="s">
        <v>258</v>
      </c>
      <c r="E880" s="203" t="s">
        <v>165</v>
      </c>
      <c r="F880" s="203" t="s">
        <v>171</v>
      </c>
      <c r="G880" s="27">
        <f>G881</f>
        <v>255.6</v>
      </c>
      <c r="H880" s="27">
        <f aca="true" t="shared" si="402" ref="H880">H881</f>
        <v>152.8</v>
      </c>
      <c r="I880" s="27">
        <f t="shared" si="382"/>
        <v>59.78090766823162</v>
      </c>
      <c r="J880" s="129"/>
    </row>
    <row r="881" spans="1:10" ht="31.5">
      <c r="A881" s="26" t="s">
        <v>172</v>
      </c>
      <c r="B881" s="205">
        <v>906</v>
      </c>
      <c r="C881" s="203" t="s">
        <v>303</v>
      </c>
      <c r="D881" s="203" t="s">
        <v>258</v>
      </c>
      <c r="E881" s="203" t="s">
        <v>165</v>
      </c>
      <c r="F881" s="203" t="s">
        <v>173</v>
      </c>
      <c r="G881" s="27">
        <f>157.2+98.4</f>
        <v>255.6</v>
      </c>
      <c r="H881" s="27">
        <v>152.8</v>
      </c>
      <c r="I881" s="27">
        <f t="shared" si="382"/>
        <v>59.78090766823162</v>
      </c>
      <c r="J881" s="291"/>
    </row>
    <row r="882" spans="1:10" ht="15.75">
      <c r="A882" s="26" t="s">
        <v>180</v>
      </c>
      <c r="B882" s="205">
        <v>906</v>
      </c>
      <c r="C882" s="203" t="s">
        <v>303</v>
      </c>
      <c r="D882" s="203" t="s">
        <v>258</v>
      </c>
      <c r="E882" s="203" t="s">
        <v>181</v>
      </c>
      <c r="F882" s="203"/>
      <c r="G882" s="27">
        <f>G886+G883</f>
        <v>14438.4</v>
      </c>
      <c r="H882" s="27">
        <f aca="true" t="shared" si="403" ref="H882">H886+H883</f>
        <v>9455.1</v>
      </c>
      <c r="I882" s="27">
        <f t="shared" si="382"/>
        <v>65.48578789893618</v>
      </c>
      <c r="J882" s="129"/>
    </row>
    <row r="883" spans="1:10" ht="15.75">
      <c r="A883" s="26" t="s">
        <v>518</v>
      </c>
      <c r="B883" s="205">
        <v>906</v>
      </c>
      <c r="C883" s="203" t="s">
        <v>303</v>
      </c>
      <c r="D883" s="203" t="s">
        <v>258</v>
      </c>
      <c r="E883" s="203" t="s">
        <v>519</v>
      </c>
      <c r="F883" s="203"/>
      <c r="G883" s="27">
        <f>G884</f>
        <v>600</v>
      </c>
      <c r="H883" s="27">
        <f aca="true" t="shared" si="404" ref="H883:H884">H884</f>
        <v>325.2</v>
      </c>
      <c r="I883" s="27">
        <f t="shared" si="382"/>
        <v>54.199999999999996</v>
      </c>
      <c r="J883" s="129"/>
    </row>
    <row r="884" spans="1:10" ht="31.5">
      <c r="A884" s="26" t="s">
        <v>170</v>
      </c>
      <c r="B884" s="205">
        <v>906</v>
      </c>
      <c r="C884" s="203" t="s">
        <v>303</v>
      </c>
      <c r="D884" s="203" t="s">
        <v>258</v>
      </c>
      <c r="E884" s="203" t="s">
        <v>519</v>
      </c>
      <c r="F884" s="203" t="s">
        <v>171</v>
      </c>
      <c r="G884" s="27">
        <f>G885</f>
        <v>600</v>
      </c>
      <c r="H884" s="27">
        <f t="shared" si="404"/>
        <v>325.2</v>
      </c>
      <c r="I884" s="27">
        <f t="shared" si="382"/>
        <v>54.199999999999996</v>
      </c>
      <c r="J884" s="129"/>
    </row>
    <row r="885" spans="1:10" ht="31.5">
      <c r="A885" s="26" t="s">
        <v>172</v>
      </c>
      <c r="B885" s="205">
        <v>906</v>
      </c>
      <c r="C885" s="203" t="s">
        <v>303</v>
      </c>
      <c r="D885" s="203" t="s">
        <v>258</v>
      </c>
      <c r="E885" s="203" t="s">
        <v>519</v>
      </c>
      <c r="F885" s="203" t="s">
        <v>173</v>
      </c>
      <c r="G885" s="27">
        <f>350-35+35+250</f>
        <v>600</v>
      </c>
      <c r="H885" s="27">
        <v>325.2</v>
      </c>
      <c r="I885" s="27">
        <f t="shared" si="382"/>
        <v>54.199999999999996</v>
      </c>
      <c r="J885" s="129"/>
    </row>
    <row r="886" spans="1:10" ht="31.5">
      <c r="A886" s="26" t="s">
        <v>379</v>
      </c>
      <c r="B886" s="205">
        <v>906</v>
      </c>
      <c r="C886" s="203" t="s">
        <v>303</v>
      </c>
      <c r="D886" s="203" t="s">
        <v>258</v>
      </c>
      <c r="E886" s="203" t="s">
        <v>380</v>
      </c>
      <c r="F886" s="203"/>
      <c r="G886" s="27">
        <f>G887+G889+G891</f>
        <v>13838.4</v>
      </c>
      <c r="H886" s="27">
        <f aca="true" t="shared" si="405" ref="H886">H887+H889+H891</f>
        <v>9129.9</v>
      </c>
      <c r="I886" s="27">
        <f t="shared" si="382"/>
        <v>65.97511272979534</v>
      </c>
      <c r="J886" s="129"/>
    </row>
    <row r="887" spans="1:10" ht="61.5" customHeight="1">
      <c r="A887" s="26" t="s">
        <v>166</v>
      </c>
      <c r="B887" s="205">
        <v>906</v>
      </c>
      <c r="C887" s="203" t="s">
        <v>303</v>
      </c>
      <c r="D887" s="203" t="s">
        <v>258</v>
      </c>
      <c r="E887" s="203" t="s">
        <v>380</v>
      </c>
      <c r="F887" s="203" t="s">
        <v>167</v>
      </c>
      <c r="G887" s="27">
        <f>G888</f>
        <v>12520.9</v>
      </c>
      <c r="H887" s="27">
        <f aca="true" t="shared" si="406" ref="H887">H888</f>
        <v>8263.1</v>
      </c>
      <c r="I887" s="27">
        <f t="shared" si="382"/>
        <v>65.99445726744882</v>
      </c>
      <c r="J887" s="129"/>
    </row>
    <row r="888" spans="1:10" ht="15.75">
      <c r="A888" s="26" t="s">
        <v>381</v>
      </c>
      <c r="B888" s="205">
        <v>906</v>
      </c>
      <c r="C888" s="203" t="s">
        <v>303</v>
      </c>
      <c r="D888" s="203" t="s">
        <v>258</v>
      </c>
      <c r="E888" s="203" t="s">
        <v>380</v>
      </c>
      <c r="F888" s="203" t="s">
        <v>248</v>
      </c>
      <c r="G888" s="28">
        <f>11858.3-4.3+509+157.9</f>
        <v>12520.9</v>
      </c>
      <c r="H888" s="28">
        <v>8263.1</v>
      </c>
      <c r="I888" s="27">
        <f t="shared" si="382"/>
        <v>65.99445726744882</v>
      </c>
      <c r="J888" s="129"/>
    </row>
    <row r="889" spans="1:10" ht="31.5">
      <c r="A889" s="26" t="s">
        <v>170</v>
      </c>
      <c r="B889" s="205">
        <v>906</v>
      </c>
      <c r="C889" s="203" t="s">
        <v>303</v>
      </c>
      <c r="D889" s="203" t="s">
        <v>258</v>
      </c>
      <c r="E889" s="203" t="s">
        <v>380</v>
      </c>
      <c r="F889" s="203" t="s">
        <v>171</v>
      </c>
      <c r="G889" s="27">
        <f>G890</f>
        <v>1302.1</v>
      </c>
      <c r="H889" s="27">
        <f aca="true" t="shared" si="407" ref="H889">H890</f>
        <v>859.3</v>
      </c>
      <c r="I889" s="27">
        <f t="shared" si="382"/>
        <v>65.99339528454036</v>
      </c>
      <c r="J889" s="289"/>
    </row>
    <row r="890" spans="1:10" ht="33" customHeight="1">
      <c r="A890" s="26" t="s">
        <v>172</v>
      </c>
      <c r="B890" s="205">
        <v>906</v>
      </c>
      <c r="C890" s="203" t="s">
        <v>303</v>
      </c>
      <c r="D890" s="203" t="s">
        <v>258</v>
      </c>
      <c r="E890" s="203" t="s">
        <v>380</v>
      </c>
      <c r="F890" s="203" t="s">
        <v>173</v>
      </c>
      <c r="G890" s="27">
        <f>1272.1+30</f>
        <v>1302.1</v>
      </c>
      <c r="H890" s="27">
        <v>859.3</v>
      </c>
      <c r="I890" s="27">
        <f t="shared" si="382"/>
        <v>65.99339528454036</v>
      </c>
      <c r="J890" s="129"/>
    </row>
    <row r="891" spans="1:10" ht="15.75">
      <c r="A891" s="26" t="s">
        <v>174</v>
      </c>
      <c r="B891" s="205">
        <v>906</v>
      </c>
      <c r="C891" s="203" t="s">
        <v>303</v>
      </c>
      <c r="D891" s="203" t="s">
        <v>258</v>
      </c>
      <c r="E891" s="203" t="s">
        <v>380</v>
      </c>
      <c r="F891" s="203" t="s">
        <v>184</v>
      </c>
      <c r="G891" s="27">
        <f>G892</f>
        <v>15.4</v>
      </c>
      <c r="H891" s="27">
        <f aca="true" t="shared" si="408" ref="H891">H892</f>
        <v>7.5</v>
      </c>
      <c r="I891" s="27">
        <f t="shared" si="382"/>
        <v>48.701298701298704</v>
      </c>
      <c r="J891" s="129"/>
    </row>
    <row r="892" spans="1:10" ht="15.75">
      <c r="A892" s="26" t="s">
        <v>608</v>
      </c>
      <c r="B892" s="205">
        <v>906</v>
      </c>
      <c r="C892" s="203" t="s">
        <v>303</v>
      </c>
      <c r="D892" s="203" t="s">
        <v>258</v>
      </c>
      <c r="E892" s="203" t="s">
        <v>380</v>
      </c>
      <c r="F892" s="203" t="s">
        <v>177</v>
      </c>
      <c r="G892" s="27">
        <f>15.4</f>
        <v>15.4</v>
      </c>
      <c r="H892" s="27">
        <v>7.5</v>
      </c>
      <c r="I892" s="27">
        <f t="shared" si="382"/>
        <v>48.701298701298704</v>
      </c>
      <c r="J892" s="129"/>
    </row>
    <row r="893" spans="1:10" ht="36.75" customHeight="1">
      <c r="A893" s="20" t="s">
        <v>520</v>
      </c>
      <c r="B893" s="202">
        <v>907</v>
      </c>
      <c r="C893" s="203"/>
      <c r="D893" s="203"/>
      <c r="E893" s="203"/>
      <c r="F893" s="203"/>
      <c r="G893" s="22">
        <f>G900+G937+G894</f>
        <v>58883.3</v>
      </c>
      <c r="H893" s="22">
        <f aca="true" t="shared" si="409" ref="H893">H900+H937+H894</f>
        <v>42714.49999999999</v>
      </c>
      <c r="I893" s="22">
        <f t="shared" si="382"/>
        <v>72.54094114969777</v>
      </c>
      <c r="J893" s="289"/>
    </row>
    <row r="894" spans="1:10" ht="24" customHeight="1" hidden="1">
      <c r="A894" s="24" t="s">
        <v>156</v>
      </c>
      <c r="B894" s="202">
        <v>907</v>
      </c>
      <c r="C894" s="204" t="s">
        <v>157</v>
      </c>
      <c r="D894" s="204"/>
      <c r="E894" s="203"/>
      <c r="F894" s="203"/>
      <c r="G894" s="22">
        <f>G895</f>
        <v>0</v>
      </c>
      <c r="H894" s="22">
        <f aca="true" t="shared" si="410" ref="H894:H898">H895</f>
        <v>0</v>
      </c>
      <c r="I894" s="22" t="e">
        <f t="shared" si="382"/>
        <v>#DIV/0!</v>
      </c>
      <c r="J894" s="129"/>
    </row>
    <row r="895" spans="1:10" ht="21.75" customHeight="1" hidden="1">
      <c r="A895" s="36" t="s">
        <v>178</v>
      </c>
      <c r="B895" s="202">
        <v>907</v>
      </c>
      <c r="C895" s="204" t="s">
        <v>157</v>
      </c>
      <c r="D895" s="204" t="s">
        <v>179</v>
      </c>
      <c r="E895" s="203"/>
      <c r="F895" s="203"/>
      <c r="G895" s="22">
        <f>G896</f>
        <v>0</v>
      </c>
      <c r="H895" s="22">
        <f t="shared" si="410"/>
        <v>0</v>
      </c>
      <c r="I895" s="22" t="e">
        <f t="shared" si="382"/>
        <v>#DIV/0!</v>
      </c>
      <c r="J895" s="129"/>
    </row>
    <row r="896" spans="1:10" ht="47.25" customHeight="1" hidden="1">
      <c r="A896" s="31" t="s">
        <v>777</v>
      </c>
      <c r="B896" s="205">
        <v>907</v>
      </c>
      <c r="C896" s="203" t="s">
        <v>157</v>
      </c>
      <c r="D896" s="203" t="s">
        <v>179</v>
      </c>
      <c r="E896" s="203" t="s">
        <v>775</v>
      </c>
      <c r="F896" s="210"/>
      <c r="G896" s="27">
        <f>G897</f>
        <v>0</v>
      </c>
      <c r="H896" s="27">
        <f t="shared" si="410"/>
        <v>0</v>
      </c>
      <c r="I896" s="22" t="e">
        <f t="shared" si="382"/>
        <v>#DIV/0!</v>
      </c>
      <c r="J896" s="129"/>
    </row>
    <row r="897" spans="1:10" ht="40.5" customHeight="1" hidden="1">
      <c r="A897" s="119" t="s">
        <v>915</v>
      </c>
      <c r="B897" s="205">
        <v>907</v>
      </c>
      <c r="C897" s="203" t="s">
        <v>157</v>
      </c>
      <c r="D897" s="203" t="s">
        <v>179</v>
      </c>
      <c r="E897" s="203" t="s">
        <v>916</v>
      </c>
      <c r="F897" s="210"/>
      <c r="G897" s="27">
        <f>G898</f>
        <v>0</v>
      </c>
      <c r="H897" s="27">
        <f t="shared" si="410"/>
        <v>0</v>
      </c>
      <c r="I897" s="22" t="e">
        <f t="shared" si="382"/>
        <v>#DIV/0!</v>
      </c>
      <c r="J897" s="129"/>
    </row>
    <row r="898" spans="1:10" ht="36" customHeight="1" hidden="1">
      <c r="A898" s="31" t="s">
        <v>311</v>
      </c>
      <c r="B898" s="205">
        <v>907</v>
      </c>
      <c r="C898" s="203" t="s">
        <v>157</v>
      </c>
      <c r="D898" s="203" t="s">
        <v>179</v>
      </c>
      <c r="E898" s="203" t="s">
        <v>916</v>
      </c>
      <c r="F898" s="210" t="s">
        <v>312</v>
      </c>
      <c r="G898" s="27">
        <f>G899</f>
        <v>0</v>
      </c>
      <c r="H898" s="27">
        <f t="shared" si="410"/>
        <v>0</v>
      </c>
      <c r="I898" s="22" t="e">
        <f t="shared" si="382"/>
        <v>#DIV/0!</v>
      </c>
      <c r="J898" s="129"/>
    </row>
    <row r="899" spans="1:10" ht="18.75" customHeight="1" hidden="1">
      <c r="A899" s="242" t="s">
        <v>313</v>
      </c>
      <c r="B899" s="205">
        <v>907</v>
      </c>
      <c r="C899" s="203" t="s">
        <v>157</v>
      </c>
      <c r="D899" s="203" t="s">
        <v>179</v>
      </c>
      <c r="E899" s="203" t="s">
        <v>916</v>
      </c>
      <c r="F899" s="210" t="s">
        <v>314</v>
      </c>
      <c r="G899" s="27">
        <v>0</v>
      </c>
      <c r="H899" s="27">
        <v>0</v>
      </c>
      <c r="I899" s="22" t="e">
        <f t="shared" si="382"/>
        <v>#DIV/0!</v>
      </c>
      <c r="J899" s="129"/>
    </row>
    <row r="900" spans="1:10" ht="15.75" hidden="1">
      <c r="A900" s="24" t="s">
        <v>302</v>
      </c>
      <c r="B900" s="202">
        <v>907</v>
      </c>
      <c r="C900" s="204" t="s">
        <v>508</v>
      </c>
      <c r="D900" s="204"/>
      <c r="E900" s="204"/>
      <c r="F900" s="204"/>
      <c r="G900" s="22">
        <f>G901</f>
        <v>0</v>
      </c>
      <c r="H900" s="22">
        <f aca="true" t="shared" si="411" ref="H900">H901</f>
        <v>0</v>
      </c>
      <c r="I900" s="22" t="e">
        <f t="shared" si="382"/>
        <v>#DIV/0!</v>
      </c>
      <c r="J900" s="129"/>
    </row>
    <row r="901" spans="1:10" ht="15.75" hidden="1">
      <c r="A901" s="24" t="s">
        <v>304</v>
      </c>
      <c r="B901" s="202">
        <v>907</v>
      </c>
      <c r="C901" s="204" t="s">
        <v>303</v>
      </c>
      <c r="D901" s="204" t="s">
        <v>254</v>
      </c>
      <c r="E901" s="204"/>
      <c r="F901" s="204"/>
      <c r="G901" s="22">
        <f>G902+G926+G922</f>
        <v>0</v>
      </c>
      <c r="H901" s="22">
        <f aca="true" t="shared" si="412" ref="H901">H902+H926+H922</f>
        <v>0</v>
      </c>
      <c r="I901" s="22" t="e">
        <f t="shared" si="382"/>
        <v>#DIV/0!</v>
      </c>
      <c r="J901" s="129"/>
    </row>
    <row r="902" spans="1:10" ht="31.5" hidden="1">
      <c r="A902" s="26" t="s">
        <v>521</v>
      </c>
      <c r="B902" s="205">
        <v>907</v>
      </c>
      <c r="C902" s="203" t="s">
        <v>303</v>
      </c>
      <c r="D902" s="203" t="s">
        <v>254</v>
      </c>
      <c r="E902" s="203" t="s">
        <v>522</v>
      </c>
      <c r="F902" s="203"/>
      <c r="G902" s="27">
        <f>G903</f>
        <v>0</v>
      </c>
      <c r="H902" s="27">
        <f aca="true" t="shared" si="413" ref="H902">H903</f>
        <v>0</v>
      </c>
      <c r="I902" s="22" t="e">
        <f t="shared" si="382"/>
        <v>#DIV/0!</v>
      </c>
      <c r="J902" s="129"/>
    </row>
    <row r="903" spans="1:10" ht="33.75" customHeight="1" hidden="1">
      <c r="A903" s="26" t="s">
        <v>523</v>
      </c>
      <c r="B903" s="205">
        <v>907</v>
      </c>
      <c r="C903" s="203" t="s">
        <v>303</v>
      </c>
      <c r="D903" s="203" t="s">
        <v>254</v>
      </c>
      <c r="E903" s="203" t="s">
        <v>524</v>
      </c>
      <c r="F903" s="203"/>
      <c r="G903" s="27">
        <f>G904+G907+G910+G916+G913+G919</f>
        <v>0</v>
      </c>
      <c r="H903" s="27">
        <f aca="true" t="shared" si="414" ref="H903">H904+H907+H910+H916+H913+H919</f>
        <v>0</v>
      </c>
      <c r="I903" s="22" t="e">
        <f t="shared" si="382"/>
        <v>#DIV/0!</v>
      </c>
      <c r="J903" s="129"/>
    </row>
    <row r="904" spans="1:10" ht="32.25" customHeight="1" hidden="1">
      <c r="A904" s="26" t="s">
        <v>309</v>
      </c>
      <c r="B904" s="205">
        <v>907</v>
      </c>
      <c r="C904" s="203" t="s">
        <v>303</v>
      </c>
      <c r="D904" s="203" t="s">
        <v>254</v>
      </c>
      <c r="E904" s="203" t="s">
        <v>525</v>
      </c>
      <c r="F904" s="203"/>
      <c r="G904" s="27">
        <f>G905</f>
        <v>0</v>
      </c>
      <c r="H904" s="27">
        <f aca="true" t="shared" si="415" ref="H904:H905">H905</f>
        <v>0</v>
      </c>
      <c r="I904" s="22" t="e">
        <f t="shared" si="382"/>
        <v>#DIV/0!</v>
      </c>
      <c r="J904" s="129"/>
    </row>
    <row r="905" spans="1:10" ht="33" customHeight="1" hidden="1">
      <c r="A905" s="26" t="s">
        <v>311</v>
      </c>
      <c r="B905" s="205">
        <v>907</v>
      </c>
      <c r="C905" s="203" t="s">
        <v>303</v>
      </c>
      <c r="D905" s="203" t="s">
        <v>254</v>
      </c>
      <c r="E905" s="203" t="s">
        <v>525</v>
      </c>
      <c r="F905" s="203" t="s">
        <v>312</v>
      </c>
      <c r="G905" s="27">
        <f>G906</f>
        <v>0</v>
      </c>
      <c r="H905" s="27">
        <f t="shared" si="415"/>
        <v>0</v>
      </c>
      <c r="I905" s="22" t="e">
        <f t="shared" si="382"/>
        <v>#DIV/0!</v>
      </c>
      <c r="J905" s="129"/>
    </row>
    <row r="906" spans="1:10" ht="15.75" hidden="1">
      <c r="A906" s="26" t="s">
        <v>313</v>
      </c>
      <c r="B906" s="205">
        <v>907</v>
      </c>
      <c r="C906" s="203" t="s">
        <v>303</v>
      </c>
      <c r="D906" s="203" t="s">
        <v>254</v>
      </c>
      <c r="E906" s="203" t="s">
        <v>525</v>
      </c>
      <c r="F906" s="203" t="s">
        <v>314</v>
      </c>
      <c r="G906" s="28">
        <f>11398.6-11398.6</f>
        <v>0</v>
      </c>
      <c r="H906" s="28">
        <f aca="true" t="shared" si="416" ref="H906">11398.6-11398.6</f>
        <v>0</v>
      </c>
      <c r="I906" s="22" t="e">
        <f t="shared" si="382"/>
        <v>#DIV/0!</v>
      </c>
      <c r="J906" s="129"/>
    </row>
    <row r="907" spans="1:10" ht="47.25" customHeight="1" hidden="1">
      <c r="A907" s="26" t="s">
        <v>317</v>
      </c>
      <c r="B907" s="205">
        <v>907</v>
      </c>
      <c r="C907" s="203" t="s">
        <v>303</v>
      </c>
      <c r="D907" s="203" t="s">
        <v>252</v>
      </c>
      <c r="E907" s="203" t="s">
        <v>526</v>
      </c>
      <c r="F907" s="203"/>
      <c r="G907" s="27">
        <f>G908</f>
        <v>0</v>
      </c>
      <c r="H907" s="27">
        <f aca="true" t="shared" si="417" ref="H907:H908">H908</f>
        <v>0</v>
      </c>
      <c r="I907" s="22" t="e">
        <f aca="true" t="shared" si="418" ref="I907:I965">H907/G907*100</f>
        <v>#DIV/0!</v>
      </c>
      <c r="J907" s="129"/>
    </row>
    <row r="908" spans="1:10" ht="47.25" customHeight="1" hidden="1">
      <c r="A908" s="26" t="s">
        <v>311</v>
      </c>
      <c r="B908" s="205">
        <v>907</v>
      </c>
      <c r="C908" s="203" t="s">
        <v>303</v>
      </c>
      <c r="D908" s="203" t="s">
        <v>252</v>
      </c>
      <c r="E908" s="203" t="s">
        <v>526</v>
      </c>
      <c r="F908" s="203" t="s">
        <v>312</v>
      </c>
      <c r="G908" s="27">
        <f>G909</f>
        <v>0</v>
      </c>
      <c r="H908" s="27">
        <f t="shared" si="417"/>
        <v>0</v>
      </c>
      <c r="I908" s="22" t="e">
        <f t="shared" si="418"/>
        <v>#DIV/0!</v>
      </c>
      <c r="J908" s="129"/>
    </row>
    <row r="909" spans="1:10" ht="15.75" customHeight="1" hidden="1">
      <c r="A909" s="26" t="s">
        <v>313</v>
      </c>
      <c r="B909" s="205">
        <v>907</v>
      </c>
      <c r="C909" s="203" t="s">
        <v>303</v>
      </c>
      <c r="D909" s="203" t="s">
        <v>252</v>
      </c>
      <c r="E909" s="203" t="s">
        <v>526</v>
      </c>
      <c r="F909" s="203" t="s">
        <v>314</v>
      </c>
      <c r="G909" s="27">
        <v>0</v>
      </c>
      <c r="H909" s="27">
        <v>0</v>
      </c>
      <c r="I909" s="22" t="e">
        <f t="shared" si="418"/>
        <v>#DIV/0!</v>
      </c>
      <c r="J909" s="129"/>
    </row>
    <row r="910" spans="1:10" ht="31.5" customHeight="1" hidden="1">
      <c r="A910" s="26" t="s">
        <v>319</v>
      </c>
      <c r="B910" s="205">
        <v>907</v>
      </c>
      <c r="C910" s="203" t="s">
        <v>303</v>
      </c>
      <c r="D910" s="203" t="s">
        <v>252</v>
      </c>
      <c r="E910" s="203" t="s">
        <v>527</v>
      </c>
      <c r="F910" s="203"/>
      <c r="G910" s="27">
        <f>G911</f>
        <v>0</v>
      </c>
      <c r="H910" s="27">
        <f aca="true" t="shared" si="419" ref="H910:H911">H911</f>
        <v>0</v>
      </c>
      <c r="I910" s="22" t="e">
        <f t="shared" si="418"/>
        <v>#DIV/0!</v>
      </c>
      <c r="J910" s="129"/>
    </row>
    <row r="911" spans="1:10" ht="47.25" customHeight="1" hidden="1">
      <c r="A911" s="26" t="s">
        <v>311</v>
      </c>
      <c r="B911" s="205">
        <v>907</v>
      </c>
      <c r="C911" s="203" t="s">
        <v>303</v>
      </c>
      <c r="D911" s="203" t="s">
        <v>252</v>
      </c>
      <c r="E911" s="203" t="s">
        <v>527</v>
      </c>
      <c r="F911" s="203" t="s">
        <v>312</v>
      </c>
      <c r="G911" s="27">
        <f>G912</f>
        <v>0</v>
      </c>
      <c r="H911" s="27">
        <f t="shared" si="419"/>
        <v>0</v>
      </c>
      <c r="I911" s="22" t="e">
        <f t="shared" si="418"/>
        <v>#DIV/0!</v>
      </c>
      <c r="J911" s="129"/>
    </row>
    <row r="912" spans="1:10" ht="15.75" customHeight="1" hidden="1">
      <c r="A912" s="26" t="s">
        <v>313</v>
      </c>
      <c r="B912" s="205">
        <v>907</v>
      </c>
      <c r="C912" s="203" t="s">
        <v>303</v>
      </c>
      <c r="D912" s="203" t="s">
        <v>252</v>
      </c>
      <c r="E912" s="203" t="s">
        <v>527</v>
      </c>
      <c r="F912" s="203" t="s">
        <v>314</v>
      </c>
      <c r="G912" s="27">
        <v>0</v>
      </c>
      <c r="H912" s="27">
        <v>0</v>
      </c>
      <c r="I912" s="22" t="e">
        <f t="shared" si="418"/>
        <v>#DIV/0!</v>
      </c>
      <c r="J912" s="129"/>
    </row>
    <row r="913" spans="1:10" ht="35.25" customHeight="1" hidden="1">
      <c r="A913" s="26" t="s">
        <v>321</v>
      </c>
      <c r="B913" s="205">
        <v>907</v>
      </c>
      <c r="C913" s="203" t="s">
        <v>303</v>
      </c>
      <c r="D913" s="203" t="s">
        <v>254</v>
      </c>
      <c r="E913" s="203" t="s">
        <v>528</v>
      </c>
      <c r="F913" s="203"/>
      <c r="G913" s="27">
        <f>G914</f>
        <v>0</v>
      </c>
      <c r="H913" s="27">
        <f aca="true" t="shared" si="420" ref="H913:H914">H914</f>
        <v>0</v>
      </c>
      <c r="I913" s="22" t="e">
        <f t="shared" si="418"/>
        <v>#DIV/0!</v>
      </c>
      <c r="J913" s="129"/>
    </row>
    <row r="914" spans="1:10" ht="33" customHeight="1" hidden="1">
      <c r="A914" s="26" t="s">
        <v>311</v>
      </c>
      <c r="B914" s="205">
        <v>907</v>
      </c>
      <c r="C914" s="203" t="s">
        <v>303</v>
      </c>
      <c r="D914" s="203" t="s">
        <v>254</v>
      </c>
      <c r="E914" s="203" t="s">
        <v>528</v>
      </c>
      <c r="F914" s="203" t="s">
        <v>312</v>
      </c>
      <c r="G914" s="27">
        <f>G915</f>
        <v>0</v>
      </c>
      <c r="H914" s="27">
        <f t="shared" si="420"/>
        <v>0</v>
      </c>
      <c r="I914" s="22" t="e">
        <f t="shared" si="418"/>
        <v>#DIV/0!</v>
      </c>
      <c r="J914" s="129"/>
    </row>
    <row r="915" spans="1:10" ht="15.75" hidden="1">
      <c r="A915" s="26" t="s">
        <v>313</v>
      </c>
      <c r="B915" s="205">
        <v>907</v>
      </c>
      <c r="C915" s="203" t="s">
        <v>303</v>
      </c>
      <c r="D915" s="203" t="s">
        <v>254</v>
      </c>
      <c r="E915" s="203" t="s">
        <v>528</v>
      </c>
      <c r="F915" s="203" t="s">
        <v>314</v>
      </c>
      <c r="G915" s="27">
        <f>29.4-29.4</f>
        <v>0</v>
      </c>
      <c r="H915" s="27">
        <f aca="true" t="shared" si="421" ref="H915">29.4-29.4</f>
        <v>0</v>
      </c>
      <c r="I915" s="22" t="e">
        <f t="shared" si="418"/>
        <v>#DIV/0!</v>
      </c>
      <c r="J915" s="129"/>
    </row>
    <row r="916" spans="1:10" ht="31.5" customHeight="1" hidden="1">
      <c r="A916" s="26" t="s">
        <v>323</v>
      </c>
      <c r="B916" s="205">
        <v>907</v>
      </c>
      <c r="C916" s="203" t="s">
        <v>303</v>
      </c>
      <c r="D916" s="203" t="s">
        <v>254</v>
      </c>
      <c r="E916" s="203" t="s">
        <v>529</v>
      </c>
      <c r="F916" s="203"/>
      <c r="G916" s="27">
        <f>G917</f>
        <v>0</v>
      </c>
      <c r="H916" s="27">
        <f aca="true" t="shared" si="422" ref="H916:H917">H917</f>
        <v>0</v>
      </c>
      <c r="I916" s="22" t="e">
        <f t="shared" si="418"/>
        <v>#DIV/0!</v>
      </c>
      <c r="J916" s="129"/>
    </row>
    <row r="917" spans="1:10" ht="47.25" customHeight="1" hidden="1">
      <c r="A917" s="26" t="s">
        <v>311</v>
      </c>
      <c r="B917" s="205">
        <v>907</v>
      </c>
      <c r="C917" s="203" t="s">
        <v>303</v>
      </c>
      <c r="D917" s="203" t="s">
        <v>254</v>
      </c>
      <c r="E917" s="203" t="s">
        <v>529</v>
      </c>
      <c r="F917" s="203" t="s">
        <v>312</v>
      </c>
      <c r="G917" s="27">
        <f>G918</f>
        <v>0</v>
      </c>
      <c r="H917" s="27">
        <f t="shared" si="422"/>
        <v>0</v>
      </c>
      <c r="I917" s="22" t="e">
        <f t="shared" si="418"/>
        <v>#DIV/0!</v>
      </c>
      <c r="J917" s="129"/>
    </row>
    <row r="918" spans="1:10" ht="15.75" customHeight="1" hidden="1">
      <c r="A918" s="26" t="s">
        <v>313</v>
      </c>
      <c r="B918" s="205">
        <v>907</v>
      </c>
      <c r="C918" s="203" t="s">
        <v>303</v>
      </c>
      <c r="D918" s="203" t="s">
        <v>254</v>
      </c>
      <c r="E918" s="203" t="s">
        <v>529</v>
      </c>
      <c r="F918" s="203" t="s">
        <v>314</v>
      </c>
      <c r="G918" s="27">
        <v>0</v>
      </c>
      <c r="H918" s="27">
        <v>0</v>
      </c>
      <c r="I918" s="22" t="e">
        <f t="shared" si="418"/>
        <v>#DIV/0!</v>
      </c>
      <c r="J918" s="129"/>
    </row>
    <row r="919" spans="1:10" ht="33" customHeight="1" hidden="1">
      <c r="A919" s="47" t="s">
        <v>837</v>
      </c>
      <c r="B919" s="205">
        <v>907</v>
      </c>
      <c r="C919" s="203" t="s">
        <v>303</v>
      </c>
      <c r="D919" s="203" t="s">
        <v>254</v>
      </c>
      <c r="E919" s="203" t="s">
        <v>844</v>
      </c>
      <c r="F919" s="203"/>
      <c r="G919" s="27">
        <f>G920</f>
        <v>0</v>
      </c>
      <c r="H919" s="27">
        <f aca="true" t="shared" si="423" ref="H919:H920">H920</f>
        <v>0</v>
      </c>
      <c r="I919" s="22" t="e">
        <f t="shared" si="418"/>
        <v>#DIV/0!</v>
      </c>
      <c r="J919" s="129"/>
    </row>
    <row r="920" spans="1:10" ht="54.75" customHeight="1" hidden="1">
      <c r="A920" s="33" t="s">
        <v>311</v>
      </c>
      <c r="B920" s="205">
        <v>907</v>
      </c>
      <c r="C920" s="203" t="s">
        <v>303</v>
      </c>
      <c r="D920" s="203" t="s">
        <v>254</v>
      </c>
      <c r="E920" s="203" t="s">
        <v>844</v>
      </c>
      <c r="F920" s="203" t="s">
        <v>312</v>
      </c>
      <c r="G920" s="27">
        <f>G921</f>
        <v>0</v>
      </c>
      <c r="H920" s="27">
        <f t="shared" si="423"/>
        <v>0</v>
      </c>
      <c r="I920" s="22" t="e">
        <f t="shared" si="418"/>
        <v>#DIV/0!</v>
      </c>
      <c r="J920" s="129"/>
    </row>
    <row r="921" spans="1:10" ht="15.75" customHeight="1" hidden="1">
      <c r="A921" s="33" t="s">
        <v>313</v>
      </c>
      <c r="B921" s="205">
        <v>907</v>
      </c>
      <c r="C921" s="203" t="s">
        <v>303</v>
      </c>
      <c r="D921" s="203" t="s">
        <v>254</v>
      </c>
      <c r="E921" s="203" t="s">
        <v>844</v>
      </c>
      <c r="F921" s="203" t="s">
        <v>314</v>
      </c>
      <c r="G921" s="27">
        <f>365.2+57-107.1-315.1</f>
        <v>0</v>
      </c>
      <c r="H921" s="27">
        <f aca="true" t="shared" si="424" ref="H921">365.2+57-107.1-315.1</f>
        <v>0</v>
      </c>
      <c r="I921" s="22" t="e">
        <f t="shared" si="418"/>
        <v>#DIV/0!</v>
      </c>
      <c r="J921" s="129"/>
    </row>
    <row r="922" spans="1:10" ht="48.75" customHeight="1" hidden="1">
      <c r="A922" s="31" t="s">
        <v>777</v>
      </c>
      <c r="B922" s="205">
        <v>907</v>
      </c>
      <c r="C922" s="203" t="s">
        <v>303</v>
      </c>
      <c r="D922" s="203" t="s">
        <v>254</v>
      </c>
      <c r="E922" s="203" t="s">
        <v>775</v>
      </c>
      <c r="F922" s="210"/>
      <c r="G922" s="27">
        <f>G923</f>
        <v>0</v>
      </c>
      <c r="H922" s="27">
        <f aca="true" t="shared" si="425" ref="H922:H924">H923</f>
        <v>0</v>
      </c>
      <c r="I922" s="22" t="e">
        <f t="shared" si="418"/>
        <v>#DIV/0!</v>
      </c>
      <c r="J922" s="129"/>
    </row>
    <row r="923" spans="1:10" ht="35.25" customHeight="1" hidden="1">
      <c r="A923" s="119" t="s">
        <v>915</v>
      </c>
      <c r="B923" s="205">
        <v>907</v>
      </c>
      <c r="C923" s="203" t="s">
        <v>303</v>
      </c>
      <c r="D923" s="203" t="s">
        <v>254</v>
      </c>
      <c r="E923" s="203" t="s">
        <v>916</v>
      </c>
      <c r="F923" s="210"/>
      <c r="G923" s="27">
        <f>G924</f>
        <v>0</v>
      </c>
      <c r="H923" s="27">
        <f t="shared" si="425"/>
        <v>0</v>
      </c>
      <c r="I923" s="22" t="e">
        <f t="shared" si="418"/>
        <v>#DIV/0!</v>
      </c>
      <c r="J923" s="129"/>
    </row>
    <row r="924" spans="1:10" ht="38.25" customHeight="1" hidden="1">
      <c r="A924" s="31" t="s">
        <v>311</v>
      </c>
      <c r="B924" s="205">
        <v>907</v>
      </c>
      <c r="C924" s="203" t="s">
        <v>303</v>
      </c>
      <c r="D924" s="203" t="s">
        <v>254</v>
      </c>
      <c r="E924" s="203" t="s">
        <v>916</v>
      </c>
      <c r="F924" s="210" t="s">
        <v>312</v>
      </c>
      <c r="G924" s="27">
        <f>G925</f>
        <v>0</v>
      </c>
      <c r="H924" s="27">
        <f t="shared" si="425"/>
        <v>0</v>
      </c>
      <c r="I924" s="22" t="e">
        <f t="shared" si="418"/>
        <v>#DIV/0!</v>
      </c>
      <c r="J924" s="129"/>
    </row>
    <row r="925" spans="1:10" ht="15.75" customHeight="1" hidden="1">
      <c r="A925" s="242" t="s">
        <v>313</v>
      </c>
      <c r="B925" s="205">
        <v>907</v>
      </c>
      <c r="C925" s="203" t="s">
        <v>303</v>
      </c>
      <c r="D925" s="203" t="s">
        <v>254</v>
      </c>
      <c r="E925" s="203" t="s">
        <v>916</v>
      </c>
      <c r="F925" s="210" t="s">
        <v>314</v>
      </c>
      <c r="G925" s="27">
        <f>163.1-163.1</f>
        <v>0</v>
      </c>
      <c r="H925" s="27">
        <f aca="true" t="shared" si="426" ref="H925">163.1-163.1</f>
        <v>0</v>
      </c>
      <c r="I925" s="22" t="e">
        <f t="shared" si="418"/>
        <v>#DIV/0!</v>
      </c>
      <c r="J925" s="129"/>
    </row>
    <row r="926" spans="1:10" ht="15.75" hidden="1">
      <c r="A926" s="26" t="s">
        <v>160</v>
      </c>
      <c r="B926" s="205">
        <v>907</v>
      </c>
      <c r="C926" s="203" t="s">
        <v>303</v>
      </c>
      <c r="D926" s="203" t="s">
        <v>254</v>
      </c>
      <c r="E926" s="203" t="s">
        <v>161</v>
      </c>
      <c r="F926" s="203"/>
      <c r="G926" s="27">
        <f>G927</f>
        <v>0</v>
      </c>
      <c r="H926" s="27">
        <f aca="true" t="shared" si="427" ref="H926">H927</f>
        <v>0</v>
      </c>
      <c r="I926" s="22" t="e">
        <f t="shared" si="418"/>
        <v>#DIV/0!</v>
      </c>
      <c r="J926" s="129"/>
    </row>
    <row r="927" spans="1:10" ht="22.5" customHeight="1" hidden="1">
      <c r="A927" s="26" t="s">
        <v>224</v>
      </c>
      <c r="B927" s="205">
        <v>907</v>
      </c>
      <c r="C927" s="203" t="s">
        <v>303</v>
      </c>
      <c r="D927" s="203" t="s">
        <v>254</v>
      </c>
      <c r="E927" s="203" t="s">
        <v>225</v>
      </c>
      <c r="F927" s="203"/>
      <c r="G927" s="27">
        <f>G928+G931+G934</f>
        <v>0</v>
      </c>
      <c r="H927" s="27">
        <f aca="true" t="shared" si="428" ref="H927">H928+H931+H934</f>
        <v>0</v>
      </c>
      <c r="I927" s="22" t="e">
        <f t="shared" si="418"/>
        <v>#DIV/0!</v>
      </c>
      <c r="J927" s="129"/>
    </row>
    <row r="928" spans="1:10" ht="47.25" hidden="1">
      <c r="A928" s="33" t="s">
        <v>328</v>
      </c>
      <c r="B928" s="205">
        <v>907</v>
      </c>
      <c r="C928" s="203" t="s">
        <v>303</v>
      </c>
      <c r="D928" s="203" t="s">
        <v>254</v>
      </c>
      <c r="E928" s="203" t="s">
        <v>329</v>
      </c>
      <c r="F928" s="203"/>
      <c r="G928" s="27">
        <f>G929</f>
        <v>0</v>
      </c>
      <c r="H928" s="27">
        <f aca="true" t="shared" si="429" ref="H928:H929">H929</f>
        <v>0</v>
      </c>
      <c r="I928" s="22" t="e">
        <f t="shared" si="418"/>
        <v>#DIV/0!</v>
      </c>
      <c r="J928" s="129"/>
    </row>
    <row r="929" spans="1:10" ht="31.5" hidden="1">
      <c r="A929" s="26" t="s">
        <v>311</v>
      </c>
      <c r="B929" s="205">
        <v>907</v>
      </c>
      <c r="C929" s="203" t="s">
        <v>303</v>
      </c>
      <c r="D929" s="203" t="s">
        <v>254</v>
      </c>
      <c r="E929" s="203" t="s">
        <v>329</v>
      </c>
      <c r="F929" s="203" t="s">
        <v>312</v>
      </c>
      <c r="G929" s="27">
        <f>G930</f>
        <v>0</v>
      </c>
      <c r="H929" s="27">
        <f t="shared" si="429"/>
        <v>0</v>
      </c>
      <c r="I929" s="22" t="e">
        <f t="shared" si="418"/>
        <v>#DIV/0!</v>
      </c>
      <c r="J929" s="129"/>
    </row>
    <row r="930" spans="1:10" ht="15.75" hidden="1">
      <c r="A930" s="26" t="s">
        <v>313</v>
      </c>
      <c r="B930" s="205">
        <v>907</v>
      </c>
      <c r="C930" s="203" t="s">
        <v>303</v>
      </c>
      <c r="D930" s="203" t="s">
        <v>254</v>
      </c>
      <c r="E930" s="203" t="s">
        <v>329</v>
      </c>
      <c r="F930" s="203" t="s">
        <v>314</v>
      </c>
      <c r="G930" s="27">
        <f>50-39.5-10.5</f>
        <v>0</v>
      </c>
      <c r="H930" s="27">
        <f aca="true" t="shared" si="430" ref="H930">50-39.5-10.5</f>
        <v>0</v>
      </c>
      <c r="I930" s="22" t="e">
        <f t="shared" si="418"/>
        <v>#DIV/0!</v>
      </c>
      <c r="J930" s="129"/>
    </row>
    <row r="931" spans="1:10" ht="63" hidden="1">
      <c r="A931" s="33" t="s">
        <v>330</v>
      </c>
      <c r="B931" s="205">
        <v>907</v>
      </c>
      <c r="C931" s="203" t="s">
        <v>303</v>
      </c>
      <c r="D931" s="203" t="s">
        <v>254</v>
      </c>
      <c r="E931" s="203" t="s">
        <v>331</v>
      </c>
      <c r="F931" s="203"/>
      <c r="G931" s="27">
        <f>G932</f>
        <v>0</v>
      </c>
      <c r="H931" s="27">
        <f aca="true" t="shared" si="431" ref="H931:H932">H932</f>
        <v>0</v>
      </c>
      <c r="I931" s="22" t="e">
        <f t="shared" si="418"/>
        <v>#DIV/0!</v>
      </c>
      <c r="J931" s="129"/>
    </row>
    <row r="932" spans="1:10" ht="31.5" hidden="1">
      <c r="A932" s="26" t="s">
        <v>311</v>
      </c>
      <c r="B932" s="205">
        <v>907</v>
      </c>
      <c r="C932" s="203" t="s">
        <v>303</v>
      </c>
      <c r="D932" s="203" t="s">
        <v>254</v>
      </c>
      <c r="E932" s="203" t="s">
        <v>331</v>
      </c>
      <c r="F932" s="203" t="s">
        <v>312</v>
      </c>
      <c r="G932" s="27">
        <f>G933</f>
        <v>0</v>
      </c>
      <c r="H932" s="27">
        <f t="shared" si="431"/>
        <v>0</v>
      </c>
      <c r="I932" s="22" t="e">
        <f t="shared" si="418"/>
        <v>#DIV/0!</v>
      </c>
      <c r="J932" s="129"/>
    </row>
    <row r="933" spans="1:10" ht="15.75" hidden="1">
      <c r="A933" s="26" t="s">
        <v>313</v>
      </c>
      <c r="B933" s="205">
        <v>907</v>
      </c>
      <c r="C933" s="203" t="s">
        <v>303</v>
      </c>
      <c r="D933" s="203" t="s">
        <v>254</v>
      </c>
      <c r="E933" s="203" t="s">
        <v>331</v>
      </c>
      <c r="F933" s="203" t="s">
        <v>314</v>
      </c>
      <c r="G933" s="27">
        <f>200-2.7+6.9-204.2</f>
        <v>0</v>
      </c>
      <c r="H933" s="27">
        <f aca="true" t="shared" si="432" ref="H933">200-2.7+6.9-204.2</f>
        <v>0</v>
      </c>
      <c r="I933" s="22" t="e">
        <f t="shared" si="418"/>
        <v>#DIV/0!</v>
      </c>
      <c r="J933" s="129"/>
    </row>
    <row r="934" spans="1:10" ht="78.75" hidden="1">
      <c r="A934" s="33" t="s">
        <v>504</v>
      </c>
      <c r="B934" s="205">
        <v>907</v>
      </c>
      <c r="C934" s="203" t="s">
        <v>303</v>
      </c>
      <c r="D934" s="203" t="s">
        <v>254</v>
      </c>
      <c r="E934" s="203" t="s">
        <v>333</v>
      </c>
      <c r="F934" s="203"/>
      <c r="G934" s="27">
        <f>G935</f>
        <v>0</v>
      </c>
      <c r="H934" s="27">
        <f aca="true" t="shared" si="433" ref="H934:H935">H935</f>
        <v>0</v>
      </c>
      <c r="I934" s="22" t="e">
        <f t="shared" si="418"/>
        <v>#DIV/0!</v>
      </c>
      <c r="J934" s="129"/>
    </row>
    <row r="935" spans="1:10" ht="31.5" hidden="1">
      <c r="A935" s="26" t="s">
        <v>311</v>
      </c>
      <c r="B935" s="205">
        <v>907</v>
      </c>
      <c r="C935" s="203" t="s">
        <v>303</v>
      </c>
      <c r="D935" s="203" t="s">
        <v>254</v>
      </c>
      <c r="E935" s="203" t="s">
        <v>333</v>
      </c>
      <c r="F935" s="203" t="s">
        <v>312</v>
      </c>
      <c r="G935" s="27">
        <f>G936</f>
        <v>0</v>
      </c>
      <c r="H935" s="27">
        <f t="shared" si="433"/>
        <v>0</v>
      </c>
      <c r="I935" s="22" t="e">
        <f t="shared" si="418"/>
        <v>#DIV/0!</v>
      </c>
      <c r="J935" s="129"/>
    </row>
    <row r="936" spans="1:10" ht="15.75" hidden="1">
      <c r="A936" s="26" t="s">
        <v>313</v>
      </c>
      <c r="B936" s="205">
        <v>907</v>
      </c>
      <c r="C936" s="203" t="s">
        <v>303</v>
      </c>
      <c r="D936" s="203" t="s">
        <v>254</v>
      </c>
      <c r="E936" s="203" t="s">
        <v>333</v>
      </c>
      <c r="F936" s="203" t="s">
        <v>314</v>
      </c>
      <c r="G936" s="27">
        <f>500-20.2-8.2-471.6</f>
        <v>0</v>
      </c>
      <c r="H936" s="27">
        <f aca="true" t="shared" si="434" ref="H936">500-20.2-8.2-471.6</f>
        <v>0</v>
      </c>
      <c r="I936" s="22" t="e">
        <f t="shared" si="418"/>
        <v>#DIV/0!</v>
      </c>
      <c r="J936" s="129"/>
    </row>
    <row r="937" spans="1:10" ht="15.75">
      <c r="A937" s="24" t="s">
        <v>530</v>
      </c>
      <c r="B937" s="202">
        <v>907</v>
      </c>
      <c r="C937" s="204" t="s">
        <v>531</v>
      </c>
      <c r="D937" s="203"/>
      <c r="E937" s="203"/>
      <c r="F937" s="203"/>
      <c r="G937" s="22">
        <f>G938+G990</f>
        <v>58883.3</v>
      </c>
      <c r="H937" s="22">
        <f aca="true" t="shared" si="435" ref="H937">H938+H990</f>
        <v>42714.49999999999</v>
      </c>
      <c r="I937" s="22">
        <f t="shared" si="418"/>
        <v>72.54094114969777</v>
      </c>
      <c r="J937" s="129"/>
    </row>
    <row r="938" spans="1:10" ht="15.75">
      <c r="A938" s="24" t="s">
        <v>532</v>
      </c>
      <c r="B938" s="202">
        <v>907</v>
      </c>
      <c r="C938" s="204" t="s">
        <v>531</v>
      </c>
      <c r="D938" s="204" t="s">
        <v>157</v>
      </c>
      <c r="E938" s="203"/>
      <c r="F938" s="203"/>
      <c r="G938" s="22">
        <f>G939+G971+G966+G975+G979</f>
        <v>46657.7</v>
      </c>
      <c r="H938" s="22">
        <f aca="true" t="shared" si="436" ref="H938">H939+H971+H966+H975+H979</f>
        <v>34097.399999999994</v>
      </c>
      <c r="I938" s="22">
        <f t="shared" si="418"/>
        <v>73.07989892343599</v>
      </c>
      <c r="J938" s="129"/>
    </row>
    <row r="939" spans="1:10" ht="31.5">
      <c r="A939" s="26" t="s">
        <v>521</v>
      </c>
      <c r="B939" s="205">
        <v>907</v>
      </c>
      <c r="C939" s="203" t="s">
        <v>531</v>
      </c>
      <c r="D939" s="203" t="s">
        <v>157</v>
      </c>
      <c r="E939" s="203" t="s">
        <v>522</v>
      </c>
      <c r="F939" s="203"/>
      <c r="G939" s="27">
        <f>G940</f>
        <v>45247.4</v>
      </c>
      <c r="H939" s="27">
        <f aca="true" t="shared" si="437" ref="H939">H940</f>
        <v>33099.2</v>
      </c>
      <c r="I939" s="27">
        <f t="shared" si="418"/>
        <v>73.15160650114701</v>
      </c>
      <c r="J939" s="129"/>
    </row>
    <row r="940" spans="1:10" ht="31.5">
      <c r="A940" s="26" t="s">
        <v>533</v>
      </c>
      <c r="B940" s="205">
        <v>907</v>
      </c>
      <c r="C940" s="203" t="s">
        <v>531</v>
      </c>
      <c r="D940" s="203" t="s">
        <v>157</v>
      </c>
      <c r="E940" s="203" t="s">
        <v>534</v>
      </c>
      <c r="F940" s="203"/>
      <c r="G940" s="27">
        <f>G941+G951+G954+G960+G963+G957</f>
        <v>45247.4</v>
      </c>
      <c r="H940" s="27">
        <f aca="true" t="shared" si="438" ref="H940">H941+H951+H954+H960+H963+H957</f>
        <v>33099.2</v>
      </c>
      <c r="I940" s="27">
        <f t="shared" si="418"/>
        <v>73.15160650114701</v>
      </c>
      <c r="J940" s="129"/>
    </row>
    <row r="941" spans="1:10" ht="31.5">
      <c r="A941" s="26" t="s">
        <v>535</v>
      </c>
      <c r="B941" s="205">
        <v>907</v>
      </c>
      <c r="C941" s="203" t="s">
        <v>531</v>
      </c>
      <c r="D941" s="203" t="s">
        <v>157</v>
      </c>
      <c r="E941" s="203" t="s">
        <v>536</v>
      </c>
      <c r="F941" s="203"/>
      <c r="G941" s="27">
        <f>G942+G945+G948</f>
        <v>43349.4</v>
      </c>
      <c r="H941" s="27">
        <f aca="true" t="shared" si="439" ref="H941">H942+H945+H948</f>
        <v>31201.3</v>
      </c>
      <c r="I941" s="27">
        <f t="shared" si="418"/>
        <v>71.97631339764794</v>
      </c>
      <c r="J941" s="129"/>
    </row>
    <row r="942" spans="1:10" ht="47.25">
      <c r="A942" s="26" t="s">
        <v>1000</v>
      </c>
      <c r="B942" s="205">
        <v>907</v>
      </c>
      <c r="C942" s="203" t="s">
        <v>531</v>
      </c>
      <c r="D942" s="203" t="s">
        <v>157</v>
      </c>
      <c r="E942" s="203" t="s">
        <v>994</v>
      </c>
      <c r="F942" s="203"/>
      <c r="G942" s="27">
        <f>G943</f>
        <v>12403.5</v>
      </c>
      <c r="H942" s="27">
        <f aca="true" t="shared" si="440" ref="H942:H943">H943</f>
        <v>9217.8</v>
      </c>
      <c r="I942" s="27">
        <f t="shared" si="418"/>
        <v>74.31612044987301</v>
      </c>
      <c r="J942" s="129"/>
    </row>
    <row r="943" spans="1:10" ht="36" customHeight="1">
      <c r="A943" s="26" t="s">
        <v>311</v>
      </c>
      <c r="B943" s="205">
        <v>907</v>
      </c>
      <c r="C943" s="203" t="s">
        <v>531</v>
      </c>
      <c r="D943" s="203" t="s">
        <v>157</v>
      </c>
      <c r="E943" s="203" t="s">
        <v>994</v>
      </c>
      <c r="F943" s="203" t="s">
        <v>312</v>
      </c>
      <c r="G943" s="27">
        <f>G944</f>
        <v>12403.5</v>
      </c>
      <c r="H943" s="27">
        <f t="shared" si="440"/>
        <v>9217.8</v>
      </c>
      <c r="I943" s="27">
        <f t="shared" si="418"/>
        <v>74.31612044987301</v>
      </c>
      <c r="J943" s="129"/>
    </row>
    <row r="944" spans="1:13" ht="15.75">
      <c r="A944" s="26" t="s">
        <v>313</v>
      </c>
      <c r="B944" s="205">
        <v>907</v>
      </c>
      <c r="C944" s="203" t="s">
        <v>531</v>
      </c>
      <c r="D944" s="203" t="s">
        <v>157</v>
      </c>
      <c r="E944" s="203" t="s">
        <v>994</v>
      </c>
      <c r="F944" s="203" t="s">
        <v>314</v>
      </c>
      <c r="G944" s="28">
        <f>11428+80.9+894.6</f>
        <v>12403.5</v>
      </c>
      <c r="H944" s="28">
        <v>9217.8</v>
      </c>
      <c r="I944" s="27">
        <f t="shared" si="418"/>
        <v>74.31612044987301</v>
      </c>
      <c r="J944" s="129"/>
      <c r="K944" s="129"/>
      <c r="L944" s="129"/>
      <c r="M944" s="129"/>
    </row>
    <row r="945" spans="1:13" ht="39.75" customHeight="1">
      <c r="A945" s="26" t="s">
        <v>1022</v>
      </c>
      <c r="B945" s="205">
        <v>907</v>
      </c>
      <c r="C945" s="203" t="s">
        <v>531</v>
      </c>
      <c r="D945" s="203" t="s">
        <v>157</v>
      </c>
      <c r="E945" s="203" t="s">
        <v>995</v>
      </c>
      <c r="F945" s="203"/>
      <c r="G945" s="28">
        <f>G946</f>
        <v>12697.800000000001</v>
      </c>
      <c r="H945" s="28">
        <f aca="true" t="shared" si="441" ref="H945:H946">H946</f>
        <v>9700.3</v>
      </c>
      <c r="I945" s="27">
        <f t="shared" si="418"/>
        <v>76.39354848871457</v>
      </c>
      <c r="J945" s="289"/>
      <c r="K945" s="129"/>
      <c r="L945" s="129"/>
      <c r="M945" s="129"/>
    </row>
    <row r="946" spans="1:13" ht="31.5">
      <c r="A946" s="26" t="s">
        <v>311</v>
      </c>
      <c r="B946" s="205">
        <v>907</v>
      </c>
      <c r="C946" s="203" t="s">
        <v>531</v>
      </c>
      <c r="D946" s="203" t="s">
        <v>157</v>
      </c>
      <c r="E946" s="203" t="s">
        <v>995</v>
      </c>
      <c r="F946" s="203" t="s">
        <v>312</v>
      </c>
      <c r="G946" s="28">
        <f>G947</f>
        <v>12697.800000000001</v>
      </c>
      <c r="H946" s="28">
        <f t="shared" si="441"/>
        <v>9700.3</v>
      </c>
      <c r="I946" s="27">
        <f t="shared" si="418"/>
        <v>76.39354848871457</v>
      </c>
      <c r="J946" s="129"/>
      <c r="K946" s="129"/>
      <c r="L946" s="129"/>
      <c r="M946" s="129"/>
    </row>
    <row r="947" spans="1:13" ht="15.75">
      <c r="A947" s="26" t="s">
        <v>313</v>
      </c>
      <c r="B947" s="205">
        <v>907</v>
      </c>
      <c r="C947" s="203" t="s">
        <v>531</v>
      </c>
      <c r="D947" s="203" t="s">
        <v>157</v>
      </c>
      <c r="E947" s="203" t="s">
        <v>995</v>
      </c>
      <c r="F947" s="203" t="s">
        <v>314</v>
      </c>
      <c r="G947" s="28">
        <f>12609.4-227.5+745.5-87.3-342.3</f>
        <v>12697.800000000001</v>
      </c>
      <c r="H947" s="28">
        <v>9700.3</v>
      </c>
      <c r="I947" s="27">
        <f t="shared" si="418"/>
        <v>76.39354848871457</v>
      </c>
      <c r="J947" s="129"/>
      <c r="K947" s="129"/>
      <c r="L947" s="129"/>
      <c r="M947" s="129"/>
    </row>
    <row r="948" spans="1:13" ht="47.25">
      <c r="A948" s="26" t="s">
        <v>1023</v>
      </c>
      <c r="B948" s="205">
        <v>907</v>
      </c>
      <c r="C948" s="203" t="s">
        <v>531</v>
      </c>
      <c r="D948" s="203" t="s">
        <v>157</v>
      </c>
      <c r="E948" s="203" t="s">
        <v>996</v>
      </c>
      <c r="F948" s="203"/>
      <c r="G948" s="28">
        <f>G949</f>
        <v>18248.1</v>
      </c>
      <c r="H948" s="28">
        <f aca="true" t="shared" si="442" ref="H948:H949">H949</f>
        <v>12283.2</v>
      </c>
      <c r="I948" s="27">
        <f t="shared" si="418"/>
        <v>67.31221332631891</v>
      </c>
      <c r="J948" s="289"/>
      <c r="K948" s="129"/>
      <c r="L948" s="129"/>
      <c r="M948" s="129"/>
    </row>
    <row r="949" spans="1:13" ht="31.5">
      <c r="A949" s="26" t="s">
        <v>311</v>
      </c>
      <c r="B949" s="205">
        <v>907</v>
      </c>
      <c r="C949" s="203" t="s">
        <v>531</v>
      </c>
      <c r="D949" s="203" t="s">
        <v>157</v>
      </c>
      <c r="E949" s="203" t="s">
        <v>996</v>
      </c>
      <c r="F949" s="203" t="s">
        <v>312</v>
      </c>
      <c r="G949" s="28">
        <f>G950</f>
        <v>18248.1</v>
      </c>
      <c r="H949" s="28">
        <f t="shared" si="442"/>
        <v>12283.2</v>
      </c>
      <c r="I949" s="27">
        <f t="shared" si="418"/>
        <v>67.31221332631891</v>
      </c>
      <c r="J949" s="129"/>
      <c r="K949" s="129"/>
      <c r="L949" s="129"/>
      <c r="M949" s="129"/>
    </row>
    <row r="950" spans="1:13" ht="15.75">
      <c r="A950" s="26" t="s">
        <v>313</v>
      </c>
      <c r="B950" s="205">
        <v>907</v>
      </c>
      <c r="C950" s="203" t="s">
        <v>531</v>
      </c>
      <c r="D950" s="203" t="s">
        <v>157</v>
      </c>
      <c r="E950" s="203" t="s">
        <v>996</v>
      </c>
      <c r="F950" s="203" t="s">
        <v>314</v>
      </c>
      <c r="G950" s="28">
        <f>19339.5-1636.2+863.4-36-97.2-185.4</f>
        <v>18248.1</v>
      </c>
      <c r="H950" s="28">
        <v>12283.2</v>
      </c>
      <c r="I950" s="27">
        <f t="shared" si="418"/>
        <v>67.31221332631891</v>
      </c>
      <c r="J950" s="317"/>
      <c r="K950" s="302"/>
      <c r="L950" s="129"/>
      <c r="M950" s="129"/>
    </row>
    <row r="951" spans="1:13" ht="31.5">
      <c r="A951" s="26" t="s">
        <v>317</v>
      </c>
      <c r="B951" s="205">
        <v>907</v>
      </c>
      <c r="C951" s="203" t="s">
        <v>531</v>
      </c>
      <c r="D951" s="203" t="s">
        <v>157</v>
      </c>
      <c r="E951" s="203" t="s">
        <v>537</v>
      </c>
      <c r="F951" s="203"/>
      <c r="G951" s="27">
        <f>G952</f>
        <v>429.6</v>
      </c>
      <c r="H951" s="27">
        <f aca="true" t="shared" si="443" ref="H951:H952">H952</f>
        <v>429.6</v>
      </c>
      <c r="I951" s="27">
        <f t="shared" si="418"/>
        <v>100</v>
      </c>
      <c r="J951" s="129"/>
      <c r="K951" s="129"/>
      <c r="L951" s="371"/>
      <c r="M951" s="371"/>
    </row>
    <row r="952" spans="1:13" ht="31.5">
      <c r="A952" s="26" t="s">
        <v>311</v>
      </c>
      <c r="B952" s="205">
        <v>907</v>
      </c>
      <c r="C952" s="203" t="s">
        <v>531</v>
      </c>
      <c r="D952" s="203" t="s">
        <v>157</v>
      </c>
      <c r="E952" s="203" t="s">
        <v>537</v>
      </c>
      <c r="F952" s="203" t="s">
        <v>312</v>
      </c>
      <c r="G952" s="27">
        <f>G953</f>
        <v>429.6</v>
      </c>
      <c r="H952" s="27">
        <f t="shared" si="443"/>
        <v>429.6</v>
      </c>
      <c r="I952" s="27">
        <f t="shared" si="418"/>
        <v>100</v>
      </c>
      <c r="J952" s="129"/>
      <c r="K952" s="129"/>
      <c r="L952" s="129"/>
      <c r="M952" s="129"/>
    </row>
    <row r="953" spans="1:13" ht="15.75">
      <c r="A953" s="26" t="s">
        <v>313</v>
      </c>
      <c r="B953" s="205">
        <v>907</v>
      </c>
      <c r="C953" s="203" t="s">
        <v>531</v>
      </c>
      <c r="D953" s="203" t="s">
        <v>157</v>
      </c>
      <c r="E953" s="203" t="s">
        <v>537</v>
      </c>
      <c r="F953" s="203" t="s">
        <v>314</v>
      </c>
      <c r="G953" s="27">
        <f>87.3+342.3</f>
        <v>429.6</v>
      </c>
      <c r="H953" s="27">
        <v>429.6</v>
      </c>
      <c r="I953" s="27">
        <f t="shared" si="418"/>
        <v>100</v>
      </c>
      <c r="J953" s="129"/>
      <c r="K953" s="129"/>
      <c r="L953" s="129"/>
      <c r="M953" s="129"/>
    </row>
    <row r="954" spans="1:13" ht="28.5" customHeight="1">
      <c r="A954" s="26" t="s">
        <v>319</v>
      </c>
      <c r="B954" s="205">
        <v>907</v>
      </c>
      <c r="C954" s="203" t="s">
        <v>531</v>
      </c>
      <c r="D954" s="203" t="s">
        <v>157</v>
      </c>
      <c r="E954" s="203" t="s">
        <v>538</v>
      </c>
      <c r="F954" s="203"/>
      <c r="G954" s="27">
        <f>G955</f>
        <v>185.4</v>
      </c>
      <c r="H954" s="27">
        <f aca="true" t="shared" si="444" ref="H954:H955">H955</f>
        <v>185.3</v>
      </c>
      <c r="I954" s="27">
        <f t="shared" si="418"/>
        <v>99.94606256742179</v>
      </c>
      <c r="J954" s="129"/>
      <c r="K954" s="129"/>
      <c r="L954" s="129"/>
      <c r="M954" s="129"/>
    </row>
    <row r="955" spans="1:13" ht="37.5" customHeight="1">
      <c r="A955" s="26" t="s">
        <v>311</v>
      </c>
      <c r="B955" s="205">
        <v>907</v>
      </c>
      <c r="C955" s="203" t="s">
        <v>531</v>
      </c>
      <c r="D955" s="203" t="s">
        <v>157</v>
      </c>
      <c r="E955" s="203" t="s">
        <v>538</v>
      </c>
      <c r="F955" s="203" t="s">
        <v>312</v>
      </c>
      <c r="G955" s="27">
        <f>G956</f>
        <v>185.4</v>
      </c>
      <c r="H955" s="27">
        <f t="shared" si="444"/>
        <v>185.3</v>
      </c>
      <c r="I955" s="27">
        <f t="shared" si="418"/>
        <v>99.94606256742179</v>
      </c>
      <c r="J955" s="129"/>
      <c r="K955" s="129"/>
      <c r="L955" s="129"/>
      <c r="M955" s="129"/>
    </row>
    <row r="956" spans="1:13" ht="15.75" customHeight="1">
      <c r="A956" s="26" t="s">
        <v>313</v>
      </c>
      <c r="B956" s="205">
        <v>907</v>
      </c>
      <c r="C956" s="203" t="s">
        <v>531</v>
      </c>
      <c r="D956" s="203" t="s">
        <v>157</v>
      </c>
      <c r="E956" s="203" t="s">
        <v>538</v>
      </c>
      <c r="F956" s="203" t="s">
        <v>314</v>
      </c>
      <c r="G956" s="27">
        <v>185.4</v>
      </c>
      <c r="H956" s="27">
        <v>185.3</v>
      </c>
      <c r="I956" s="27">
        <f t="shared" si="418"/>
        <v>99.94606256742179</v>
      </c>
      <c r="J956" s="129"/>
      <c r="K956" s="129"/>
      <c r="L956" s="129"/>
      <c r="M956" s="129"/>
    </row>
    <row r="957" spans="1:13" s="300" customFormat="1" ht="15.75" customHeight="1">
      <c r="A957" s="26" t="s">
        <v>1060</v>
      </c>
      <c r="B957" s="205">
        <v>907</v>
      </c>
      <c r="C957" s="203" t="s">
        <v>531</v>
      </c>
      <c r="D957" s="203" t="s">
        <v>157</v>
      </c>
      <c r="E957" s="203" t="s">
        <v>1061</v>
      </c>
      <c r="F957" s="203"/>
      <c r="G957" s="27">
        <f>G958</f>
        <v>36</v>
      </c>
      <c r="H957" s="27">
        <f aca="true" t="shared" si="445" ref="H957:H958">H958</f>
        <v>36</v>
      </c>
      <c r="I957" s="27">
        <f t="shared" si="418"/>
        <v>100</v>
      </c>
      <c r="J957" s="129"/>
      <c r="K957" s="129"/>
      <c r="L957" s="129"/>
      <c r="M957" s="129"/>
    </row>
    <row r="958" spans="1:13" s="300" customFormat="1" ht="15.75" customHeight="1">
      <c r="A958" s="26" t="s">
        <v>311</v>
      </c>
      <c r="B958" s="205">
        <v>907</v>
      </c>
      <c r="C958" s="203" t="s">
        <v>531</v>
      </c>
      <c r="D958" s="203" t="s">
        <v>157</v>
      </c>
      <c r="E958" s="203" t="s">
        <v>1061</v>
      </c>
      <c r="F958" s="203" t="s">
        <v>312</v>
      </c>
      <c r="G958" s="27">
        <f>G959</f>
        <v>36</v>
      </c>
      <c r="H958" s="27">
        <f t="shared" si="445"/>
        <v>36</v>
      </c>
      <c r="I958" s="27">
        <f t="shared" si="418"/>
        <v>100</v>
      </c>
      <c r="J958" s="129"/>
      <c r="K958" s="129"/>
      <c r="L958" s="129"/>
      <c r="M958" s="129"/>
    </row>
    <row r="959" spans="1:13" s="300" customFormat="1" ht="15.75" customHeight="1">
      <c r="A959" s="26" t="s">
        <v>313</v>
      </c>
      <c r="B959" s="205">
        <v>907</v>
      </c>
      <c r="C959" s="203" t="s">
        <v>531</v>
      </c>
      <c r="D959" s="203" t="s">
        <v>157</v>
      </c>
      <c r="E959" s="203" t="s">
        <v>1061</v>
      </c>
      <c r="F959" s="203" t="s">
        <v>314</v>
      </c>
      <c r="G959" s="27">
        <v>36</v>
      </c>
      <c r="H959" s="27">
        <v>36</v>
      </c>
      <c r="I959" s="27">
        <f t="shared" si="418"/>
        <v>100</v>
      </c>
      <c r="J959" s="129"/>
      <c r="K959" s="129"/>
      <c r="L959" s="129"/>
      <c r="M959" s="129"/>
    </row>
    <row r="960" spans="1:13" ht="33.75" customHeight="1">
      <c r="A960" s="26" t="s">
        <v>952</v>
      </c>
      <c r="B960" s="205">
        <v>907</v>
      </c>
      <c r="C960" s="203" t="s">
        <v>531</v>
      </c>
      <c r="D960" s="203" t="s">
        <v>157</v>
      </c>
      <c r="E960" s="203" t="s">
        <v>539</v>
      </c>
      <c r="F960" s="203"/>
      <c r="G960" s="27">
        <f>G961</f>
        <v>53.7</v>
      </c>
      <c r="H960" s="27">
        <f aca="true" t="shared" si="446" ref="H960:H961">H961</f>
        <v>53.7</v>
      </c>
      <c r="I960" s="27">
        <f t="shared" si="418"/>
        <v>100</v>
      </c>
      <c r="J960" s="129"/>
      <c r="K960" s="129"/>
      <c r="L960" s="129"/>
      <c r="M960" s="129"/>
    </row>
    <row r="961" spans="1:13" ht="31.5">
      <c r="A961" s="26" t="s">
        <v>311</v>
      </c>
      <c r="B961" s="205">
        <v>907</v>
      </c>
      <c r="C961" s="203" t="s">
        <v>531</v>
      </c>
      <c r="D961" s="203" t="s">
        <v>157</v>
      </c>
      <c r="E961" s="203" t="s">
        <v>539</v>
      </c>
      <c r="F961" s="203" t="s">
        <v>312</v>
      </c>
      <c r="G961" s="27">
        <f>G962</f>
        <v>53.7</v>
      </c>
      <c r="H961" s="27">
        <f t="shared" si="446"/>
        <v>53.7</v>
      </c>
      <c r="I961" s="27">
        <f t="shared" si="418"/>
        <v>100</v>
      </c>
      <c r="J961" s="129"/>
      <c r="K961" s="129"/>
      <c r="L961" s="129"/>
      <c r="M961" s="129"/>
    </row>
    <row r="962" spans="1:13" ht="15.75" customHeight="1">
      <c r="A962" s="26" t="s">
        <v>313</v>
      </c>
      <c r="B962" s="205">
        <v>907</v>
      </c>
      <c r="C962" s="203" t="s">
        <v>531</v>
      </c>
      <c r="D962" s="203" t="s">
        <v>157</v>
      </c>
      <c r="E962" s="203" t="s">
        <v>539</v>
      </c>
      <c r="F962" s="203" t="s">
        <v>314</v>
      </c>
      <c r="G962" s="27">
        <v>53.7</v>
      </c>
      <c r="H962" s="27">
        <v>53.7</v>
      </c>
      <c r="I962" s="27">
        <f t="shared" si="418"/>
        <v>100</v>
      </c>
      <c r="J962" s="129"/>
      <c r="K962" s="129"/>
      <c r="L962" s="129"/>
      <c r="M962" s="129"/>
    </row>
    <row r="963" spans="1:13" ht="34.5" customHeight="1">
      <c r="A963" s="47" t="s">
        <v>837</v>
      </c>
      <c r="B963" s="205">
        <v>907</v>
      </c>
      <c r="C963" s="203" t="s">
        <v>531</v>
      </c>
      <c r="D963" s="203" t="s">
        <v>157</v>
      </c>
      <c r="E963" s="203" t="s">
        <v>845</v>
      </c>
      <c r="F963" s="203"/>
      <c r="G963" s="27">
        <f>G964</f>
        <v>1193.3</v>
      </c>
      <c r="H963" s="27">
        <f aca="true" t="shared" si="447" ref="H963:H964">H964</f>
        <v>1193.3</v>
      </c>
      <c r="I963" s="27">
        <f t="shared" si="418"/>
        <v>100</v>
      </c>
      <c r="J963" s="289"/>
      <c r="K963" s="129"/>
      <c r="L963" s="129"/>
      <c r="M963" s="129"/>
    </row>
    <row r="964" spans="1:13" ht="27" customHeight="1">
      <c r="A964" s="33" t="s">
        <v>311</v>
      </c>
      <c r="B964" s="205">
        <v>907</v>
      </c>
      <c r="C964" s="203" t="s">
        <v>531</v>
      </c>
      <c r="D964" s="203" t="s">
        <v>157</v>
      </c>
      <c r="E964" s="203" t="s">
        <v>845</v>
      </c>
      <c r="F964" s="203" t="s">
        <v>312</v>
      </c>
      <c r="G964" s="27">
        <f>G965</f>
        <v>1193.3</v>
      </c>
      <c r="H964" s="27">
        <f t="shared" si="447"/>
        <v>1193.3</v>
      </c>
      <c r="I964" s="27">
        <f t="shared" si="418"/>
        <v>100</v>
      </c>
      <c r="J964" s="129"/>
      <c r="K964" s="129"/>
      <c r="L964" s="129"/>
      <c r="M964" s="129"/>
    </row>
    <row r="965" spans="1:13" ht="15.75" customHeight="1">
      <c r="A965" s="33" t="s">
        <v>313</v>
      </c>
      <c r="B965" s="205">
        <v>907</v>
      </c>
      <c r="C965" s="203" t="s">
        <v>531</v>
      </c>
      <c r="D965" s="203" t="s">
        <v>157</v>
      </c>
      <c r="E965" s="203" t="s">
        <v>845</v>
      </c>
      <c r="F965" s="203" t="s">
        <v>314</v>
      </c>
      <c r="G965" s="27">
        <f>808.1+438.9-53.7</f>
        <v>1193.3</v>
      </c>
      <c r="H965" s="27">
        <v>1193.3</v>
      </c>
      <c r="I965" s="27">
        <f t="shared" si="418"/>
        <v>100</v>
      </c>
      <c r="J965" s="129"/>
      <c r="K965" s="129"/>
      <c r="L965" s="129"/>
      <c r="M965" s="129"/>
    </row>
    <row r="966" spans="1:13" ht="61.5" customHeight="1" hidden="1">
      <c r="A966" s="33" t="s">
        <v>920</v>
      </c>
      <c r="B966" s="205">
        <v>907</v>
      </c>
      <c r="C966" s="203" t="s">
        <v>531</v>
      </c>
      <c r="D966" s="203" t="s">
        <v>157</v>
      </c>
      <c r="E966" s="203" t="s">
        <v>363</v>
      </c>
      <c r="F966" s="203"/>
      <c r="G966" s="27">
        <f>G967</f>
        <v>0</v>
      </c>
      <c r="H966" s="27">
        <f aca="true" t="shared" si="448" ref="H966:H968">H967</f>
        <v>0</v>
      </c>
      <c r="I966" s="371"/>
      <c r="J966" s="371"/>
      <c r="K966" s="129"/>
      <c r="L966" s="129"/>
      <c r="M966" s="129"/>
    </row>
    <row r="967" spans="1:13" ht="47.25" hidden="1">
      <c r="A967" s="33" t="s">
        <v>364</v>
      </c>
      <c r="B967" s="205">
        <v>907</v>
      </c>
      <c r="C967" s="203" t="s">
        <v>531</v>
      </c>
      <c r="D967" s="203" t="s">
        <v>157</v>
      </c>
      <c r="E967" s="203" t="s">
        <v>365</v>
      </c>
      <c r="F967" s="203"/>
      <c r="G967" s="27">
        <f>G968</f>
        <v>0</v>
      </c>
      <c r="H967" s="27">
        <f t="shared" si="448"/>
        <v>0</v>
      </c>
      <c r="I967" s="27">
        <f aca="true" t="shared" si="449" ref="I967:I968">I968</f>
        <v>0</v>
      </c>
      <c r="J967" s="129"/>
      <c r="K967" s="129"/>
      <c r="L967" s="129"/>
      <c r="M967" s="129"/>
    </row>
    <row r="968" spans="1:13" ht="31.5" hidden="1">
      <c r="A968" s="33" t="s">
        <v>311</v>
      </c>
      <c r="B968" s="205">
        <v>907</v>
      </c>
      <c r="C968" s="203" t="s">
        <v>531</v>
      </c>
      <c r="D968" s="203" t="s">
        <v>157</v>
      </c>
      <c r="E968" s="203" t="s">
        <v>365</v>
      </c>
      <c r="F968" s="203" t="s">
        <v>312</v>
      </c>
      <c r="G968" s="27">
        <f>G969</f>
        <v>0</v>
      </c>
      <c r="H968" s="27">
        <f t="shared" si="448"/>
        <v>0</v>
      </c>
      <c r="I968" s="27">
        <f t="shared" si="449"/>
        <v>0</v>
      </c>
      <c r="J968" s="129"/>
      <c r="K968" s="129"/>
      <c r="L968" s="129"/>
      <c r="M968" s="129"/>
    </row>
    <row r="969" spans="1:13" ht="21" customHeight="1" hidden="1">
      <c r="A969" s="33" t="s">
        <v>313</v>
      </c>
      <c r="B969" s="205">
        <v>907</v>
      </c>
      <c r="C969" s="203" t="s">
        <v>531</v>
      </c>
      <c r="D969" s="203" t="s">
        <v>157</v>
      </c>
      <c r="E969" s="203" t="s">
        <v>365</v>
      </c>
      <c r="F969" s="203" t="s">
        <v>314</v>
      </c>
      <c r="G969" s="27">
        <v>0</v>
      </c>
      <c r="H969" s="27">
        <v>0</v>
      </c>
      <c r="I969" s="27">
        <v>0</v>
      </c>
      <c r="J969" s="129"/>
      <c r="K969" s="129"/>
      <c r="L969" s="129"/>
      <c r="M969" s="129"/>
    </row>
    <row r="970" spans="1:13" ht="15.75" hidden="1">
      <c r="A970" s="26" t="s">
        <v>160</v>
      </c>
      <c r="B970" s="205">
        <v>907</v>
      </c>
      <c r="C970" s="203" t="s">
        <v>531</v>
      </c>
      <c r="D970" s="203" t="s">
        <v>157</v>
      </c>
      <c r="E970" s="203" t="s">
        <v>161</v>
      </c>
      <c r="F970" s="203"/>
      <c r="G970" s="27">
        <f>G971</f>
        <v>0</v>
      </c>
      <c r="H970" s="27">
        <f aca="true" t="shared" si="450" ref="H970:I971">H971</f>
        <v>0</v>
      </c>
      <c r="I970" s="27">
        <f t="shared" si="450"/>
        <v>0</v>
      </c>
      <c r="J970" s="129"/>
      <c r="K970" s="129"/>
      <c r="L970" s="129"/>
      <c r="M970" s="129"/>
    </row>
    <row r="971" spans="1:13" ht="15.75" hidden="1">
      <c r="A971" s="26" t="s">
        <v>224</v>
      </c>
      <c r="B971" s="205">
        <v>907</v>
      </c>
      <c r="C971" s="203" t="s">
        <v>531</v>
      </c>
      <c r="D971" s="203" t="s">
        <v>157</v>
      </c>
      <c r="E971" s="203" t="s">
        <v>225</v>
      </c>
      <c r="F971" s="203"/>
      <c r="G971" s="27">
        <f>G972</f>
        <v>0</v>
      </c>
      <c r="H971" s="27">
        <f t="shared" si="450"/>
        <v>0</v>
      </c>
      <c r="I971" s="27">
        <f t="shared" si="450"/>
        <v>0</v>
      </c>
      <c r="J971" s="129"/>
      <c r="K971" s="129"/>
      <c r="L971" s="129"/>
      <c r="M971" s="129"/>
    </row>
    <row r="972" spans="1:13" ht="31.5" hidden="1">
      <c r="A972" s="26" t="s">
        <v>966</v>
      </c>
      <c r="B972" s="205">
        <v>907</v>
      </c>
      <c r="C972" s="203" t="s">
        <v>531</v>
      </c>
      <c r="D972" s="203" t="s">
        <v>157</v>
      </c>
      <c r="E972" s="203" t="s">
        <v>967</v>
      </c>
      <c r="F972" s="203"/>
      <c r="G972" s="27">
        <f>G974</f>
        <v>0</v>
      </c>
      <c r="H972" s="27">
        <f aca="true" t="shared" si="451" ref="H972:I972">H974</f>
        <v>0</v>
      </c>
      <c r="I972" s="27">
        <f t="shared" si="451"/>
        <v>0</v>
      </c>
      <c r="J972" s="129"/>
      <c r="K972" s="129"/>
      <c r="L972" s="129"/>
      <c r="M972" s="129"/>
    </row>
    <row r="973" spans="1:13" ht="31.5" hidden="1">
      <c r="A973" s="26" t="s">
        <v>311</v>
      </c>
      <c r="B973" s="205">
        <v>907</v>
      </c>
      <c r="C973" s="203" t="s">
        <v>531</v>
      </c>
      <c r="D973" s="203" t="s">
        <v>157</v>
      </c>
      <c r="E973" s="203" t="s">
        <v>967</v>
      </c>
      <c r="F973" s="203" t="s">
        <v>312</v>
      </c>
      <c r="G973" s="27">
        <f>G974</f>
        <v>0</v>
      </c>
      <c r="H973" s="27">
        <f aca="true" t="shared" si="452" ref="H973:I973">H974</f>
        <v>0</v>
      </c>
      <c r="I973" s="27">
        <f t="shared" si="452"/>
        <v>0</v>
      </c>
      <c r="J973" s="129"/>
      <c r="K973" s="129"/>
      <c r="L973" s="129"/>
      <c r="M973" s="129"/>
    </row>
    <row r="974" spans="1:13" ht="15.75" hidden="1">
      <c r="A974" s="26" t="s">
        <v>313</v>
      </c>
      <c r="B974" s="205">
        <v>907</v>
      </c>
      <c r="C974" s="203" t="s">
        <v>531</v>
      </c>
      <c r="D974" s="203" t="s">
        <v>157</v>
      </c>
      <c r="E974" s="203" t="s">
        <v>967</v>
      </c>
      <c r="F974" s="203" t="s">
        <v>314</v>
      </c>
      <c r="G974" s="27">
        <v>0</v>
      </c>
      <c r="H974" s="27">
        <v>0</v>
      </c>
      <c r="I974" s="27">
        <v>0</v>
      </c>
      <c r="J974" s="129"/>
      <c r="K974" s="129"/>
      <c r="L974" s="129"/>
      <c r="M974" s="129"/>
    </row>
    <row r="975" spans="1:13" ht="47.25">
      <c r="A975" s="31" t="s">
        <v>777</v>
      </c>
      <c r="B975" s="205">
        <v>907</v>
      </c>
      <c r="C975" s="203" t="s">
        <v>531</v>
      </c>
      <c r="D975" s="203" t="s">
        <v>157</v>
      </c>
      <c r="E975" s="203" t="s">
        <v>775</v>
      </c>
      <c r="F975" s="210"/>
      <c r="G975" s="27">
        <f>G976</f>
        <v>540.1</v>
      </c>
      <c r="H975" s="27">
        <f aca="true" t="shared" si="453" ref="H975:H977">H976</f>
        <v>411.5</v>
      </c>
      <c r="I975" s="27">
        <f aca="true" t="shared" si="454" ref="I975:I1038">H975/G975*100</f>
        <v>76.18959451953341</v>
      </c>
      <c r="J975" s="289"/>
      <c r="K975" s="129"/>
      <c r="L975" s="129"/>
      <c r="M975" s="129"/>
    </row>
    <row r="976" spans="1:10" ht="31.5">
      <c r="A976" s="119" t="s">
        <v>915</v>
      </c>
      <c r="B976" s="205">
        <v>907</v>
      </c>
      <c r="C976" s="203" t="s">
        <v>531</v>
      </c>
      <c r="D976" s="203" t="s">
        <v>157</v>
      </c>
      <c r="E976" s="203" t="s">
        <v>916</v>
      </c>
      <c r="F976" s="210"/>
      <c r="G976" s="27">
        <f>G977</f>
        <v>540.1</v>
      </c>
      <c r="H976" s="27">
        <f t="shared" si="453"/>
        <v>411.5</v>
      </c>
      <c r="I976" s="27">
        <f t="shared" si="454"/>
        <v>76.18959451953341</v>
      </c>
      <c r="J976" s="129"/>
    </row>
    <row r="977" spans="1:10" ht="31.5">
      <c r="A977" s="31" t="s">
        <v>311</v>
      </c>
      <c r="B977" s="205">
        <v>907</v>
      </c>
      <c r="C977" s="203" t="s">
        <v>531</v>
      </c>
      <c r="D977" s="203" t="s">
        <v>157</v>
      </c>
      <c r="E977" s="203" t="s">
        <v>916</v>
      </c>
      <c r="F977" s="210" t="s">
        <v>312</v>
      </c>
      <c r="G977" s="27">
        <f>G978</f>
        <v>540.1</v>
      </c>
      <c r="H977" s="27">
        <f t="shared" si="453"/>
        <v>411.5</v>
      </c>
      <c r="I977" s="27">
        <f t="shared" si="454"/>
        <v>76.18959451953341</v>
      </c>
      <c r="J977" s="129"/>
    </row>
    <row r="978" spans="1:10" ht="15.75">
      <c r="A978" s="242" t="s">
        <v>313</v>
      </c>
      <c r="B978" s="205">
        <v>907</v>
      </c>
      <c r="C978" s="203" t="s">
        <v>531</v>
      </c>
      <c r="D978" s="203" t="s">
        <v>157</v>
      </c>
      <c r="E978" s="203" t="s">
        <v>916</v>
      </c>
      <c r="F978" s="210" t="s">
        <v>314</v>
      </c>
      <c r="G978" s="27">
        <f>377+163.1</f>
        <v>540.1</v>
      </c>
      <c r="H978" s="27">
        <v>411.5</v>
      </c>
      <c r="I978" s="27">
        <f t="shared" si="454"/>
        <v>76.18959451953341</v>
      </c>
      <c r="J978" s="129"/>
    </row>
    <row r="979" spans="1:10" ht="15.75">
      <c r="A979" s="26" t="s">
        <v>160</v>
      </c>
      <c r="B979" s="205">
        <v>907</v>
      </c>
      <c r="C979" s="203" t="s">
        <v>531</v>
      </c>
      <c r="D979" s="203" t="s">
        <v>157</v>
      </c>
      <c r="E979" s="203" t="s">
        <v>161</v>
      </c>
      <c r="F979" s="203"/>
      <c r="G979" s="27">
        <f>G980</f>
        <v>870.2</v>
      </c>
      <c r="H979" s="27">
        <f aca="true" t="shared" si="455" ref="H979">H980</f>
        <v>586.7</v>
      </c>
      <c r="I979" s="27">
        <f t="shared" si="454"/>
        <v>67.42128246380142</v>
      </c>
      <c r="J979" s="129"/>
    </row>
    <row r="980" spans="1:10" ht="15.75">
      <c r="A980" s="26" t="s">
        <v>224</v>
      </c>
      <c r="B980" s="205">
        <v>907</v>
      </c>
      <c r="C980" s="203" t="s">
        <v>531</v>
      </c>
      <c r="D980" s="203" t="s">
        <v>157</v>
      </c>
      <c r="E980" s="203" t="s">
        <v>225</v>
      </c>
      <c r="F980" s="203"/>
      <c r="G980" s="27">
        <f>G981+G984+G987</f>
        <v>870.2</v>
      </c>
      <c r="H980" s="27">
        <f aca="true" t="shared" si="456" ref="H980">H981+H984+H987</f>
        <v>586.7</v>
      </c>
      <c r="I980" s="27">
        <f t="shared" si="454"/>
        <v>67.42128246380142</v>
      </c>
      <c r="J980" s="129"/>
    </row>
    <row r="981" spans="1:10" ht="47.25" hidden="1">
      <c r="A981" s="33" t="s">
        <v>328</v>
      </c>
      <c r="B981" s="205">
        <v>907</v>
      </c>
      <c r="C981" s="203" t="s">
        <v>531</v>
      </c>
      <c r="D981" s="203" t="s">
        <v>157</v>
      </c>
      <c r="E981" s="203" t="s">
        <v>329</v>
      </c>
      <c r="F981" s="203"/>
      <c r="G981" s="27">
        <f>G982</f>
        <v>0</v>
      </c>
      <c r="H981" s="27">
        <f aca="true" t="shared" si="457" ref="H981:H982">H982</f>
        <v>0</v>
      </c>
      <c r="I981" s="27" t="e">
        <f t="shared" si="454"/>
        <v>#DIV/0!</v>
      </c>
      <c r="J981" s="129"/>
    </row>
    <row r="982" spans="1:10" ht="31.5" hidden="1">
      <c r="A982" s="26" t="s">
        <v>311</v>
      </c>
      <c r="B982" s="205">
        <v>907</v>
      </c>
      <c r="C982" s="203" t="s">
        <v>531</v>
      </c>
      <c r="D982" s="203" t="s">
        <v>157</v>
      </c>
      <c r="E982" s="203" t="s">
        <v>329</v>
      </c>
      <c r="F982" s="203" t="s">
        <v>312</v>
      </c>
      <c r="G982" s="27">
        <f>G983</f>
        <v>0</v>
      </c>
      <c r="H982" s="27">
        <f t="shared" si="457"/>
        <v>0</v>
      </c>
      <c r="I982" s="27" t="e">
        <f t="shared" si="454"/>
        <v>#DIV/0!</v>
      </c>
      <c r="J982" s="129"/>
    </row>
    <row r="983" spans="1:10" ht="15.75" hidden="1">
      <c r="A983" s="26" t="s">
        <v>313</v>
      </c>
      <c r="B983" s="205">
        <v>907</v>
      </c>
      <c r="C983" s="203" t="s">
        <v>531</v>
      </c>
      <c r="D983" s="203" t="s">
        <v>157</v>
      </c>
      <c r="E983" s="203" t="s">
        <v>329</v>
      </c>
      <c r="F983" s="203" t="s">
        <v>314</v>
      </c>
      <c r="G983" s="295">
        <f>10.5-10.5</f>
        <v>0</v>
      </c>
      <c r="H983" s="295">
        <f aca="true" t="shared" si="458" ref="H983">10.5-10.5</f>
        <v>0</v>
      </c>
      <c r="I983" s="27" t="e">
        <f t="shared" si="454"/>
        <v>#DIV/0!</v>
      </c>
      <c r="J983" s="129"/>
    </row>
    <row r="984" spans="1:10" ht="63" hidden="1">
      <c r="A984" s="33" t="s">
        <v>330</v>
      </c>
      <c r="B984" s="205">
        <v>907</v>
      </c>
      <c r="C984" s="203" t="s">
        <v>531</v>
      </c>
      <c r="D984" s="203" t="s">
        <v>157</v>
      </c>
      <c r="E984" s="203" t="s">
        <v>331</v>
      </c>
      <c r="F984" s="203"/>
      <c r="G984" s="27">
        <f>G985</f>
        <v>0</v>
      </c>
      <c r="H984" s="27">
        <f aca="true" t="shared" si="459" ref="H984:H985">H985</f>
        <v>0</v>
      </c>
      <c r="I984" s="27" t="e">
        <f t="shared" si="454"/>
        <v>#DIV/0!</v>
      </c>
      <c r="J984" s="129"/>
    </row>
    <row r="985" spans="1:10" ht="31.5" hidden="1">
      <c r="A985" s="26" t="s">
        <v>311</v>
      </c>
      <c r="B985" s="205">
        <v>907</v>
      </c>
      <c r="C985" s="203" t="s">
        <v>531</v>
      </c>
      <c r="D985" s="203" t="s">
        <v>157</v>
      </c>
      <c r="E985" s="203" t="s">
        <v>331</v>
      </c>
      <c r="F985" s="203" t="s">
        <v>312</v>
      </c>
      <c r="G985" s="27">
        <f>G986</f>
        <v>0</v>
      </c>
      <c r="H985" s="27">
        <f t="shared" si="459"/>
        <v>0</v>
      </c>
      <c r="I985" s="27" t="e">
        <f t="shared" si="454"/>
        <v>#DIV/0!</v>
      </c>
      <c r="J985" s="129"/>
    </row>
    <row r="986" spans="1:10" ht="15.75" hidden="1">
      <c r="A986" s="26" t="s">
        <v>313</v>
      </c>
      <c r="B986" s="205">
        <v>907</v>
      </c>
      <c r="C986" s="203" t="s">
        <v>531</v>
      </c>
      <c r="D986" s="203" t="s">
        <v>157</v>
      </c>
      <c r="E986" s="203" t="s">
        <v>331</v>
      </c>
      <c r="F986" s="203" t="s">
        <v>314</v>
      </c>
      <c r="G986" s="27">
        <f>204.2-204.2</f>
        <v>0</v>
      </c>
      <c r="H986" s="27">
        <f aca="true" t="shared" si="460" ref="H986">204.2-204.2</f>
        <v>0</v>
      </c>
      <c r="I986" s="27" t="e">
        <f t="shared" si="454"/>
        <v>#DIV/0!</v>
      </c>
      <c r="J986" s="129"/>
    </row>
    <row r="987" spans="1:10" ht="78.75">
      <c r="A987" s="33" t="s">
        <v>504</v>
      </c>
      <c r="B987" s="205">
        <v>907</v>
      </c>
      <c r="C987" s="203" t="s">
        <v>531</v>
      </c>
      <c r="D987" s="203" t="s">
        <v>157</v>
      </c>
      <c r="E987" s="203" t="s">
        <v>333</v>
      </c>
      <c r="F987" s="203"/>
      <c r="G987" s="27">
        <f>G988</f>
        <v>870.2</v>
      </c>
      <c r="H987" s="27">
        <f aca="true" t="shared" si="461" ref="H987:H988">H988</f>
        <v>586.7</v>
      </c>
      <c r="I987" s="27">
        <f t="shared" si="454"/>
        <v>67.42128246380142</v>
      </c>
      <c r="J987" s="129"/>
    </row>
    <row r="988" spans="1:10" ht="31.5">
      <c r="A988" s="26" t="s">
        <v>311</v>
      </c>
      <c r="B988" s="205">
        <v>907</v>
      </c>
      <c r="C988" s="203" t="s">
        <v>531</v>
      </c>
      <c r="D988" s="203" t="s">
        <v>157</v>
      </c>
      <c r="E988" s="203" t="s">
        <v>333</v>
      </c>
      <c r="F988" s="203" t="s">
        <v>312</v>
      </c>
      <c r="G988" s="27">
        <f>G989</f>
        <v>870.2</v>
      </c>
      <c r="H988" s="27">
        <f t="shared" si="461"/>
        <v>586.7</v>
      </c>
      <c r="I988" s="27">
        <f t="shared" si="454"/>
        <v>67.42128246380142</v>
      </c>
      <c r="J988" s="129"/>
    </row>
    <row r="989" spans="1:10" ht="15.75">
      <c r="A989" s="26" t="s">
        <v>313</v>
      </c>
      <c r="B989" s="205">
        <v>907</v>
      </c>
      <c r="C989" s="203" t="s">
        <v>531</v>
      </c>
      <c r="D989" s="203" t="s">
        <v>157</v>
      </c>
      <c r="E989" s="203" t="s">
        <v>333</v>
      </c>
      <c r="F989" s="203" t="s">
        <v>314</v>
      </c>
      <c r="G989" s="27">
        <f>56.7+813.5</f>
        <v>870.2</v>
      </c>
      <c r="H989" s="27">
        <v>586.7</v>
      </c>
      <c r="I989" s="27">
        <f t="shared" si="454"/>
        <v>67.42128246380142</v>
      </c>
      <c r="J989" s="291"/>
    </row>
    <row r="990" spans="1:10" ht="19.5" customHeight="1">
      <c r="A990" s="24" t="s">
        <v>540</v>
      </c>
      <c r="B990" s="202">
        <v>907</v>
      </c>
      <c r="C990" s="204" t="s">
        <v>531</v>
      </c>
      <c r="D990" s="204" t="s">
        <v>273</v>
      </c>
      <c r="E990" s="204"/>
      <c r="F990" s="204"/>
      <c r="G990" s="22">
        <f>G998+G991</f>
        <v>12225.600000000002</v>
      </c>
      <c r="H990" s="22">
        <f aca="true" t="shared" si="462" ref="H990">H998+H991</f>
        <v>8617.1</v>
      </c>
      <c r="I990" s="22">
        <f t="shared" si="454"/>
        <v>70.48406622169871</v>
      </c>
      <c r="J990" s="129"/>
    </row>
    <row r="991" spans="1:10" ht="35.25" customHeight="1">
      <c r="A991" s="31" t="s">
        <v>521</v>
      </c>
      <c r="B991" s="205">
        <v>907</v>
      </c>
      <c r="C991" s="203" t="s">
        <v>531</v>
      </c>
      <c r="D991" s="203" t="s">
        <v>273</v>
      </c>
      <c r="E991" s="206" t="s">
        <v>522</v>
      </c>
      <c r="F991" s="203"/>
      <c r="G991" s="27">
        <f>G992</f>
        <v>2497.2</v>
      </c>
      <c r="H991" s="27">
        <f aca="true" t="shared" si="463" ref="H991:H992">H992</f>
        <v>2013.1999999999998</v>
      </c>
      <c r="I991" s="27">
        <f t="shared" si="454"/>
        <v>80.6182924875861</v>
      </c>
      <c r="J991" s="129"/>
    </row>
    <row r="992" spans="1:10" ht="32.25" customHeight="1">
      <c r="A992" s="47" t="s">
        <v>541</v>
      </c>
      <c r="B992" s="205">
        <v>907</v>
      </c>
      <c r="C992" s="203" t="s">
        <v>531</v>
      </c>
      <c r="D992" s="203" t="s">
        <v>273</v>
      </c>
      <c r="E992" s="206" t="s">
        <v>542</v>
      </c>
      <c r="F992" s="203"/>
      <c r="G992" s="27">
        <f>G993</f>
        <v>2497.2</v>
      </c>
      <c r="H992" s="27">
        <f t="shared" si="463"/>
        <v>2013.1999999999998</v>
      </c>
      <c r="I992" s="27">
        <f t="shared" si="454"/>
        <v>80.6182924875861</v>
      </c>
      <c r="J992" s="129"/>
    </row>
    <row r="993" spans="1:10" ht="31.5">
      <c r="A993" s="31" t="s">
        <v>196</v>
      </c>
      <c r="B993" s="205">
        <v>907</v>
      </c>
      <c r="C993" s="203" t="s">
        <v>531</v>
      </c>
      <c r="D993" s="203" t="s">
        <v>273</v>
      </c>
      <c r="E993" s="206" t="s">
        <v>543</v>
      </c>
      <c r="F993" s="203"/>
      <c r="G993" s="27">
        <f>G994+G996</f>
        <v>2497.2</v>
      </c>
      <c r="H993" s="27">
        <f aca="true" t="shared" si="464" ref="H993">H994+H996</f>
        <v>2013.1999999999998</v>
      </c>
      <c r="I993" s="27">
        <f t="shared" si="454"/>
        <v>80.6182924875861</v>
      </c>
      <c r="J993" s="134"/>
    </row>
    <row r="994" spans="1:10" ht="68.25" customHeight="1">
      <c r="A994" s="26" t="s">
        <v>166</v>
      </c>
      <c r="B994" s="205">
        <v>907</v>
      </c>
      <c r="C994" s="203" t="s">
        <v>531</v>
      </c>
      <c r="D994" s="203" t="s">
        <v>273</v>
      </c>
      <c r="E994" s="206" t="s">
        <v>543</v>
      </c>
      <c r="F994" s="203" t="s">
        <v>167</v>
      </c>
      <c r="G994" s="27">
        <f>G995</f>
        <v>1611</v>
      </c>
      <c r="H994" s="27">
        <f aca="true" t="shared" si="465" ref="H994">H995</f>
        <v>1469.8</v>
      </c>
      <c r="I994" s="27">
        <f t="shared" si="454"/>
        <v>91.23525760397268</v>
      </c>
      <c r="J994" s="129"/>
    </row>
    <row r="995" spans="1:10" ht="15.75">
      <c r="A995" s="26" t="s">
        <v>381</v>
      </c>
      <c r="B995" s="205">
        <v>907</v>
      </c>
      <c r="C995" s="203" t="s">
        <v>531</v>
      </c>
      <c r="D995" s="203" t="s">
        <v>273</v>
      </c>
      <c r="E995" s="206" t="s">
        <v>543</v>
      </c>
      <c r="F995" s="203" t="s">
        <v>248</v>
      </c>
      <c r="G995" s="27">
        <f>1611-4.8+4.8</f>
        <v>1611</v>
      </c>
      <c r="H995" s="27">
        <v>1469.8</v>
      </c>
      <c r="I995" s="27">
        <f t="shared" si="454"/>
        <v>91.23525760397268</v>
      </c>
      <c r="J995" s="129"/>
    </row>
    <row r="996" spans="1:10" ht="31.5">
      <c r="A996" s="31" t="s">
        <v>170</v>
      </c>
      <c r="B996" s="205">
        <v>907</v>
      </c>
      <c r="C996" s="203" t="s">
        <v>531</v>
      </c>
      <c r="D996" s="203" t="s">
        <v>273</v>
      </c>
      <c r="E996" s="206" t="s">
        <v>543</v>
      </c>
      <c r="F996" s="203" t="s">
        <v>171</v>
      </c>
      <c r="G996" s="27">
        <f>G997</f>
        <v>886.2</v>
      </c>
      <c r="H996" s="27">
        <f aca="true" t="shared" si="466" ref="H996">H997</f>
        <v>543.4</v>
      </c>
      <c r="I996" s="27">
        <f t="shared" si="454"/>
        <v>61.31798691040397</v>
      </c>
      <c r="J996" s="129"/>
    </row>
    <row r="997" spans="1:10" ht="35.25" customHeight="1">
      <c r="A997" s="31" t="s">
        <v>172</v>
      </c>
      <c r="B997" s="205">
        <v>907</v>
      </c>
      <c r="C997" s="203" t="s">
        <v>531</v>
      </c>
      <c r="D997" s="203" t="s">
        <v>273</v>
      </c>
      <c r="E997" s="206" t="s">
        <v>543</v>
      </c>
      <c r="F997" s="203" t="s">
        <v>173</v>
      </c>
      <c r="G997" s="27">
        <f>789+97.2+4.8-4.8</f>
        <v>886.2</v>
      </c>
      <c r="H997" s="27">
        <v>543.4</v>
      </c>
      <c r="I997" s="27">
        <f t="shared" si="454"/>
        <v>61.31798691040397</v>
      </c>
      <c r="J997" s="129"/>
    </row>
    <row r="998" spans="1:10" ht="15.75">
      <c r="A998" s="26" t="s">
        <v>160</v>
      </c>
      <c r="B998" s="205">
        <v>907</v>
      </c>
      <c r="C998" s="203" t="s">
        <v>531</v>
      </c>
      <c r="D998" s="203" t="s">
        <v>273</v>
      </c>
      <c r="E998" s="203" t="s">
        <v>161</v>
      </c>
      <c r="F998" s="203"/>
      <c r="G998" s="27">
        <f>G999+G1005</f>
        <v>9728.400000000001</v>
      </c>
      <c r="H998" s="27">
        <f aca="true" t="shared" si="467" ref="H998">H999+H1005</f>
        <v>6603.900000000001</v>
      </c>
      <c r="I998" s="27">
        <f t="shared" si="454"/>
        <v>67.88269396817564</v>
      </c>
      <c r="J998" s="129"/>
    </row>
    <row r="999" spans="1:10" ht="31.5">
      <c r="A999" s="26" t="s">
        <v>162</v>
      </c>
      <c r="B999" s="205">
        <v>907</v>
      </c>
      <c r="C999" s="203" t="s">
        <v>531</v>
      </c>
      <c r="D999" s="203" t="s">
        <v>273</v>
      </c>
      <c r="E999" s="203" t="s">
        <v>163</v>
      </c>
      <c r="F999" s="203"/>
      <c r="G999" s="27">
        <f>G1000</f>
        <v>4537.200000000001</v>
      </c>
      <c r="H999" s="27">
        <f aca="true" t="shared" si="468" ref="H999">H1000</f>
        <v>3212.3</v>
      </c>
      <c r="I999" s="27">
        <f t="shared" si="454"/>
        <v>70.79917129507184</v>
      </c>
      <c r="J999" s="129"/>
    </row>
    <row r="1000" spans="1:10" ht="33" customHeight="1">
      <c r="A1000" s="26" t="s">
        <v>164</v>
      </c>
      <c r="B1000" s="205">
        <v>907</v>
      </c>
      <c r="C1000" s="203" t="s">
        <v>531</v>
      </c>
      <c r="D1000" s="203" t="s">
        <v>273</v>
      </c>
      <c r="E1000" s="203" t="s">
        <v>165</v>
      </c>
      <c r="F1000" s="203"/>
      <c r="G1000" s="27">
        <f>G1001+G1003</f>
        <v>4537.200000000001</v>
      </c>
      <c r="H1000" s="27">
        <f aca="true" t="shared" si="469" ref="H1000">H1001+H1003</f>
        <v>3212.3</v>
      </c>
      <c r="I1000" s="27">
        <f t="shared" si="454"/>
        <v>70.79917129507184</v>
      </c>
      <c r="J1000" s="129"/>
    </row>
    <row r="1001" spans="1:10" ht="64.5" customHeight="1">
      <c r="A1001" s="26" t="s">
        <v>166</v>
      </c>
      <c r="B1001" s="205">
        <v>907</v>
      </c>
      <c r="C1001" s="203" t="s">
        <v>531</v>
      </c>
      <c r="D1001" s="203" t="s">
        <v>273</v>
      </c>
      <c r="E1001" s="203" t="s">
        <v>165</v>
      </c>
      <c r="F1001" s="203" t="s">
        <v>167</v>
      </c>
      <c r="G1001" s="27">
        <f>G1002</f>
        <v>4537.200000000001</v>
      </c>
      <c r="H1001" s="27">
        <f aca="true" t="shared" si="470" ref="H1001">H1002</f>
        <v>3212.3</v>
      </c>
      <c r="I1001" s="27">
        <f t="shared" si="454"/>
        <v>70.79917129507184</v>
      </c>
      <c r="J1001" s="129"/>
    </row>
    <row r="1002" spans="1:10" ht="31.5">
      <c r="A1002" s="26" t="s">
        <v>168</v>
      </c>
      <c r="B1002" s="205">
        <v>907</v>
      </c>
      <c r="C1002" s="203" t="s">
        <v>531</v>
      </c>
      <c r="D1002" s="203" t="s">
        <v>273</v>
      </c>
      <c r="E1002" s="203" t="s">
        <v>165</v>
      </c>
      <c r="F1002" s="203" t="s">
        <v>169</v>
      </c>
      <c r="G1002" s="28">
        <f>4378.8-26.2+184.6</f>
        <v>4537.200000000001</v>
      </c>
      <c r="H1002" s="28">
        <v>3212.3</v>
      </c>
      <c r="I1002" s="27">
        <f t="shared" si="454"/>
        <v>70.79917129507184</v>
      </c>
      <c r="J1002" s="129"/>
    </row>
    <row r="1003" spans="1:10" ht="31.5" customHeight="1" hidden="1">
      <c r="A1003" s="26" t="s">
        <v>170</v>
      </c>
      <c r="B1003" s="205">
        <v>907</v>
      </c>
      <c r="C1003" s="203" t="s">
        <v>531</v>
      </c>
      <c r="D1003" s="203" t="s">
        <v>273</v>
      </c>
      <c r="E1003" s="203" t="s">
        <v>165</v>
      </c>
      <c r="F1003" s="203" t="s">
        <v>171</v>
      </c>
      <c r="G1003" s="27">
        <f>G1004</f>
        <v>0</v>
      </c>
      <c r="H1003" s="27">
        <f aca="true" t="shared" si="471" ref="H1003">H1004</f>
        <v>0</v>
      </c>
      <c r="I1003" s="27" t="e">
        <f t="shared" si="454"/>
        <v>#DIV/0!</v>
      </c>
      <c r="J1003" s="129"/>
    </row>
    <row r="1004" spans="1:10" ht="47.25" customHeight="1" hidden="1">
      <c r="A1004" s="26" t="s">
        <v>172</v>
      </c>
      <c r="B1004" s="205">
        <v>907</v>
      </c>
      <c r="C1004" s="203" t="s">
        <v>531</v>
      </c>
      <c r="D1004" s="203" t="s">
        <v>273</v>
      </c>
      <c r="E1004" s="203" t="s">
        <v>165</v>
      </c>
      <c r="F1004" s="203" t="s">
        <v>173</v>
      </c>
      <c r="G1004" s="27">
        <v>0</v>
      </c>
      <c r="H1004" s="27">
        <v>0</v>
      </c>
      <c r="I1004" s="27" t="e">
        <f t="shared" si="454"/>
        <v>#DIV/0!</v>
      </c>
      <c r="J1004" s="129"/>
    </row>
    <row r="1005" spans="1:10" ht="15.75">
      <c r="A1005" s="26" t="s">
        <v>180</v>
      </c>
      <c r="B1005" s="205">
        <v>907</v>
      </c>
      <c r="C1005" s="203" t="s">
        <v>531</v>
      </c>
      <c r="D1005" s="203" t="s">
        <v>273</v>
      </c>
      <c r="E1005" s="203" t="s">
        <v>181</v>
      </c>
      <c r="F1005" s="203"/>
      <c r="G1005" s="27">
        <f>G1006</f>
        <v>5191.2</v>
      </c>
      <c r="H1005" s="27">
        <f aca="true" t="shared" si="472" ref="H1005">H1006</f>
        <v>3391.6000000000004</v>
      </c>
      <c r="I1005" s="27">
        <f t="shared" si="454"/>
        <v>65.3336415472338</v>
      </c>
      <c r="J1005" s="129"/>
    </row>
    <row r="1006" spans="1:10" ht="31.5">
      <c r="A1006" s="26" t="s">
        <v>379</v>
      </c>
      <c r="B1006" s="205">
        <v>907</v>
      </c>
      <c r="C1006" s="203" t="s">
        <v>531</v>
      </c>
      <c r="D1006" s="203" t="s">
        <v>273</v>
      </c>
      <c r="E1006" s="203" t="s">
        <v>380</v>
      </c>
      <c r="F1006" s="203"/>
      <c r="G1006" s="27">
        <f>G1007+G1009+G1011</f>
        <v>5191.2</v>
      </c>
      <c r="H1006" s="27">
        <f aca="true" t="shared" si="473" ref="H1006">H1007+H1009+H1011</f>
        <v>3391.6000000000004</v>
      </c>
      <c r="I1006" s="27">
        <f t="shared" si="454"/>
        <v>65.3336415472338</v>
      </c>
      <c r="J1006" s="129"/>
    </row>
    <row r="1007" spans="1:10" ht="72.75" customHeight="1">
      <c r="A1007" s="26" t="s">
        <v>166</v>
      </c>
      <c r="B1007" s="205">
        <v>907</v>
      </c>
      <c r="C1007" s="203" t="s">
        <v>531</v>
      </c>
      <c r="D1007" s="203" t="s">
        <v>273</v>
      </c>
      <c r="E1007" s="203" t="s">
        <v>380</v>
      </c>
      <c r="F1007" s="203" t="s">
        <v>167</v>
      </c>
      <c r="G1007" s="27">
        <f>G1008</f>
        <v>4542.6</v>
      </c>
      <c r="H1007" s="27">
        <f aca="true" t="shared" si="474" ref="H1007">H1008</f>
        <v>3191.3</v>
      </c>
      <c r="I1007" s="27">
        <f t="shared" si="454"/>
        <v>70.25271870734822</v>
      </c>
      <c r="J1007" s="129"/>
    </row>
    <row r="1008" spans="1:10" ht="20.25" customHeight="1">
      <c r="A1008" s="26" t="s">
        <v>381</v>
      </c>
      <c r="B1008" s="205">
        <v>907</v>
      </c>
      <c r="C1008" s="203" t="s">
        <v>531</v>
      </c>
      <c r="D1008" s="203" t="s">
        <v>273</v>
      </c>
      <c r="E1008" s="203" t="s">
        <v>380</v>
      </c>
      <c r="F1008" s="203" t="s">
        <v>248</v>
      </c>
      <c r="G1008" s="28">
        <f>3501.9+462.6+159.1+419</f>
        <v>4542.6</v>
      </c>
      <c r="H1008" s="28">
        <v>3191.3</v>
      </c>
      <c r="I1008" s="27">
        <f t="shared" si="454"/>
        <v>70.25271870734822</v>
      </c>
      <c r="J1008" s="291"/>
    </row>
    <row r="1009" spans="1:10" ht="31.5">
      <c r="A1009" s="26" t="s">
        <v>170</v>
      </c>
      <c r="B1009" s="205">
        <v>907</v>
      </c>
      <c r="C1009" s="203" t="s">
        <v>531</v>
      </c>
      <c r="D1009" s="203" t="s">
        <v>273</v>
      </c>
      <c r="E1009" s="203" t="s">
        <v>380</v>
      </c>
      <c r="F1009" s="203" t="s">
        <v>171</v>
      </c>
      <c r="G1009" s="27">
        <f>G1010</f>
        <v>597.4000000000001</v>
      </c>
      <c r="H1009" s="27">
        <f aca="true" t="shared" si="475" ref="H1009">H1010</f>
        <v>199.5</v>
      </c>
      <c r="I1009" s="27">
        <f t="shared" si="454"/>
        <v>33.394710411784395</v>
      </c>
      <c r="J1009" s="129"/>
    </row>
    <row r="1010" spans="1:10" ht="31.5">
      <c r="A1010" s="26" t="s">
        <v>172</v>
      </c>
      <c r="B1010" s="205">
        <v>907</v>
      </c>
      <c r="C1010" s="203" t="s">
        <v>531</v>
      </c>
      <c r="D1010" s="203" t="s">
        <v>273</v>
      </c>
      <c r="E1010" s="203" t="s">
        <v>380</v>
      </c>
      <c r="F1010" s="203" t="s">
        <v>173</v>
      </c>
      <c r="G1010" s="28">
        <f>764.2-166.8</f>
        <v>597.4000000000001</v>
      </c>
      <c r="H1010" s="28">
        <v>199.5</v>
      </c>
      <c r="I1010" s="27">
        <f t="shared" si="454"/>
        <v>33.394710411784395</v>
      </c>
      <c r="J1010" s="291"/>
    </row>
    <row r="1011" spans="1:10" ht="15.75">
      <c r="A1011" s="26" t="s">
        <v>174</v>
      </c>
      <c r="B1011" s="205">
        <v>907</v>
      </c>
      <c r="C1011" s="203" t="s">
        <v>531</v>
      </c>
      <c r="D1011" s="203" t="s">
        <v>273</v>
      </c>
      <c r="E1011" s="203" t="s">
        <v>380</v>
      </c>
      <c r="F1011" s="203" t="s">
        <v>184</v>
      </c>
      <c r="G1011" s="27">
        <f>G1012</f>
        <v>51.2</v>
      </c>
      <c r="H1011" s="27">
        <f aca="true" t="shared" si="476" ref="H1011">H1012</f>
        <v>0.8</v>
      </c>
      <c r="I1011" s="27">
        <f t="shared" si="454"/>
        <v>1.5625</v>
      </c>
      <c r="J1011" s="129"/>
    </row>
    <row r="1012" spans="1:10" ht="15.75">
      <c r="A1012" s="26" t="s">
        <v>608</v>
      </c>
      <c r="B1012" s="205">
        <v>907</v>
      </c>
      <c r="C1012" s="203" t="s">
        <v>531</v>
      </c>
      <c r="D1012" s="203" t="s">
        <v>273</v>
      </c>
      <c r="E1012" s="203" t="s">
        <v>380</v>
      </c>
      <c r="F1012" s="203" t="s">
        <v>177</v>
      </c>
      <c r="G1012" s="27">
        <f>27.1+24.1</f>
        <v>51.2</v>
      </c>
      <c r="H1012" s="27">
        <v>0.8</v>
      </c>
      <c r="I1012" s="27">
        <f t="shared" si="454"/>
        <v>1.5625</v>
      </c>
      <c r="J1012" s="129"/>
    </row>
    <row r="1013" spans="1:10" ht="31.5">
      <c r="A1013" s="20" t="s">
        <v>544</v>
      </c>
      <c r="B1013" s="202">
        <v>908</v>
      </c>
      <c r="C1013" s="203"/>
      <c r="D1013" s="203"/>
      <c r="E1013" s="203"/>
      <c r="F1013" s="203"/>
      <c r="G1013" s="22">
        <f>G1028+G1035+G1049+G1219+G1014</f>
        <v>190134.02000000002</v>
      </c>
      <c r="H1013" s="22">
        <f aca="true" t="shared" si="477" ref="H1013">H1028+H1035+H1049+H1219+H1014</f>
        <v>141734.8</v>
      </c>
      <c r="I1013" s="22">
        <f t="shared" si="454"/>
        <v>74.54468169347072</v>
      </c>
      <c r="J1013" s="129"/>
    </row>
    <row r="1014" spans="1:10" ht="15.75">
      <c r="A1014" s="36" t="s">
        <v>156</v>
      </c>
      <c r="B1014" s="202">
        <v>908</v>
      </c>
      <c r="C1014" s="204" t="s">
        <v>157</v>
      </c>
      <c r="D1014" s="203"/>
      <c r="E1014" s="203"/>
      <c r="F1014" s="203"/>
      <c r="G1014" s="22">
        <f>G1015</f>
        <v>46568.799999999996</v>
      </c>
      <c r="H1014" s="22">
        <f aca="true" t="shared" si="478" ref="H1014">H1015</f>
        <v>28464.4</v>
      </c>
      <c r="I1014" s="22">
        <f t="shared" si="454"/>
        <v>61.123327206198155</v>
      </c>
      <c r="J1014" s="129"/>
    </row>
    <row r="1015" spans="1:10" ht="15.75">
      <c r="A1015" s="36" t="s">
        <v>178</v>
      </c>
      <c r="B1015" s="202">
        <v>908</v>
      </c>
      <c r="C1015" s="204" t="s">
        <v>157</v>
      </c>
      <c r="D1015" s="204" t="s">
        <v>179</v>
      </c>
      <c r="E1015" s="203"/>
      <c r="F1015" s="203"/>
      <c r="G1015" s="22">
        <f>G1017+G1020</f>
        <v>46568.799999999996</v>
      </c>
      <c r="H1015" s="22">
        <f aca="true" t="shared" si="479" ref="H1015">H1017+H1020</f>
        <v>28464.4</v>
      </c>
      <c r="I1015" s="22">
        <f t="shared" si="454"/>
        <v>61.123327206198155</v>
      </c>
      <c r="J1015" s="129"/>
    </row>
    <row r="1016" spans="1:10" ht="15.75" hidden="1">
      <c r="A1016" s="26" t="s">
        <v>180</v>
      </c>
      <c r="B1016" s="205">
        <v>908</v>
      </c>
      <c r="C1016" s="203" t="s">
        <v>157</v>
      </c>
      <c r="D1016" s="203" t="s">
        <v>179</v>
      </c>
      <c r="E1016" s="203" t="s">
        <v>181</v>
      </c>
      <c r="F1016" s="203"/>
      <c r="G1016" s="27">
        <f>G1017</f>
        <v>0</v>
      </c>
      <c r="H1016" s="27">
        <f aca="true" t="shared" si="480" ref="H1016:H1018">H1017</f>
        <v>0</v>
      </c>
      <c r="I1016" s="22" t="e">
        <f t="shared" si="454"/>
        <v>#DIV/0!</v>
      </c>
      <c r="J1016" s="129"/>
    </row>
    <row r="1017" spans="1:10" ht="15.75" hidden="1">
      <c r="A1017" s="26" t="s">
        <v>182</v>
      </c>
      <c r="B1017" s="205">
        <v>908</v>
      </c>
      <c r="C1017" s="203" t="s">
        <v>157</v>
      </c>
      <c r="D1017" s="203" t="s">
        <v>179</v>
      </c>
      <c r="E1017" s="203" t="s">
        <v>183</v>
      </c>
      <c r="F1017" s="203"/>
      <c r="G1017" s="27">
        <f>G1018</f>
        <v>0</v>
      </c>
      <c r="H1017" s="27">
        <f t="shared" si="480"/>
        <v>0</v>
      </c>
      <c r="I1017" s="22" t="e">
        <f t="shared" si="454"/>
        <v>#DIV/0!</v>
      </c>
      <c r="J1017" s="129"/>
    </row>
    <row r="1018" spans="1:10" ht="15.75" hidden="1">
      <c r="A1018" s="26" t="s">
        <v>174</v>
      </c>
      <c r="B1018" s="205">
        <v>908</v>
      </c>
      <c r="C1018" s="203" t="s">
        <v>157</v>
      </c>
      <c r="D1018" s="203" t="s">
        <v>179</v>
      </c>
      <c r="E1018" s="203" t="s">
        <v>183</v>
      </c>
      <c r="F1018" s="203" t="s">
        <v>184</v>
      </c>
      <c r="G1018" s="27">
        <f>G1019</f>
        <v>0</v>
      </c>
      <c r="H1018" s="27">
        <f t="shared" si="480"/>
        <v>0</v>
      </c>
      <c r="I1018" s="22" t="e">
        <f t="shared" si="454"/>
        <v>#DIV/0!</v>
      </c>
      <c r="J1018" s="129"/>
    </row>
    <row r="1019" spans="1:10" ht="15.75" hidden="1">
      <c r="A1019" s="26" t="s">
        <v>608</v>
      </c>
      <c r="B1019" s="205">
        <v>908</v>
      </c>
      <c r="C1019" s="203" t="s">
        <v>157</v>
      </c>
      <c r="D1019" s="203" t="s">
        <v>179</v>
      </c>
      <c r="E1019" s="203" t="s">
        <v>183</v>
      </c>
      <c r="F1019" s="203" t="s">
        <v>177</v>
      </c>
      <c r="G1019" s="27">
        <v>0</v>
      </c>
      <c r="H1019" s="27">
        <v>0</v>
      </c>
      <c r="I1019" s="22" t="e">
        <f t="shared" si="454"/>
        <v>#DIV/0!</v>
      </c>
      <c r="J1019" s="129"/>
    </row>
    <row r="1020" spans="1:10" ht="21" customHeight="1">
      <c r="A1020" s="26" t="s">
        <v>624</v>
      </c>
      <c r="B1020" s="205">
        <v>908</v>
      </c>
      <c r="C1020" s="203" t="s">
        <v>157</v>
      </c>
      <c r="D1020" s="203" t="s">
        <v>179</v>
      </c>
      <c r="E1020" s="203" t="s">
        <v>625</v>
      </c>
      <c r="F1020" s="203"/>
      <c r="G1020" s="28">
        <f>G1021</f>
        <v>46568.799999999996</v>
      </c>
      <c r="H1020" s="28">
        <f aca="true" t="shared" si="481" ref="H1020">H1021</f>
        <v>28464.4</v>
      </c>
      <c r="I1020" s="27">
        <f t="shared" si="454"/>
        <v>61.123327206198155</v>
      </c>
      <c r="J1020" s="129"/>
    </row>
    <row r="1021" spans="1:10" ht="15.75">
      <c r="A1021" s="26" t="s">
        <v>992</v>
      </c>
      <c r="B1021" s="205">
        <v>908</v>
      </c>
      <c r="C1021" s="203" t="s">
        <v>157</v>
      </c>
      <c r="D1021" s="203" t="s">
        <v>179</v>
      </c>
      <c r="E1021" s="203" t="s">
        <v>626</v>
      </c>
      <c r="F1021" s="203"/>
      <c r="G1021" s="28">
        <f>G1022+G1024+G1026</f>
        <v>46568.799999999996</v>
      </c>
      <c r="H1021" s="28">
        <f aca="true" t="shared" si="482" ref="H1021">H1022+H1024+H1026</f>
        <v>28464.4</v>
      </c>
      <c r="I1021" s="27">
        <f t="shared" si="454"/>
        <v>61.123327206198155</v>
      </c>
      <c r="J1021" s="129"/>
    </row>
    <row r="1022" spans="1:10" ht="74.25" customHeight="1">
      <c r="A1022" s="26" t="s">
        <v>166</v>
      </c>
      <c r="B1022" s="205">
        <v>908</v>
      </c>
      <c r="C1022" s="203" t="s">
        <v>157</v>
      </c>
      <c r="D1022" s="203" t="s">
        <v>179</v>
      </c>
      <c r="E1022" s="203" t="s">
        <v>626</v>
      </c>
      <c r="F1022" s="203" t="s">
        <v>167</v>
      </c>
      <c r="G1022" s="28">
        <f>G1023</f>
        <v>35598.6</v>
      </c>
      <c r="H1022" s="28">
        <f aca="true" t="shared" si="483" ref="H1022">H1023</f>
        <v>22686.5</v>
      </c>
      <c r="I1022" s="27">
        <f t="shared" si="454"/>
        <v>63.72862977757553</v>
      </c>
      <c r="J1022" s="129"/>
    </row>
    <row r="1023" spans="1:11" ht="15.75">
      <c r="A1023" s="48" t="s">
        <v>381</v>
      </c>
      <c r="B1023" s="205">
        <v>908</v>
      </c>
      <c r="C1023" s="203" t="s">
        <v>157</v>
      </c>
      <c r="D1023" s="203" t="s">
        <v>179</v>
      </c>
      <c r="E1023" s="203" t="s">
        <v>626</v>
      </c>
      <c r="F1023" s="203" t="s">
        <v>248</v>
      </c>
      <c r="G1023" s="28">
        <f>30242.8+2244.5+3111.3</f>
        <v>35598.6</v>
      </c>
      <c r="H1023" s="28">
        <v>22686.5</v>
      </c>
      <c r="I1023" s="27">
        <f t="shared" si="454"/>
        <v>63.72862977757553</v>
      </c>
      <c r="J1023" s="129"/>
      <c r="K1023" s="283"/>
    </row>
    <row r="1024" spans="1:11" ht="31.5">
      <c r="A1024" s="26" t="s">
        <v>170</v>
      </c>
      <c r="B1024" s="205">
        <v>908</v>
      </c>
      <c r="C1024" s="203" t="s">
        <v>157</v>
      </c>
      <c r="D1024" s="203" t="s">
        <v>179</v>
      </c>
      <c r="E1024" s="203" t="s">
        <v>626</v>
      </c>
      <c r="F1024" s="203" t="s">
        <v>171</v>
      </c>
      <c r="G1024" s="28">
        <f>G1025</f>
        <v>10549.599999999999</v>
      </c>
      <c r="H1024" s="28">
        <f aca="true" t="shared" si="484" ref="H1024">H1025</f>
        <v>5458</v>
      </c>
      <c r="I1024" s="27">
        <f t="shared" si="454"/>
        <v>51.73655873208464</v>
      </c>
      <c r="J1024" s="129"/>
      <c r="K1024" s="272"/>
    </row>
    <row r="1025" spans="1:12" ht="31.5">
      <c r="A1025" s="26" t="s">
        <v>172</v>
      </c>
      <c r="B1025" s="205">
        <v>908</v>
      </c>
      <c r="C1025" s="203" t="s">
        <v>157</v>
      </c>
      <c r="D1025" s="203" t="s">
        <v>179</v>
      </c>
      <c r="E1025" s="203" t="s">
        <v>626</v>
      </c>
      <c r="F1025" s="203" t="s">
        <v>173</v>
      </c>
      <c r="G1025" s="28">
        <f>8950+1731.8-124.7-7.5</f>
        <v>10549.599999999999</v>
      </c>
      <c r="H1025" s="28">
        <v>5458</v>
      </c>
      <c r="I1025" s="27">
        <f t="shared" si="454"/>
        <v>51.73655873208464</v>
      </c>
      <c r="J1025" s="129"/>
      <c r="L1025" s="129"/>
    </row>
    <row r="1026" spans="1:10" ht="15.75">
      <c r="A1026" s="26" t="s">
        <v>174</v>
      </c>
      <c r="B1026" s="205">
        <v>908</v>
      </c>
      <c r="C1026" s="203" t="s">
        <v>157</v>
      </c>
      <c r="D1026" s="203" t="s">
        <v>179</v>
      </c>
      <c r="E1026" s="203" t="s">
        <v>626</v>
      </c>
      <c r="F1026" s="203" t="s">
        <v>184</v>
      </c>
      <c r="G1026" s="28">
        <f>G1027</f>
        <v>420.59999999999997</v>
      </c>
      <c r="H1026" s="28">
        <f aca="true" t="shared" si="485" ref="H1026">H1027</f>
        <v>319.9</v>
      </c>
      <c r="I1026" s="27">
        <f t="shared" si="454"/>
        <v>76.05801236329054</v>
      </c>
      <c r="J1026" s="129"/>
    </row>
    <row r="1027" spans="1:10" ht="15.75">
      <c r="A1027" s="26" t="s">
        <v>774</v>
      </c>
      <c r="B1027" s="205">
        <v>908</v>
      </c>
      <c r="C1027" s="203" t="s">
        <v>157</v>
      </c>
      <c r="D1027" s="203" t="s">
        <v>179</v>
      </c>
      <c r="E1027" s="203" t="s">
        <v>626</v>
      </c>
      <c r="F1027" s="203" t="s">
        <v>177</v>
      </c>
      <c r="G1027" s="28">
        <f>156.7+131.7+124.7+7.5</f>
        <v>420.59999999999997</v>
      </c>
      <c r="H1027" s="28">
        <v>319.9</v>
      </c>
      <c r="I1027" s="27">
        <f t="shared" si="454"/>
        <v>76.05801236329054</v>
      </c>
      <c r="J1027" s="129"/>
    </row>
    <row r="1028" spans="1:10" ht="31.5">
      <c r="A1028" s="24" t="s">
        <v>261</v>
      </c>
      <c r="B1028" s="202">
        <v>908</v>
      </c>
      <c r="C1028" s="204" t="s">
        <v>254</v>
      </c>
      <c r="D1028" s="204"/>
      <c r="E1028" s="204"/>
      <c r="F1028" s="204"/>
      <c r="G1028" s="22">
        <f aca="true" t="shared" si="486" ref="G1028:H1033">G1029</f>
        <v>106.9</v>
      </c>
      <c r="H1028" s="22">
        <f t="shared" si="486"/>
        <v>106.9</v>
      </c>
      <c r="I1028" s="22">
        <f t="shared" si="454"/>
        <v>100</v>
      </c>
      <c r="J1028" s="129"/>
    </row>
    <row r="1029" spans="1:10" ht="47.25">
      <c r="A1029" s="24" t="s">
        <v>262</v>
      </c>
      <c r="B1029" s="202">
        <v>908</v>
      </c>
      <c r="C1029" s="204" t="s">
        <v>254</v>
      </c>
      <c r="D1029" s="204" t="s">
        <v>258</v>
      </c>
      <c r="E1029" s="204"/>
      <c r="F1029" s="204"/>
      <c r="G1029" s="22">
        <f t="shared" si="486"/>
        <v>106.9</v>
      </c>
      <c r="H1029" s="22">
        <f t="shared" si="486"/>
        <v>106.9</v>
      </c>
      <c r="I1029" s="22">
        <f t="shared" si="454"/>
        <v>100</v>
      </c>
      <c r="J1029" s="129"/>
    </row>
    <row r="1030" spans="1:10" ht="21.75" customHeight="1">
      <c r="A1030" s="26" t="s">
        <v>160</v>
      </c>
      <c r="B1030" s="205">
        <v>908</v>
      </c>
      <c r="C1030" s="203" t="s">
        <v>254</v>
      </c>
      <c r="D1030" s="203" t="s">
        <v>258</v>
      </c>
      <c r="E1030" s="203" t="s">
        <v>161</v>
      </c>
      <c r="F1030" s="203"/>
      <c r="G1030" s="27">
        <f t="shared" si="486"/>
        <v>106.9</v>
      </c>
      <c r="H1030" s="27">
        <f t="shared" si="486"/>
        <v>106.9</v>
      </c>
      <c r="I1030" s="27">
        <f t="shared" si="454"/>
        <v>100</v>
      </c>
      <c r="J1030" s="129"/>
    </row>
    <row r="1031" spans="1:10" ht="15.75">
      <c r="A1031" s="26" t="s">
        <v>180</v>
      </c>
      <c r="B1031" s="205">
        <v>908</v>
      </c>
      <c r="C1031" s="203" t="s">
        <v>254</v>
      </c>
      <c r="D1031" s="203" t="s">
        <v>258</v>
      </c>
      <c r="E1031" s="203" t="s">
        <v>181</v>
      </c>
      <c r="F1031" s="203"/>
      <c r="G1031" s="27">
        <f t="shared" si="486"/>
        <v>106.9</v>
      </c>
      <c r="H1031" s="27">
        <f t="shared" si="486"/>
        <v>106.9</v>
      </c>
      <c r="I1031" s="27">
        <f t="shared" si="454"/>
        <v>100</v>
      </c>
      <c r="J1031" s="129"/>
    </row>
    <row r="1032" spans="1:10" ht="15.75">
      <c r="A1032" s="26" t="s">
        <v>269</v>
      </c>
      <c r="B1032" s="205">
        <v>908</v>
      </c>
      <c r="C1032" s="203" t="s">
        <v>254</v>
      </c>
      <c r="D1032" s="203" t="s">
        <v>258</v>
      </c>
      <c r="E1032" s="203" t="s">
        <v>270</v>
      </c>
      <c r="F1032" s="203"/>
      <c r="G1032" s="27">
        <f t="shared" si="486"/>
        <v>106.9</v>
      </c>
      <c r="H1032" s="27">
        <f t="shared" si="486"/>
        <v>106.9</v>
      </c>
      <c r="I1032" s="27">
        <f t="shared" si="454"/>
        <v>100</v>
      </c>
      <c r="J1032" s="129"/>
    </row>
    <row r="1033" spans="1:10" ht="31.5">
      <c r="A1033" s="26" t="s">
        <v>170</v>
      </c>
      <c r="B1033" s="205">
        <v>908</v>
      </c>
      <c r="C1033" s="203" t="s">
        <v>254</v>
      </c>
      <c r="D1033" s="203" t="s">
        <v>258</v>
      </c>
      <c r="E1033" s="203" t="s">
        <v>270</v>
      </c>
      <c r="F1033" s="203" t="s">
        <v>171</v>
      </c>
      <c r="G1033" s="27">
        <f t="shared" si="486"/>
        <v>106.9</v>
      </c>
      <c r="H1033" s="27">
        <f t="shared" si="486"/>
        <v>106.9</v>
      </c>
      <c r="I1033" s="27">
        <f t="shared" si="454"/>
        <v>100</v>
      </c>
      <c r="J1033" s="129"/>
    </row>
    <row r="1034" spans="1:10" ht="31.5">
      <c r="A1034" s="26" t="s">
        <v>172</v>
      </c>
      <c r="B1034" s="205">
        <v>908</v>
      </c>
      <c r="C1034" s="203" t="s">
        <v>254</v>
      </c>
      <c r="D1034" s="203" t="s">
        <v>258</v>
      </c>
      <c r="E1034" s="203" t="s">
        <v>270</v>
      </c>
      <c r="F1034" s="203" t="s">
        <v>173</v>
      </c>
      <c r="G1034" s="27">
        <v>106.9</v>
      </c>
      <c r="H1034" s="27">
        <v>106.9</v>
      </c>
      <c r="I1034" s="27">
        <f t="shared" si="454"/>
        <v>100</v>
      </c>
      <c r="J1034" s="129"/>
    </row>
    <row r="1035" spans="1:10" ht="15.75">
      <c r="A1035" s="24" t="s">
        <v>271</v>
      </c>
      <c r="B1035" s="202">
        <v>908</v>
      </c>
      <c r="C1035" s="204" t="s">
        <v>189</v>
      </c>
      <c r="D1035" s="204"/>
      <c r="E1035" s="204"/>
      <c r="F1035" s="204"/>
      <c r="G1035" s="22">
        <f>G1036+G1042</f>
        <v>9185.2</v>
      </c>
      <c r="H1035" s="22">
        <f aca="true" t="shared" si="487" ref="H1035">H1036+H1042</f>
        <v>2951.9</v>
      </c>
      <c r="I1035" s="22">
        <f t="shared" si="454"/>
        <v>32.13756913295301</v>
      </c>
      <c r="J1035" s="129"/>
    </row>
    <row r="1036" spans="1:10" ht="15.75">
      <c r="A1036" s="24" t="s">
        <v>545</v>
      </c>
      <c r="B1036" s="202">
        <v>908</v>
      </c>
      <c r="C1036" s="204" t="s">
        <v>189</v>
      </c>
      <c r="D1036" s="204" t="s">
        <v>338</v>
      </c>
      <c r="E1036" s="204"/>
      <c r="F1036" s="204"/>
      <c r="G1036" s="22">
        <f>G1037</f>
        <v>3258.3</v>
      </c>
      <c r="H1036" s="22">
        <f aca="true" t="shared" si="488" ref="H1036:H1040">H1037</f>
        <v>2136</v>
      </c>
      <c r="I1036" s="22">
        <f t="shared" si="454"/>
        <v>65.55565785839241</v>
      </c>
      <c r="J1036" s="129"/>
    </row>
    <row r="1037" spans="1:10" ht="15.75">
      <c r="A1037" s="26" t="s">
        <v>160</v>
      </c>
      <c r="B1037" s="205">
        <v>908</v>
      </c>
      <c r="C1037" s="203" t="s">
        <v>189</v>
      </c>
      <c r="D1037" s="203" t="s">
        <v>338</v>
      </c>
      <c r="E1037" s="203" t="s">
        <v>161</v>
      </c>
      <c r="F1037" s="204"/>
      <c r="G1037" s="27">
        <f>G1038</f>
        <v>3258.3</v>
      </c>
      <c r="H1037" s="27">
        <f t="shared" si="488"/>
        <v>2136</v>
      </c>
      <c r="I1037" s="27">
        <f t="shared" si="454"/>
        <v>65.55565785839241</v>
      </c>
      <c r="J1037" s="129"/>
    </row>
    <row r="1038" spans="1:10" ht="15.75">
      <c r="A1038" s="26" t="s">
        <v>180</v>
      </c>
      <c r="B1038" s="205">
        <v>908</v>
      </c>
      <c r="C1038" s="203" t="s">
        <v>189</v>
      </c>
      <c r="D1038" s="203" t="s">
        <v>338</v>
      </c>
      <c r="E1038" s="203" t="s">
        <v>181</v>
      </c>
      <c r="F1038" s="204"/>
      <c r="G1038" s="27">
        <f>G1039</f>
        <v>3258.3</v>
      </c>
      <c r="H1038" s="27">
        <f t="shared" si="488"/>
        <v>2136</v>
      </c>
      <c r="I1038" s="27">
        <f t="shared" si="454"/>
        <v>65.55565785839241</v>
      </c>
      <c r="J1038" s="129"/>
    </row>
    <row r="1039" spans="1:10" ht="18" customHeight="1">
      <c r="A1039" s="26" t="s">
        <v>546</v>
      </c>
      <c r="B1039" s="205">
        <v>908</v>
      </c>
      <c r="C1039" s="203" t="s">
        <v>189</v>
      </c>
      <c r="D1039" s="203" t="s">
        <v>338</v>
      </c>
      <c r="E1039" s="203" t="s">
        <v>547</v>
      </c>
      <c r="F1039" s="203"/>
      <c r="G1039" s="27">
        <f>G1040</f>
        <v>3258.3</v>
      </c>
      <c r="H1039" s="27">
        <f t="shared" si="488"/>
        <v>2136</v>
      </c>
      <c r="I1039" s="27">
        <f aca="true" t="shared" si="489" ref="I1039:I1102">H1039/G1039*100</f>
        <v>65.55565785839241</v>
      </c>
      <c r="J1039" s="129"/>
    </row>
    <row r="1040" spans="1:10" ht="31.5">
      <c r="A1040" s="26" t="s">
        <v>170</v>
      </c>
      <c r="B1040" s="205">
        <v>908</v>
      </c>
      <c r="C1040" s="203" t="s">
        <v>189</v>
      </c>
      <c r="D1040" s="203" t="s">
        <v>338</v>
      </c>
      <c r="E1040" s="203" t="s">
        <v>547</v>
      </c>
      <c r="F1040" s="203" t="s">
        <v>171</v>
      </c>
      <c r="G1040" s="27">
        <f>G1041</f>
        <v>3258.3</v>
      </c>
      <c r="H1040" s="27">
        <f t="shared" si="488"/>
        <v>2136</v>
      </c>
      <c r="I1040" s="27">
        <f t="shared" si="489"/>
        <v>65.55565785839241</v>
      </c>
      <c r="J1040" s="129"/>
    </row>
    <row r="1041" spans="1:10" ht="31.5">
      <c r="A1041" s="26" t="s">
        <v>172</v>
      </c>
      <c r="B1041" s="205">
        <v>908</v>
      </c>
      <c r="C1041" s="203" t="s">
        <v>189</v>
      </c>
      <c r="D1041" s="203" t="s">
        <v>338</v>
      </c>
      <c r="E1041" s="203" t="s">
        <v>547</v>
      </c>
      <c r="F1041" s="203" t="s">
        <v>173</v>
      </c>
      <c r="G1041" s="27">
        <f>3258.3</f>
        <v>3258.3</v>
      </c>
      <c r="H1041" s="27">
        <v>2136</v>
      </c>
      <c r="I1041" s="27">
        <f t="shared" si="489"/>
        <v>65.55565785839241</v>
      </c>
      <c r="J1041" s="129"/>
    </row>
    <row r="1042" spans="1:10" ht="15.75">
      <c r="A1042" s="24" t="s">
        <v>548</v>
      </c>
      <c r="B1042" s="202">
        <v>908</v>
      </c>
      <c r="C1042" s="204" t="s">
        <v>189</v>
      </c>
      <c r="D1042" s="204" t="s">
        <v>258</v>
      </c>
      <c r="E1042" s="203"/>
      <c r="F1042" s="204"/>
      <c r="G1042" s="22">
        <f>G1043</f>
        <v>5926.9</v>
      </c>
      <c r="H1042" s="22">
        <f aca="true" t="shared" si="490" ref="H1042:H1043">H1043</f>
        <v>815.9</v>
      </c>
      <c r="I1042" s="22">
        <f t="shared" si="489"/>
        <v>13.766049705579647</v>
      </c>
      <c r="J1042" s="129"/>
    </row>
    <row r="1043" spans="1:10" ht="47.25">
      <c r="A1043" s="33" t="s">
        <v>951</v>
      </c>
      <c r="B1043" s="205">
        <v>908</v>
      </c>
      <c r="C1043" s="203" t="s">
        <v>189</v>
      </c>
      <c r="D1043" s="203" t="s">
        <v>258</v>
      </c>
      <c r="E1043" s="203" t="s">
        <v>550</v>
      </c>
      <c r="F1043" s="203"/>
      <c r="G1043" s="27">
        <f>G1044</f>
        <v>5926.9</v>
      </c>
      <c r="H1043" s="27">
        <f t="shared" si="490"/>
        <v>815.9</v>
      </c>
      <c r="I1043" s="27">
        <f t="shared" si="489"/>
        <v>13.766049705579647</v>
      </c>
      <c r="J1043" s="129"/>
    </row>
    <row r="1044" spans="1:10" ht="15.75">
      <c r="A1044" s="31" t="s">
        <v>551</v>
      </c>
      <c r="B1044" s="205">
        <v>908</v>
      </c>
      <c r="C1044" s="203" t="s">
        <v>189</v>
      </c>
      <c r="D1044" s="203" t="s">
        <v>258</v>
      </c>
      <c r="E1044" s="206" t="s">
        <v>552</v>
      </c>
      <c r="F1044" s="203"/>
      <c r="G1044" s="27">
        <f>G1045+G1047</f>
        <v>5926.9</v>
      </c>
      <c r="H1044" s="27">
        <f aca="true" t="shared" si="491" ref="H1044">H1045+H1047</f>
        <v>815.9</v>
      </c>
      <c r="I1044" s="27">
        <f t="shared" si="489"/>
        <v>13.766049705579647</v>
      </c>
      <c r="J1044" s="129"/>
    </row>
    <row r="1045" spans="1:10" ht="31.5">
      <c r="A1045" s="26" t="s">
        <v>170</v>
      </c>
      <c r="B1045" s="205">
        <v>908</v>
      </c>
      <c r="C1045" s="203" t="s">
        <v>189</v>
      </c>
      <c r="D1045" s="203" t="s">
        <v>258</v>
      </c>
      <c r="E1045" s="206" t="s">
        <v>552</v>
      </c>
      <c r="F1045" s="203" t="s">
        <v>171</v>
      </c>
      <c r="G1045" s="27">
        <f>G1046</f>
        <v>5900.799999999999</v>
      </c>
      <c r="H1045" s="27">
        <f aca="true" t="shared" si="492" ref="H1045">H1046</f>
        <v>795.9</v>
      </c>
      <c r="I1045" s="27">
        <f t="shared" si="489"/>
        <v>13.48800162689805</v>
      </c>
      <c r="J1045" s="129"/>
    </row>
    <row r="1046" spans="1:10" ht="31.5">
      <c r="A1046" s="26" t="s">
        <v>172</v>
      </c>
      <c r="B1046" s="205">
        <v>908</v>
      </c>
      <c r="C1046" s="203" t="s">
        <v>189</v>
      </c>
      <c r="D1046" s="203" t="s">
        <v>258</v>
      </c>
      <c r="E1046" s="206" t="s">
        <v>552</v>
      </c>
      <c r="F1046" s="203" t="s">
        <v>173</v>
      </c>
      <c r="G1046" s="27">
        <f>6346.5-10.1-91.6-44-300</f>
        <v>5900.799999999999</v>
      </c>
      <c r="H1046" s="27">
        <v>795.9</v>
      </c>
      <c r="I1046" s="27">
        <f t="shared" si="489"/>
        <v>13.48800162689805</v>
      </c>
      <c r="J1046" s="129"/>
    </row>
    <row r="1047" spans="1:10" ht="15.75">
      <c r="A1047" s="26" t="s">
        <v>174</v>
      </c>
      <c r="B1047" s="205">
        <v>908</v>
      </c>
      <c r="C1047" s="203" t="s">
        <v>189</v>
      </c>
      <c r="D1047" s="203" t="s">
        <v>258</v>
      </c>
      <c r="E1047" s="206" t="s">
        <v>552</v>
      </c>
      <c r="F1047" s="203" t="s">
        <v>184</v>
      </c>
      <c r="G1047" s="27">
        <f>G1048</f>
        <v>26.1</v>
      </c>
      <c r="H1047" s="27">
        <f aca="true" t="shared" si="493" ref="H1047">H1048</f>
        <v>20</v>
      </c>
      <c r="I1047" s="27">
        <f t="shared" si="489"/>
        <v>76.62835249042145</v>
      </c>
      <c r="J1047" s="129"/>
    </row>
    <row r="1048" spans="1:10" ht="15.75">
      <c r="A1048" s="26" t="s">
        <v>608</v>
      </c>
      <c r="B1048" s="205">
        <v>908</v>
      </c>
      <c r="C1048" s="203" t="s">
        <v>189</v>
      </c>
      <c r="D1048" s="203" t="s">
        <v>258</v>
      </c>
      <c r="E1048" s="206" t="s">
        <v>552</v>
      </c>
      <c r="F1048" s="203" t="s">
        <v>177</v>
      </c>
      <c r="G1048" s="27">
        <f>16+10.1</f>
        <v>26.1</v>
      </c>
      <c r="H1048" s="27">
        <v>20</v>
      </c>
      <c r="I1048" s="27">
        <f t="shared" si="489"/>
        <v>76.62835249042145</v>
      </c>
      <c r="J1048" s="129"/>
    </row>
    <row r="1049" spans="1:10" ht="15.75">
      <c r="A1049" s="24" t="s">
        <v>430</v>
      </c>
      <c r="B1049" s="202">
        <v>908</v>
      </c>
      <c r="C1049" s="204" t="s">
        <v>273</v>
      </c>
      <c r="D1049" s="204"/>
      <c r="E1049" s="204"/>
      <c r="F1049" s="204"/>
      <c r="G1049" s="22">
        <f>G1050+G1066+G1135+G1197</f>
        <v>134186.02000000002</v>
      </c>
      <c r="H1049" s="22">
        <f aca="true" t="shared" si="494" ref="H1049">H1050+H1066+H1135+H1197</f>
        <v>110211.59999999999</v>
      </c>
      <c r="I1049" s="22">
        <f t="shared" si="489"/>
        <v>82.13344430366142</v>
      </c>
      <c r="J1049" s="129"/>
    </row>
    <row r="1050" spans="1:10" ht="15.75">
      <c r="A1050" s="24" t="s">
        <v>431</v>
      </c>
      <c r="B1050" s="202">
        <v>908</v>
      </c>
      <c r="C1050" s="204" t="s">
        <v>273</v>
      </c>
      <c r="D1050" s="204" t="s">
        <v>157</v>
      </c>
      <c r="E1050" s="204"/>
      <c r="F1050" s="204"/>
      <c r="G1050" s="22">
        <f>G1051</f>
        <v>6734.799999999999</v>
      </c>
      <c r="H1050" s="22">
        <f aca="true" t="shared" si="495" ref="H1050">H1051</f>
        <v>3870.8999999999996</v>
      </c>
      <c r="I1050" s="22">
        <f t="shared" si="489"/>
        <v>57.476094316089565</v>
      </c>
      <c r="J1050" s="129"/>
    </row>
    <row r="1051" spans="1:10" ht="15.75">
      <c r="A1051" s="26" t="s">
        <v>160</v>
      </c>
      <c r="B1051" s="205">
        <v>908</v>
      </c>
      <c r="C1051" s="203" t="s">
        <v>273</v>
      </c>
      <c r="D1051" s="203" t="s">
        <v>157</v>
      </c>
      <c r="E1051" s="203" t="s">
        <v>161</v>
      </c>
      <c r="F1051" s="203"/>
      <c r="G1051" s="27">
        <f>G1056</f>
        <v>6734.799999999999</v>
      </c>
      <c r="H1051" s="27">
        <f aca="true" t="shared" si="496" ref="H1051">H1056</f>
        <v>3870.8999999999996</v>
      </c>
      <c r="I1051" s="27">
        <f t="shared" si="489"/>
        <v>57.476094316089565</v>
      </c>
      <c r="J1051" s="129"/>
    </row>
    <row r="1052" spans="1:10" ht="31.5" customHeight="1" hidden="1">
      <c r="A1052" s="26" t="s">
        <v>224</v>
      </c>
      <c r="B1052" s="205">
        <v>908</v>
      </c>
      <c r="C1052" s="203" t="s">
        <v>273</v>
      </c>
      <c r="D1052" s="203" t="s">
        <v>157</v>
      </c>
      <c r="E1052" s="203" t="s">
        <v>225</v>
      </c>
      <c r="F1052" s="203"/>
      <c r="G1052" s="27">
        <f>G1053</f>
        <v>0</v>
      </c>
      <c r="H1052" s="27">
        <f aca="true" t="shared" si="497" ref="H1052:H1054">H1053</f>
        <v>0</v>
      </c>
      <c r="I1052" s="27" t="e">
        <f t="shared" si="489"/>
        <v>#DIV/0!</v>
      </c>
      <c r="J1052" s="129"/>
    </row>
    <row r="1053" spans="1:10" ht="15.75" customHeight="1" hidden="1">
      <c r="A1053" s="26" t="s">
        <v>553</v>
      </c>
      <c r="B1053" s="205">
        <v>908</v>
      </c>
      <c r="C1053" s="203" t="s">
        <v>273</v>
      </c>
      <c r="D1053" s="203" t="s">
        <v>157</v>
      </c>
      <c r="E1053" s="203" t="s">
        <v>554</v>
      </c>
      <c r="F1053" s="203"/>
      <c r="G1053" s="27">
        <f>G1054</f>
        <v>0</v>
      </c>
      <c r="H1053" s="27">
        <f t="shared" si="497"/>
        <v>0</v>
      </c>
      <c r="I1053" s="27" t="e">
        <f t="shared" si="489"/>
        <v>#DIV/0!</v>
      </c>
      <c r="J1053" s="129"/>
    </row>
    <row r="1054" spans="1:10" ht="15.75" customHeight="1" hidden="1">
      <c r="A1054" s="26" t="s">
        <v>174</v>
      </c>
      <c r="B1054" s="205">
        <v>908</v>
      </c>
      <c r="C1054" s="203" t="s">
        <v>273</v>
      </c>
      <c r="D1054" s="203" t="s">
        <v>157</v>
      </c>
      <c r="E1054" s="203" t="s">
        <v>554</v>
      </c>
      <c r="F1054" s="203" t="s">
        <v>184</v>
      </c>
      <c r="G1054" s="27">
        <f>G1055</f>
        <v>0</v>
      </c>
      <c r="H1054" s="27">
        <f t="shared" si="497"/>
        <v>0</v>
      </c>
      <c r="I1054" s="27" t="e">
        <f t="shared" si="489"/>
        <v>#DIV/0!</v>
      </c>
      <c r="J1054" s="129"/>
    </row>
    <row r="1055" spans="1:10" ht="63" customHeight="1" hidden="1">
      <c r="A1055" s="26" t="s">
        <v>223</v>
      </c>
      <c r="B1055" s="205">
        <v>908</v>
      </c>
      <c r="C1055" s="203" t="s">
        <v>273</v>
      </c>
      <c r="D1055" s="203" t="s">
        <v>157</v>
      </c>
      <c r="E1055" s="203" t="s">
        <v>554</v>
      </c>
      <c r="F1055" s="203" t="s">
        <v>199</v>
      </c>
      <c r="G1055" s="27">
        <v>0</v>
      </c>
      <c r="H1055" s="27">
        <v>0</v>
      </c>
      <c r="I1055" s="27" t="e">
        <f t="shared" si="489"/>
        <v>#DIV/0!</v>
      </c>
      <c r="J1055" s="129"/>
    </row>
    <row r="1056" spans="1:10" ht="15.75">
      <c r="A1056" s="26" t="s">
        <v>180</v>
      </c>
      <c r="B1056" s="205">
        <v>908</v>
      </c>
      <c r="C1056" s="203" t="s">
        <v>273</v>
      </c>
      <c r="D1056" s="203" t="s">
        <v>157</v>
      </c>
      <c r="E1056" s="203" t="s">
        <v>181</v>
      </c>
      <c r="F1056" s="204"/>
      <c r="G1056" s="27">
        <f>G1063+G1060+G1057</f>
        <v>6734.799999999999</v>
      </c>
      <c r="H1056" s="27">
        <f aca="true" t="shared" si="498" ref="H1056">H1063+H1060+H1057</f>
        <v>3870.8999999999996</v>
      </c>
      <c r="I1056" s="27">
        <f t="shared" si="489"/>
        <v>57.476094316089565</v>
      </c>
      <c r="J1056" s="129"/>
    </row>
    <row r="1057" spans="1:10" ht="15.75">
      <c r="A1057" s="26" t="s">
        <v>555</v>
      </c>
      <c r="B1057" s="205">
        <v>908</v>
      </c>
      <c r="C1057" s="203" t="s">
        <v>903</v>
      </c>
      <c r="D1057" s="203" t="s">
        <v>157</v>
      </c>
      <c r="E1057" s="203" t="s">
        <v>556</v>
      </c>
      <c r="F1057" s="204"/>
      <c r="G1057" s="27">
        <f>G1058</f>
        <v>1525.6</v>
      </c>
      <c r="H1057" s="27">
        <f aca="true" t="shared" si="499" ref="H1057:H1058">H1058</f>
        <v>0</v>
      </c>
      <c r="I1057" s="27">
        <f t="shared" si="489"/>
        <v>0</v>
      </c>
      <c r="J1057" s="129"/>
    </row>
    <row r="1058" spans="1:10" ht="15.75">
      <c r="A1058" s="26" t="s">
        <v>174</v>
      </c>
      <c r="B1058" s="205">
        <v>908</v>
      </c>
      <c r="C1058" s="203" t="s">
        <v>273</v>
      </c>
      <c r="D1058" s="203" t="s">
        <v>157</v>
      </c>
      <c r="E1058" s="203" t="s">
        <v>556</v>
      </c>
      <c r="F1058" s="203" t="s">
        <v>184</v>
      </c>
      <c r="G1058" s="27">
        <f>G1059</f>
        <v>1525.6</v>
      </c>
      <c r="H1058" s="27">
        <f t="shared" si="499"/>
        <v>0</v>
      </c>
      <c r="I1058" s="27">
        <f t="shared" si="489"/>
        <v>0</v>
      </c>
      <c r="J1058" s="129"/>
    </row>
    <row r="1059" spans="1:10" ht="48.75" customHeight="1">
      <c r="A1059" s="26" t="s">
        <v>223</v>
      </c>
      <c r="B1059" s="205">
        <v>908</v>
      </c>
      <c r="C1059" s="203" t="s">
        <v>273</v>
      </c>
      <c r="D1059" s="203" t="s">
        <v>157</v>
      </c>
      <c r="E1059" s="203" t="s">
        <v>556</v>
      </c>
      <c r="F1059" s="203" t="s">
        <v>199</v>
      </c>
      <c r="G1059" s="27">
        <f>1525.6</f>
        <v>1525.6</v>
      </c>
      <c r="H1059" s="27">
        <v>0</v>
      </c>
      <c r="I1059" s="27">
        <f t="shared" si="489"/>
        <v>0</v>
      </c>
      <c r="J1059" s="129"/>
    </row>
    <row r="1060" spans="1:10" ht="31.5">
      <c r="A1060" s="31" t="s">
        <v>438</v>
      </c>
      <c r="B1060" s="205">
        <v>908</v>
      </c>
      <c r="C1060" s="203" t="s">
        <v>273</v>
      </c>
      <c r="D1060" s="203" t="s">
        <v>157</v>
      </c>
      <c r="E1060" s="203" t="s">
        <v>439</v>
      </c>
      <c r="F1060" s="204"/>
      <c r="G1060" s="27">
        <f>G1061</f>
        <v>4017.6</v>
      </c>
      <c r="H1060" s="27">
        <f aca="true" t="shared" si="500" ref="H1060:H1061">H1061</f>
        <v>3119.1</v>
      </c>
      <c r="I1060" s="27">
        <f t="shared" si="489"/>
        <v>77.63590203106332</v>
      </c>
      <c r="J1060" s="129"/>
    </row>
    <row r="1061" spans="1:10" ht="31.5">
      <c r="A1061" s="26" t="s">
        <v>170</v>
      </c>
      <c r="B1061" s="205">
        <v>908</v>
      </c>
      <c r="C1061" s="203" t="s">
        <v>273</v>
      </c>
      <c r="D1061" s="203" t="s">
        <v>157</v>
      </c>
      <c r="E1061" s="203" t="s">
        <v>439</v>
      </c>
      <c r="F1061" s="203" t="s">
        <v>171</v>
      </c>
      <c r="G1061" s="27">
        <f>G1062</f>
        <v>4017.6</v>
      </c>
      <c r="H1061" s="27">
        <f t="shared" si="500"/>
        <v>3119.1</v>
      </c>
      <c r="I1061" s="27">
        <f t="shared" si="489"/>
        <v>77.63590203106332</v>
      </c>
      <c r="J1061" s="129"/>
    </row>
    <row r="1062" spans="1:12" ht="33" customHeight="1">
      <c r="A1062" s="26" t="s">
        <v>172</v>
      </c>
      <c r="B1062" s="205">
        <v>908</v>
      </c>
      <c r="C1062" s="203" t="s">
        <v>273</v>
      </c>
      <c r="D1062" s="203" t="s">
        <v>157</v>
      </c>
      <c r="E1062" s="203" t="s">
        <v>439</v>
      </c>
      <c r="F1062" s="203" t="s">
        <v>173</v>
      </c>
      <c r="G1062" s="28">
        <f>4017.6</f>
        <v>4017.6</v>
      </c>
      <c r="H1062" s="28">
        <v>3119.1</v>
      </c>
      <c r="I1062" s="27">
        <f t="shared" si="489"/>
        <v>77.63590203106332</v>
      </c>
      <c r="J1062" s="129"/>
      <c r="K1062" s="136"/>
      <c r="L1062" s="136"/>
    </row>
    <row r="1063" spans="1:10" ht="15.75">
      <c r="A1063" s="26" t="s">
        <v>579</v>
      </c>
      <c r="B1063" s="205">
        <v>908</v>
      </c>
      <c r="C1063" s="203" t="s">
        <v>273</v>
      </c>
      <c r="D1063" s="203" t="s">
        <v>157</v>
      </c>
      <c r="E1063" s="203" t="s">
        <v>580</v>
      </c>
      <c r="F1063" s="204"/>
      <c r="G1063" s="27">
        <f>G1064</f>
        <v>1191.6</v>
      </c>
      <c r="H1063" s="27">
        <f aca="true" t="shared" si="501" ref="H1063:H1064">H1064</f>
        <v>751.8</v>
      </c>
      <c r="I1063" s="27">
        <f t="shared" si="489"/>
        <v>63.091641490433034</v>
      </c>
      <c r="J1063" s="129"/>
    </row>
    <row r="1064" spans="1:10" ht="31.5">
      <c r="A1064" s="26" t="s">
        <v>170</v>
      </c>
      <c r="B1064" s="205">
        <v>908</v>
      </c>
      <c r="C1064" s="203" t="s">
        <v>273</v>
      </c>
      <c r="D1064" s="203" t="s">
        <v>157</v>
      </c>
      <c r="E1064" s="203" t="s">
        <v>580</v>
      </c>
      <c r="F1064" s="203" t="s">
        <v>171</v>
      </c>
      <c r="G1064" s="27">
        <f>G1065</f>
        <v>1191.6</v>
      </c>
      <c r="H1064" s="27">
        <f t="shared" si="501"/>
        <v>751.8</v>
      </c>
      <c r="I1064" s="27">
        <f t="shared" si="489"/>
        <v>63.091641490433034</v>
      </c>
      <c r="J1064" s="129"/>
    </row>
    <row r="1065" spans="1:10" ht="33" customHeight="1">
      <c r="A1065" s="26" t="s">
        <v>172</v>
      </c>
      <c r="B1065" s="205">
        <v>908</v>
      </c>
      <c r="C1065" s="203" t="s">
        <v>273</v>
      </c>
      <c r="D1065" s="203" t="s">
        <v>157</v>
      </c>
      <c r="E1065" s="203" t="s">
        <v>580</v>
      </c>
      <c r="F1065" s="203" t="s">
        <v>173</v>
      </c>
      <c r="G1065" s="27">
        <f>1191.6</f>
        <v>1191.6</v>
      </c>
      <c r="H1065" s="27">
        <v>751.8</v>
      </c>
      <c r="I1065" s="27">
        <f t="shared" si="489"/>
        <v>63.091641490433034</v>
      </c>
      <c r="J1065" s="129"/>
    </row>
    <row r="1066" spans="1:10" ht="15.75">
      <c r="A1066" s="24" t="s">
        <v>557</v>
      </c>
      <c r="B1066" s="202">
        <v>908</v>
      </c>
      <c r="C1066" s="204" t="s">
        <v>273</v>
      </c>
      <c r="D1066" s="204" t="s">
        <v>252</v>
      </c>
      <c r="E1066" s="204"/>
      <c r="F1066" s="204"/>
      <c r="G1066" s="22">
        <f>G1067+G1096</f>
        <v>91382.03</v>
      </c>
      <c r="H1066" s="22">
        <f aca="true" t="shared" si="502" ref="H1066">H1067+H1096</f>
        <v>79536.59999999999</v>
      </c>
      <c r="I1066" s="22">
        <f t="shared" si="489"/>
        <v>87.03746239824174</v>
      </c>
      <c r="J1066" s="129"/>
    </row>
    <row r="1067" spans="1:10" ht="47.25">
      <c r="A1067" s="26" t="s">
        <v>1043</v>
      </c>
      <c r="B1067" s="205">
        <v>908</v>
      </c>
      <c r="C1067" s="203" t="s">
        <v>273</v>
      </c>
      <c r="D1067" s="203" t="s">
        <v>252</v>
      </c>
      <c r="E1067" s="203" t="s">
        <v>558</v>
      </c>
      <c r="F1067" s="204"/>
      <c r="G1067" s="27">
        <f>G1071+G1074+G1079+G1084+G1087+G1093+G1090</f>
        <v>7797.5</v>
      </c>
      <c r="H1067" s="27">
        <f aca="true" t="shared" si="503" ref="H1067">H1071+H1074+H1079+H1084+H1087+H1093+H1090</f>
        <v>6954.7</v>
      </c>
      <c r="I1067" s="27">
        <f t="shared" si="489"/>
        <v>89.19140750240462</v>
      </c>
      <c r="J1067" s="134"/>
    </row>
    <row r="1068" spans="1:10" ht="47.25" customHeight="1" hidden="1">
      <c r="A1068" s="37" t="s">
        <v>559</v>
      </c>
      <c r="B1068" s="205">
        <v>908</v>
      </c>
      <c r="C1068" s="203" t="s">
        <v>273</v>
      </c>
      <c r="D1068" s="203" t="s">
        <v>252</v>
      </c>
      <c r="E1068" s="203" t="s">
        <v>560</v>
      </c>
      <c r="F1068" s="203"/>
      <c r="G1068" s="27">
        <f>G1069</f>
        <v>0</v>
      </c>
      <c r="H1068" s="27">
        <f aca="true" t="shared" si="504" ref="H1068:H1069">H1069</f>
        <v>0</v>
      </c>
      <c r="I1068" s="27" t="e">
        <f t="shared" si="489"/>
        <v>#DIV/0!</v>
      </c>
      <c r="J1068" s="129"/>
    </row>
    <row r="1069" spans="1:10" ht="31.5" customHeight="1" hidden="1">
      <c r="A1069" s="26" t="s">
        <v>170</v>
      </c>
      <c r="B1069" s="205">
        <v>908</v>
      </c>
      <c r="C1069" s="203" t="s">
        <v>273</v>
      </c>
      <c r="D1069" s="203" t="s">
        <v>252</v>
      </c>
      <c r="E1069" s="203" t="s">
        <v>560</v>
      </c>
      <c r="F1069" s="203" t="s">
        <v>171</v>
      </c>
      <c r="G1069" s="27">
        <f>G1070</f>
        <v>0</v>
      </c>
      <c r="H1069" s="27">
        <f t="shared" si="504"/>
        <v>0</v>
      </c>
      <c r="I1069" s="27" t="e">
        <f t="shared" si="489"/>
        <v>#DIV/0!</v>
      </c>
      <c r="J1069" s="129"/>
    </row>
    <row r="1070" spans="1:10" ht="47.25" customHeight="1" hidden="1">
      <c r="A1070" s="26" t="s">
        <v>172</v>
      </c>
      <c r="B1070" s="205">
        <v>908</v>
      </c>
      <c r="C1070" s="203" t="s">
        <v>273</v>
      </c>
      <c r="D1070" s="203" t="s">
        <v>252</v>
      </c>
      <c r="E1070" s="203" t="s">
        <v>560</v>
      </c>
      <c r="F1070" s="203" t="s">
        <v>173</v>
      </c>
      <c r="G1070" s="27">
        <v>0</v>
      </c>
      <c r="H1070" s="27">
        <v>0</v>
      </c>
      <c r="I1070" s="27" t="e">
        <f t="shared" si="489"/>
        <v>#DIV/0!</v>
      </c>
      <c r="J1070" s="129"/>
    </row>
    <row r="1071" spans="1:10" ht="15.75">
      <c r="A1071" s="47" t="s">
        <v>561</v>
      </c>
      <c r="B1071" s="205">
        <v>908</v>
      </c>
      <c r="C1071" s="206" t="s">
        <v>273</v>
      </c>
      <c r="D1071" s="206" t="s">
        <v>252</v>
      </c>
      <c r="E1071" s="203" t="s">
        <v>562</v>
      </c>
      <c r="F1071" s="206"/>
      <c r="G1071" s="27">
        <f>G1072</f>
        <v>4377</v>
      </c>
      <c r="H1071" s="27">
        <f aca="true" t="shared" si="505" ref="H1071:H1072">H1072</f>
        <v>4374.2</v>
      </c>
      <c r="I1071" s="27">
        <f t="shared" si="489"/>
        <v>99.93602924377427</v>
      </c>
      <c r="J1071" s="129"/>
    </row>
    <row r="1072" spans="1:10" ht="31.5">
      <c r="A1072" s="33" t="s">
        <v>170</v>
      </c>
      <c r="B1072" s="205">
        <v>908</v>
      </c>
      <c r="C1072" s="206" t="s">
        <v>273</v>
      </c>
      <c r="D1072" s="206" t="s">
        <v>252</v>
      </c>
      <c r="E1072" s="203" t="s">
        <v>562</v>
      </c>
      <c r="F1072" s="206" t="s">
        <v>171</v>
      </c>
      <c r="G1072" s="27">
        <f>G1073</f>
        <v>4377</v>
      </c>
      <c r="H1072" s="27">
        <f t="shared" si="505"/>
        <v>4374.2</v>
      </c>
      <c r="I1072" s="27">
        <f t="shared" si="489"/>
        <v>99.93602924377427</v>
      </c>
      <c r="J1072" s="129"/>
    </row>
    <row r="1073" spans="1:11" ht="31.5">
      <c r="A1073" s="33" t="s">
        <v>172</v>
      </c>
      <c r="B1073" s="205">
        <v>908</v>
      </c>
      <c r="C1073" s="206" t="s">
        <v>273</v>
      </c>
      <c r="D1073" s="206" t="s">
        <v>252</v>
      </c>
      <c r="E1073" s="203" t="s">
        <v>562</v>
      </c>
      <c r="F1073" s="206" t="s">
        <v>173</v>
      </c>
      <c r="G1073" s="27">
        <f>2903+250+60+1164</f>
        <v>4377</v>
      </c>
      <c r="H1073" s="27">
        <v>4374.2</v>
      </c>
      <c r="I1073" s="27">
        <f t="shared" si="489"/>
        <v>99.93602924377427</v>
      </c>
      <c r="J1073" s="129"/>
      <c r="K1073" s="129"/>
    </row>
    <row r="1074" spans="1:10" ht="15.75">
      <c r="A1074" s="47" t="s">
        <v>563</v>
      </c>
      <c r="B1074" s="205">
        <v>908</v>
      </c>
      <c r="C1074" s="206" t="s">
        <v>273</v>
      </c>
      <c r="D1074" s="206" t="s">
        <v>252</v>
      </c>
      <c r="E1074" s="203" t="s">
        <v>564</v>
      </c>
      <c r="F1074" s="206"/>
      <c r="G1074" s="27">
        <f>G1075+G1077</f>
        <v>400</v>
      </c>
      <c r="H1074" s="27">
        <f aca="true" t="shared" si="506" ref="H1074">H1075+H1077</f>
        <v>290</v>
      </c>
      <c r="I1074" s="27">
        <f t="shared" si="489"/>
        <v>72.5</v>
      </c>
      <c r="J1074" s="129"/>
    </row>
    <row r="1075" spans="1:10" ht="31.5">
      <c r="A1075" s="33" t="s">
        <v>170</v>
      </c>
      <c r="B1075" s="205">
        <v>908</v>
      </c>
      <c r="C1075" s="206" t="s">
        <v>273</v>
      </c>
      <c r="D1075" s="206" t="s">
        <v>252</v>
      </c>
      <c r="E1075" s="203" t="s">
        <v>564</v>
      </c>
      <c r="F1075" s="206" t="s">
        <v>171</v>
      </c>
      <c r="G1075" s="27">
        <f>G1076</f>
        <v>400</v>
      </c>
      <c r="H1075" s="27">
        <f aca="true" t="shared" si="507" ref="H1075">H1076</f>
        <v>290</v>
      </c>
      <c r="I1075" s="27">
        <f t="shared" si="489"/>
        <v>72.5</v>
      </c>
      <c r="J1075" s="129"/>
    </row>
    <row r="1076" spans="1:10" ht="31.5">
      <c r="A1076" s="33" t="s">
        <v>172</v>
      </c>
      <c r="B1076" s="205">
        <v>908</v>
      </c>
      <c r="C1076" s="206" t="s">
        <v>273</v>
      </c>
      <c r="D1076" s="206" t="s">
        <v>252</v>
      </c>
      <c r="E1076" s="203" t="s">
        <v>564</v>
      </c>
      <c r="F1076" s="206" t="s">
        <v>173</v>
      </c>
      <c r="G1076" s="7">
        <f>400</f>
        <v>400</v>
      </c>
      <c r="H1076" s="7">
        <v>290</v>
      </c>
      <c r="I1076" s="27">
        <f t="shared" si="489"/>
        <v>72.5</v>
      </c>
      <c r="J1076" s="129"/>
    </row>
    <row r="1077" spans="1:10" ht="15.75" hidden="1">
      <c r="A1077" s="26" t="s">
        <v>174</v>
      </c>
      <c r="B1077" s="205">
        <v>908</v>
      </c>
      <c r="C1077" s="206" t="s">
        <v>273</v>
      </c>
      <c r="D1077" s="206" t="s">
        <v>252</v>
      </c>
      <c r="E1077" s="203" t="s">
        <v>564</v>
      </c>
      <c r="F1077" s="206" t="s">
        <v>184</v>
      </c>
      <c r="G1077" s="7">
        <f>G1078</f>
        <v>0</v>
      </c>
      <c r="H1077" s="7">
        <f aca="true" t="shared" si="508" ref="H1077">H1078</f>
        <v>0</v>
      </c>
      <c r="I1077" s="27" t="e">
        <f t="shared" si="489"/>
        <v>#DIV/0!</v>
      </c>
      <c r="J1077" s="129"/>
    </row>
    <row r="1078" spans="1:10" ht="15.75" hidden="1">
      <c r="A1078" s="26" t="s">
        <v>185</v>
      </c>
      <c r="B1078" s="205">
        <v>908</v>
      </c>
      <c r="C1078" s="206" t="s">
        <v>273</v>
      </c>
      <c r="D1078" s="206" t="s">
        <v>252</v>
      </c>
      <c r="E1078" s="203" t="s">
        <v>564</v>
      </c>
      <c r="F1078" s="206" t="s">
        <v>186</v>
      </c>
      <c r="G1078" s="7">
        <v>0</v>
      </c>
      <c r="H1078" s="7">
        <v>0</v>
      </c>
      <c r="I1078" s="27" t="e">
        <f t="shared" si="489"/>
        <v>#DIV/0!</v>
      </c>
      <c r="J1078" s="129"/>
    </row>
    <row r="1079" spans="1:10" ht="15.75">
      <c r="A1079" s="47" t="s">
        <v>565</v>
      </c>
      <c r="B1079" s="205">
        <v>908</v>
      </c>
      <c r="C1079" s="206" t="s">
        <v>273</v>
      </c>
      <c r="D1079" s="206" t="s">
        <v>252</v>
      </c>
      <c r="E1079" s="203" t="s">
        <v>566</v>
      </c>
      <c r="F1079" s="206"/>
      <c r="G1079" s="27">
        <f>G1080+G1082</f>
        <v>590.5</v>
      </c>
      <c r="H1079" s="27">
        <f aca="true" t="shared" si="509" ref="H1079">H1080+H1082</f>
        <v>156.8</v>
      </c>
      <c r="I1079" s="27">
        <f t="shared" si="489"/>
        <v>26.553767993226078</v>
      </c>
      <c r="J1079" s="129"/>
    </row>
    <row r="1080" spans="1:10" ht="31.5">
      <c r="A1080" s="33" t="s">
        <v>170</v>
      </c>
      <c r="B1080" s="205">
        <v>908</v>
      </c>
      <c r="C1080" s="206" t="s">
        <v>273</v>
      </c>
      <c r="D1080" s="206" t="s">
        <v>252</v>
      </c>
      <c r="E1080" s="203" t="s">
        <v>566</v>
      </c>
      <c r="F1080" s="206" t="s">
        <v>171</v>
      </c>
      <c r="G1080" s="27">
        <f>G1081</f>
        <v>590.5</v>
      </c>
      <c r="H1080" s="27">
        <f aca="true" t="shared" si="510" ref="H1080">H1081</f>
        <v>156.8</v>
      </c>
      <c r="I1080" s="27">
        <f t="shared" si="489"/>
        <v>26.553767993226078</v>
      </c>
      <c r="J1080" s="129"/>
    </row>
    <row r="1081" spans="1:12" ht="31.5">
      <c r="A1081" s="33" t="s">
        <v>172</v>
      </c>
      <c r="B1081" s="205">
        <v>908</v>
      </c>
      <c r="C1081" s="206" t="s">
        <v>273</v>
      </c>
      <c r="D1081" s="206" t="s">
        <v>252</v>
      </c>
      <c r="E1081" s="203" t="s">
        <v>566</v>
      </c>
      <c r="F1081" s="206" t="s">
        <v>173</v>
      </c>
      <c r="G1081" s="7">
        <f>200+20-60+1573-1142.5</f>
        <v>590.5</v>
      </c>
      <c r="H1081" s="7">
        <v>156.8</v>
      </c>
      <c r="I1081" s="27">
        <f t="shared" si="489"/>
        <v>26.553767993226078</v>
      </c>
      <c r="J1081" s="129"/>
      <c r="K1081" s="129"/>
      <c r="L1081" s="129"/>
    </row>
    <row r="1082" spans="1:10" ht="15.75" hidden="1">
      <c r="A1082" s="26" t="s">
        <v>174</v>
      </c>
      <c r="B1082" s="205">
        <v>908</v>
      </c>
      <c r="C1082" s="206" t="s">
        <v>273</v>
      </c>
      <c r="D1082" s="206" t="s">
        <v>252</v>
      </c>
      <c r="E1082" s="203" t="s">
        <v>566</v>
      </c>
      <c r="F1082" s="206" t="s">
        <v>184</v>
      </c>
      <c r="G1082" s="7">
        <f>G1083</f>
        <v>0</v>
      </c>
      <c r="H1082" s="7">
        <f aca="true" t="shared" si="511" ref="H1082">H1083</f>
        <v>0</v>
      </c>
      <c r="I1082" s="27" t="e">
        <f t="shared" si="489"/>
        <v>#DIV/0!</v>
      </c>
      <c r="J1082" s="129"/>
    </row>
    <row r="1083" spans="1:10" ht="15.75" hidden="1">
      <c r="A1083" s="26" t="s">
        <v>774</v>
      </c>
      <c r="B1083" s="205">
        <v>908</v>
      </c>
      <c r="C1083" s="206" t="s">
        <v>273</v>
      </c>
      <c r="D1083" s="206" t="s">
        <v>252</v>
      </c>
      <c r="E1083" s="203" t="s">
        <v>566</v>
      </c>
      <c r="F1083" s="206" t="s">
        <v>177</v>
      </c>
      <c r="G1083" s="7">
        <v>0</v>
      </c>
      <c r="H1083" s="7">
        <v>0</v>
      </c>
      <c r="I1083" s="27" t="e">
        <f t="shared" si="489"/>
        <v>#DIV/0!</v>
      </c>
      <c r="J1083" s="129"/>
    </row>
    <row r="1084" spans="1:10" ht="15.75">
      <c r="A1084" s="47" t="s">
        <v>567</v>
      </c>
      <c r="B1084" s="205">
        <v>908</v>
      </c>
      <c r="C1084" s="206" t="s">
        <v>273</v>
      </c>
      <c r="D1084" s="206" t="s">
        <v>252</v>
      </c>
      <c r="E1084" s="203" t="s">
        <v>568</v>
      </c>
      <c r="F1084" s="206"/>
      <c r="G1084" s="27">
        <f>G1085</f>
        <v>2330</v>
      </c>
      <c r="H1084" s="27">
        <f aca="true" t="shared" si="512" ref="H1084:H1085">H1085</f>
        <v>2083.7</v>
      </c>
      <c r="I1084" s="27">
        <f t="shared" si="489"/>
        <v>89.42918454935621</v>
      </c>
      <c r="J1084" s="129"/>
    </row>
    <row r="1085" spans="1:10" ht="31.5">
      <c r="A1085" s="33" t="s">
        <v>170</v>
      </c>
      <c r="B1085" s="205">
        <v>908</v>
      </c>
      <c r="C1085" s="206" t="s">
        <v>273</v>
      </c>
      <c r="D1085" s="206" t="s">
        <v>252</v>
      </c>
      <c r="E1085" s="203" t="s">
        <v>568</v>
      </c>
      <c r="F1085" s="206" t="s">
        <v>171</v>
      </c>
      <c r="G1085" s="27">
        <f>G1086</f>
        <v>2330</v>
      </c>
      <c r="H1085" s="27">
        <f t="shared" si="512"/>
        <v>2083.7</v>
      </c>
      <c r="I1085" s="27">
        <f t="shared" si="489"/>
        <v>89.42918454935621</v>
      </c>
      <c r="J1085" s="129"/>
    </row>
    <row r="1086" spans="1:11" ht="31.5">
      <c r="A1086" s="33" t="s">
        <v>172</v>
      </c>
      <c r="B1086" s="205">
        <v>908</v>
      </c>
      <c r="C1086" s="206" t="s">
        <v>273</v>
      </c>
      <c r="D1086" s="206" t="s">
        <v>252</v>
      </c>
      <c r="E1086" s="203" t="s">
        <v>568</v>
      </c>
      <c r="F1086" s="206" t="s">
        <v>173</v>
      </c>
      <c r="G1086" s="7">
        <f>278.2+171.8+1880</f>
        <v>2330</v>
      </c>
      <c r="H1086" s="7">
        <v>2083.7</v>
      </c>
      <c r="I1086" s="27">
        <f t="shared" si="489"/>
        <v>89.42918454935621</v>
      </c>
      <c r="J1086" s="306"/>
      <c r="K1086" s="129"/>
    </row>
    <row r="1087" spans="1:10" ht="15.75" hidden="1">
      <c r="A1087" s="47" t="s">
        <v>569</v>
      </c>
      <c r="B1087" s="205">
        <v>908</v>
      </c>
      <c r="C1087" s="206" t="s">
        <v>273</v>
      </c>
      <c r="D1087" s="206" t="s">
        <v>252</v>
      </c>
      <c r="E1087" s="203" t="s">
        <v>570</v>
      </c>
      <c r="F1087" s="206"/>
      <c r="G1087" s="27">
        <f>G1088</f>
        <v>0</v>
      </c>
      <c r="H1087" s="27">
        <f aca="true" t="shared" si="513" ref="H1087:H1088">H1088</f>
        <v>0</v>
      </c>
      <c r="I1087" s="27" t="e">
        <f t="shared" si="489"/>
        <v>#DIV/0!</v>
      </c>
      <c r="J1087" s="129"/>
    </row>
    <row r="1088" spans="1:10" ht="31.5" hidden="1">
      <c r="A1088" s="33" t="s">
        <v>170</v>
      </c>
      <c r="B1088" s="205">
        <v>908</v>
      </c>
      <c r="C1088" s="206" t="s">
        <v>273</v>
      </c>
      <c r="D1088" s="206" t="s">
        <v>252</v>
      </c>
      <c r="E1088" s="203" t="s">
        <v>570</v>
      </c>
      <c r="F1088" s="206" t="s">
        <v>171</v>
      </c>
      <c r="G1088" s="27">
        <f>G1089</f>
        <v>0</v>
      </c>
      <c r="H1088" s="27">
        <f t="shared" si="513"/>
        <v>0</v>
      </c>
      <c r="I1088" s="27" t="e">
        <f t="shared" si="489"/>
        <v>#DIV/0!</v>
      </c>
      <c r="J1088" s="129"/>
    </row>
    <row r="1089" spans="1:10" ht="31.5" hidden="1">
      <c r="A1089" s="33" t="s">
        <v>172</v>
      </c>
      <c r="B1089" s="205">
        <v>908</v>
      </c>
      <c r="C1089" s="206" t="s">
        <v>273</v>
      </c>
      <c r="D1089" s="206" t="s">
        <v>252</v>
      </c>
      <c r="E1089" s="203" t="s">
        <v>570</v>
      </c>
      <c r="F1089" s="206" t="s">
        <v>173</v>
      </c>
      <c r="G1089" s="27">
        <v>0</v>
      </c>
      <c r="H1089" s="27">
        <v>0</v>
      </c>
      <c r="I1089" s="27" t="e">
        <f t="shared" si="489"/>
        <v>#DIV/0!</v>
      </c>
      <c r="J1089" s="129"/>
    </row>
    <row r="1090" spans="1:10" ht="31.5" customHeight="1" hidden="1">
      <c r="A1090" s="196" t="s">
        <v>571</v>
      </c>
      <c r="B1090" s="205">
        <v>908</v>
      </c>
      <c r="C1090" s="206" t="s">
        <v>273</v>
      </c>
      <c r="D1090" s="206" t="s">
        <v>252</v>
      </c>
      <c r="E1090" s="203" t="s">
        <v>572</v>
      </c>
      <c r="F1090" s="206"/>
      <c r="G1090" s="27">
        <f>G1091</f>
        <v>0</v>
      </c>
      <c r="H1090" s="27">
        <f aca="true" t="shared" si="514" ref="H1090:H1091">H1091</f>
        <v>0</v>
      </c>
      <c r="I1090" s="27" t="e">
        <f t="shared" si="489"/>
        <v>#DIV/0!</v>
      </c>
      <c r="J1090" s="129"/>
    </row>
    <row r="1091" spans="1:10" ht="31.5" customHeight="1" hidden="1">
      <c r="A1091" s="33" t="s">
        <v>170</v>
      </c>
      <c r="B1091" s="205">
        <v>908</v>
      </c>
      <c r="C1091" s="206" t="s">
        <v>273</v>
      </c>
      <c r="D1091" s="206" t="s">
        <v>252</v>
      </c>
      <c r="E1091" s="203" t="s">
        <v>572</v>
      </c>
      <c r="F1091" s="206" t="s">
        <v>171</v>
      </c>
      <c r="G1091" s="27">
        <f>G1092</f>
        <v>0</v>
      </c>
      <c r="H1091" s="27">
        <f t="shared" si="514"/>
        <v>0</v>
      </c>
      <c r="I1091" s="27" t="e">
        <f t="shared" si="489"/>
        <v>#DIV/0!</v>
      </c>
      <c r="J1091" s="129"/>
    </row>
    <row r="1092" spans="1:10" ht="47.25" customHeight="1" hidden="1">
      <c r="A1092" s="33" t="s">
        <v>172</v>
      </c>
      <c r="B1092" s="205">
        <v>908</v>
      </c>
      <c r="C1092" s="206" t="s">
        <v>273</v>
      </c>
      <c r="D1092" s="206" t="s">
        <v>252</v>
      </c>
      <c r="E1092" s="203" t="s">
        <v>572</v>
      </c>
      <c r="F1092" s="206" t="s">
        <v>173</v>
      </c>
      <c r="G1092" s="27">
        <v>0</v>
      </c>
      <c r="H1092" s="27">
        <v>0</v>
      </c>
      <c r="I1092" s="27" t="e">
        <f t="shared" si="489"/>
        <v>#DIV/0!</v>
      </c>
      <c r="J1092" s="129"/>
    </row>
    <row r="1093" spans="1:10" ht="15.75">
      <c r="A1093" s="196" t="s">
        <v>573</v>
      </c>
      <c r="B1093" s="205">
        <v>908</v>
      </c>
      <c r="C1093" s="206" t="s">
        <v>273</v>
      </c>
      <c r="D1093" s="206" t="s">
        <v>252</v>
      </c>
      <c r="E1093" s="203" t="s">
        <v>574</v>
      </c>
      <c r="F1093" s="206"/>
      <c r="G1093" s="27">
        <f>G1094</f>
        <v>100</v>
      </c>
      <c r="H1093" s="27">
        <f aca="true" t="shared" si="515" ref="H1093:H1094">H1094</f>
        <v>50</v>
      </c>
      <c r="I1093" s="27">
        <f t="shared" si="489"/>
        <v>50</v>
      </c>
      <c r="J1093" s="129"/>
    </row>
    <row r="1094" spans="1:10" ht="31.5">
      <c r="A1094" s="26" t="s">
        <v>170</v>
      </c>
      <c r="B1094" s="205">
        <v>908</v>
      </c>
      <c r="C1094" s="206" t="s">
        <v>273</v>
      </c>
      <c r="D1094" s="206" t="s">
        <v>252</v>
      </c>
      <c r="E1094" s="203" t="s">
        <v>574</v>
      </c>
      <c r="F1094" s="206" t="s">
        <v>171</v>
      </c>
      <c r="G1094" s="27">
        <f>G1095</f>
        <v>100</v>
      </c>
      <c r="H1094" s="27">
        <f t="shared" si="515"/>
        <v>50</v>
      </c>
      <c r="I1094" s="27">
        <f t="shared" si="489"/>
        <v>50</v>
      </c>
      <c r="J1094" s="129"/>
    </row>
    <row r="1095" spans="1:10" ht="31.5">
      <c r="A1095" s="26" t="s">
        <v>172</v>
      </c>
      <c r="B1095" s="205">
        <v>908</v>
      </c>
      <c r="C1095" s="206" t="s">
        <v>273</v>
      </c>
      <c r="D1095" s="206" t="s">
        <v>252</v>
      </c>
      <c r="E1095" s="203" t="s">
        <v>574</v>
      </c>
      <c r="F1095" s="206" t="s">
        <v>173</v>
      </c>
      <c r="G1095" s="27">
        <v>100</v>
      </c>
      <c r="H1095" s="27">
        <v>50</v>
      </c>
      <c r="I1095" s="27">
        <f t="shared" si="489"/>
        <v>50</v>
      </c>
      <c r="J1095" s="129"/>
    </row>
    <row r="1096" spans="1:10" ht="15.75">
      <c r="A1096" s="26" t="s">
        <v>160</v>
      </c>
      <c r="B1096" s="205">
        <v>908</v>
      </c>
      <c r="C1096" s="203" t="s">
        <v>273</v>
      </c>
      <c r="D1096" s="203" t="s">
        <v>252</v>
      </c>
      <c r="E1096" s="203" t="s">
        <v>161</v>
      </c>
      <c r="F1096" s="203"/>
      <c r="G1096" s="27">
        <f>G1108+G1123</f>
        <v>83584.53</v>
      </c>
      <c r="H1096" s="27">
        <f aca="true" t="shared" si="516" ref="H1096">H1108+H1123</f>
        <v>72581.9</v>
      </c>
      <c r="I1096" s="27">
        <f t="shared" si="489"/>
        <v>86.8365234571517</v>
      </c>
      <c r="J1096" s="129"/>
    </row>
    <row r="1097" spans="1:10" ht="31.5" hidden="1">
      <c r="A1097" s="120" t="s">
        <v>742</v>
      </c>
      <c r="B1097" s="205">
        <v>908</v>
      </c>
      <c r="C1097" s="203" t="s">
        <v>273</v>
      </c>
      <c r="D1097" s="203" t="s">
        <v>252</v>
      </c>
      <c r="E1097" s="203" t="s">
        <v>575</v>
      </c>
      <c r="F1097" s="203"/>
      <c r="G1097" s="27">
        <f>G1098</f>
        <v>0</v>
      </c>
      <c r="H1097" s="27">
        <f aca="true" t="shared" si="517" ref="H1097:H1098">H1098</f>
        <v>0</v>
      </c>
      <c r="I1097" s="27" t="e">
        <f t="shared" si="489"/>
        <v>#DIV/0!</v>
      </c>
      <c r="J1097" s="129"/>
    </row>
    <row r="1098" spans="1:10" ht="31.5" hidden="1">
      <c r="A1098" s="26" t="s">
        <v>170</v>
      </c>
      <c r="B1098" s="205">
        <v>908</v>
      </c>
      <c r="C1098" s="203" t="s">
        <v>273</v>
      </c>
      <c r="D1098" s="203" t="s">
        <v>252</v>
      </c>
      <c r="E1098" s="203" t="s">
        <v>575</v>
      </c>
      <c r="F1098" s="203" t="s">
        <v>171</v>
      </c>
      <c r="G1098" s="27">
        <f>G1099</f>
        <v>0</v>
      </c>
      <c r="H1098" s="27">
        <f t="shared" si="517"/>
        <v>0</v>
      </c>
      <c r="I1098" s="27" t="e">
        <f t="shared" si="489"/>
        <v>#DIV/0!</v>
      </c>
      <c r="J1098" s="129"/>
    </row>
    <row r="1099" spans="1:10" ht="31.5" hidden="1">
      <c r="A1099" s="26" t="s">
        <v>172</v>
      </c>
      <c r="B1099" s="205">
        <v>908</v>
      </c>
      <c r="C1099" s="203" t="s">
        <v>273</v>
      </c>
      <c r="D1099" s="203" t="s">
        <v>252</v>
      </c>
      <c r="E1099" s="203" t="s">
        <v>575</v>
      </c>
      <c r="F1099" s="203" t="s">
        <v>173</v>
      </c>
      <c r="G1099" s="27">
        <v>0</v>
      </c>
      <c r="H1099" s="27">
        <v>0</v>
      </c>
      <c r="I1099" s="27" t="e">
        <f t="shared" si="489"/>
        <v>#DIV/0!</v>
      </c>
      <c r="J1099" s="129"/>
    </row>
    <row r="1100" spans="1:10" ht="31.5" hidden="1">
      <c r="A1100" s="37" t="s">
        <v>748</v>
      </c>
      <c r="B1100" s="205">
        <v>908</v>
      </c>
      <c r="C1100" s="203" t="s">
        <v>273</v>
      </c>
      <c r="D1100" s="203" t="s">
        <v>252</v>
      </c>
      <c r="E1100" s="203" t="s">
        <v>576</v>
      </c>
      <c r="F1100" s="203"/>
      <c r="G1100" s="27">
        <f>G1101+G1103</f>
        <v>0</v>
      </c>
      <c r="H1100" s="27">
        <f aca="true" t="shared" si="518" ref="H1100">H1101+H1103</f>
        <v>0</v>
      </c>
      <c r="I1100" s="27" t="e">
        <f t="shared" si="489"/>
        <v>#DIV/0!</v>
      </c>
      <c r="J1100" s="129"/>
    </row>
    <row r="1101" spans="1:10" ht="31.5" hidden="1">
      <c r="A1101" s="26" t="s">
        <v>170</v>
      </c>
      <c r="B1101" s="205">
        <v>908</v>
      </c>
      <c r="C1101" s="203" t="s">
        <v>273</v>
      </c>
      <c r="D1101" s="203" t="s">
        <v>252</v>
      </c>
      <c r="E1101" s="203" t="s">
        <v>576</v>
      </c>
      <c r="F1101" s="203" t="s">
        <v>171</v>
      </c>
      <c r="G1101" s="27">
        <f>G1102</f>
        <v>0</v>
      </c>
      <c r="H1101" s="27">
        <f aca="true" t="shared" si="519" ref="H1101">H1102</f>
        <v>0</v>
      </c>
      <c r="I1101" s="27" t="e">
        <f t="shared" si="489"/>
        <v>#DIV/0!</v>
      </c>
      <c r="J1101" s="129"/>
    </row>
    <row r="1102" spans="1:10" ht="31.5" hidden="1">
      <c r="A1102" s="26" t="s">
        <v>172</v>
      </c>
      <c r="B1102" s="205">
        <v>908</v>
      </c>
      <c r="C1102" s="203" t="s">
        <v>273</v>
      </c>
      <c r="D1102" s="203" t="s">
        <v>252</v>
      </c>
      <c r="E1102" s="203" t="s">
        <v>576</v>
      </c>
      <c r="F1102" s="203" t="s">
        <v>173</v>
      </c>
      <c r="G1102" s="27">
        <v>0</v>
      </c>
      <c r="H1102" s="27">
        <v>0</v>
      </c>
      <c r="I1102" s="27" t="e">
        <f t="shared" si="489"/>
        <v>#DIV/0!</v>
      </c>
      <c r="J1102" s="129"/>
    </row>
    <row r="1103" spans="1:10" ht="15.75" hidden="1">
      <c r="A1103" s="26" t="s">
        <v>174</v>
      </c>
      <c r="B1103" s="205">
        <v>908</v>
      </c>
      <c r="C1103" s="203" t="s">
        <v>273</v>
      </c>
      <c r="D1103" s="203" t="s">
        <v>252</v>
      </c>
      <c r="E1103" s="203" t="s">
        <v>576</v>
      </c>
      <c r="F1103" s="203" t="s">
        <v>184</v>
      </c>
      <c r="G1103" s="27">
        <f>G1104</f>
        <v>0</v>
      </c>
      <c r="H1103" s="27">
        <f aca="true" t="shared" si="520" ref="H1103">H1104</f>
        <v>0</v>
      </c>
      <c r="I1103" s="27" t="e">
        <f aca="true" t="shared" si="521" ref="I1103:I1166">H1103/G1103*100</f>
        <v>#DIV/0!</v>
      </c>
      <c r="J1103" s="129"/>
    </row>
    <row r="1104" spans="1:10" ht="15.75" hidden="1">
      <c r="A1104" s="26" t="s">
        <v>608</v>
      </c>
      <c r="B1104" s="205">
        <v>908</v>
      </c>
      <c r="C1104" s="203" t="s">
        <v>273</v>
      </c>
      <c r="D1104" s="203" t="s">
        <v>252</v>
      </c>
      <c r="E1104" s="203" t="s">
        <v>576</v>
      </c>
      <c r="F1104" s="203" t="s">
        <v>177</v>
      </c>
      <c r="G1104" s="27">
        <v>0</v>
      </c>
      <c r="H1104" s="27">
        <v>0</v>
      </c>
      <c r="I1104" s="27" t="e">
        <f t="shared" si="521"/>
        <v>#DIV/0!</v>
      </c>
      <c r="J1104" s="129"/>
    </row>
    <row r="1105" spans="1:10" ht="47.25" hidden="1">
      <c r="A1105" s="26" t="s">
        <v>749</v>
      </c>
      <c r="B1105" s="205">
        <v>908</v>
      </c>
      <c r="C1105" s="203" t="s">
        <v>273</v>
      </c>
      <c r="D1105" s="203" t="s">
        <v>252</v>
      </c>
      <c r="E1105" s="203" t="s">
        <v>750</v>
      </c>
      <c r="F1105" s="203"/>
      <c r="G1105" s="27">
        <f>G1106</f>
        <v>0</v>
      </c>
      <c r="H1105" s="27">
        <f aca="true" t="shared" si="522" ref="H1105:H1106">H1106</f>
        <v>0</v>
      </c>
      <c r="I1105" s="27" t="e">
        <f t="shared" si="521"/>
        <v>#DIV/0!</v>
      </c>
      <c r="J1105" s="129"/>
    </row>
    <row r="1106" spans="1:10" ht="31.5" hidden="1">
      <c r="A1106" s="26" t="s">
        <v>170</v>
      </c>
      <c r="B1106" s="205">
        <v>908</v>
      </c>
      <c r="C1106" s="203" t="s">
        <v>273</v>
      </c>
      <c r="D1106" s="203" t="s">
        <v>252</v>
      </c>
      <c r="E1106" s="203" t="s">
        <v>750</v>
      </c>
      <c r="F1106" s="203" t="s">
        <v>171</v>
      </c>
      <c r="G1106" s="27">
        <f>G1107</f>
        <v>0</v>
      </c>
      <c r="H1106" s="27">
        <f t="shared" si="522"/>
        <v>0</v>
      </c>
      <c r="I1106" s="27" t="e">
        <f t="shared" si="521"/>
        <v>#DIV/0!</v>
      </c>
      <c r="J1106" s="129"/>
    </row>
    <row r="1107" spans="1:10" ht="31.5" hidden="1">
      <c r="A1107" s="26" t="s">
        <v>172</v>
      </c>
      <c r="B1107" s="205">
        <v>908</v>
      </c>
      <c r="C1107" s="203" t="s">
        <v>273</v>
      </c>
      <c r="D1107" s="203" t="s">
        <v>252</v>
      </c>
      <c r="E1107" s="203" t="s">
        <v>750</v>
      </c>
      <c r="F1107" s="203" t="s">
        <v>173</v>
      </c>
      <c r="G1107" s="27">
        <v>0</v>
      </c>
      <c r="H1107" s="27">
        <v>0</v>
      </c>
      <c r="I1107" s="27" t="e">
        <f t="shared" si="521"/>
        <v>#DIV/0!</v>
      </c>
      <c r="J1107" s="129"/>
    </row>
    <row r="1108" spans="1:10" ht="15.75">
      <c r="A1108" s="26" t="s">
        <v>180</v>
      </c>
      <c r="B1108" s="205">
        <v>908</v>
      </c>
      <c r="C1108" s="203" t="s">
        <v>273</v>
      </c>
      <c r="D1108" s="203" t="s">
        <v>252</v>
      </c>
      <c r="E1108" s="203" t="s">
        <v>181</v>
      </c>
      <c r="F1108" s="203"/>
      <c r="G1108" s="27">
        <f>G1109+G1115+G1129+G1120</f>
        <v>7871.2</v>
      </c>
      <c r="H1108" s="27">
        <f aca="true" t="shared" si="523" ref="H1108">H1109+H1115+H1129+H1120</f>
        <v>7857.5</v>
      </c>
      <c r="I1108" s="27">
        <f t="shared" si="521"/>
        <v>99.82594775891859</v>
      </c>
      <c r="J1108" s="129"/>
    </row>
    <row r="1109" spans="1:10" ht="15.75">
      <c r="A1109" s="37" t="s">
        <v>577</v>
      </c>
      <c r="B1109" s="205">
        <v>908</v>
      </c>
      <c r="C1109" s="203" t="s">
        <v>273</v>
      </c>
      <c r="D1109" s="203" t="s">
        <v>252</v>
      </c>
      <c r="E1109" s="203" t="s">
        <v>578</v>
      </c>
      <c r="F1109" s="203"/>
      <c r="G1109" s="27">
        <f>G1110+G1112</f>
        <v>13.699999999999818</v>
      </c>
      <c r="H1109" s="27">
        <f aca="true" t="shared" si="524" ref="H1109">H1110+H1112</f>
        <v>0</v>
      </c>
      <c r="I1109" s="27">
        <f t="shared" si="521"/>
        <v>0</v>
      </c>
      <c r="J1109" s="129"/>
    </row>
    <row r="1110" spans="1:10" ht="31.5">
      <c r="A1110" s="26" t="s">
        <v>170</v>
      </c>
      <c r="B1110" s="205">
        <v>908</v>
      </c>
      <c r="C1110" s="203" t="s">
        <v>273</v>
      </c>
      <c r="D1110" s="203" t="s">
        <v>252</v>
      </c>
      <c r="E1110" s="203" t="s">
        <v>578</v>
      </c>
      <c r="F1110" s="203" t="s">
        <v>171</v>
      </c>
      <c r="G1110" s="27">
        <f>G1111</f>
        <v>13.699999999999818</v>
      </c>
      <c r="H1110" s="27">
        <f aca="true" t="shared" si="525" ref="H1110">H1111</f>
        <v>0</v>
      </c>
      <c r="I1110" s="27">
        <f t="shared" si="521"/>
        <v>0</v>
      </c>
      <c r="J1110" s="129"/>
    </row>
    <row r="1111" spans="1:15" ht="33" customHeight="1">
      <c r="A1111" s="26" t="s">
        <v>172</v>
      </c>
      <c r="B1111" s="205">
        <v>908</v>
      </c>
      <c r="C1111" s="203" t="s">
        <v>273</v>
      </c>
      <c r="D1111" s="203" t="s">
        <v>252</v>
      </c>
      <c r="E1111" s="203" t="s">
        <v>578</v>
      </c>
      <c r="F1111" s="203" t="s">
        <v>173</v>
      </c>
      <c r="G1111" s="295">
        <f>10000-6000-2399.4+20-106.9-1500</f>
        <v>13.699999999999818</v>
      </c>
      <c r="H1111" s="295">
        <v>0</v>
      </c>
      <c r="I1111" s="27">
        <f t="shared" si="521"/>
        <v>0</v>
      </c>
      <c r="J1111" s="129"/>
      <c r="K1111" s="129"/>
      <c r="L1111" s="129"/>
      <c r="M1111" s="129"/>
      <c r="N1111" s="129"/>
      <c r="O1111" s="129"/>
    </row>
    <row r="1112" spans="1:10" ht="15.75" hidden="1">
      <c r="A1112" s="26" t="s">
        <v>174</v>
      </c>
      <c r="B1112" s="205">
        <v>908</v>
      </c>
      <c r="C1112" s="203" t="s">
        <v>273</v>
      </c>
      <c r="D1112" s="203" t="s">
        <v>252</v>
      </c>
      <c r="E1112" s="203" t="s">
        <v>578</v>
      </c>
      <c r="F1112" s="203" t="s">
        <v>184</v>
      </c>
      <c r="G1112" s="27"/>
      <c r="H1112" s="27"/>
      <c r="I1112" s="27" t="e">
        <f t="shared" si="521"/>
        <v>#DIV/0!</v>
      </c>
      <c r="J1112" s="129"/>
    </row>
    <row r="1113" spans="1:10" ht="63" customHeight="1" hidden="1">
      <c r="A1113" s="26" t="s">
        <v>223</v>
      </c>
      <c r="B1113" s="205">
        <v>908</v>
      </c>
      <c r="C1113" s="203" t="s">
        <v>273</v>
      </c>
      <c r="D1113" s="203" t="s">
        <v>252</v>
      </c>
      <c r="E1113" s="203" t="s">
        <v>578</v>
      </c>
      <c r="F1113" s="203" t="s">
        <v>199</v>
      </c>
      <c r="G1113" s="27">
        <v>0</v>
      </c>
      <c r="H1113" s="27">
        <v>0</v>
      </c>
      <c r="I1113" s="27" t="e">
        <f t="shared" si="521"/>
        <v>#DIV/0!</v>
      </c>
      <c r="J1113" s="129"/>
    </row>
    <row r="1114" spans="1:10" ht="15.75" hidden="1">
      <c r="A1114" s="26" t="s">
        <v>608</v>
      </c>
      <c r="B1114" s="205">
        <v>908</v>
      </c>
      <c r="C1114" s="203" t="s">
        <v>273</v>
      </c>
      <c r="D1114" s="203" t="s">
        <v>252</v>
      </c>
      <c r="E1114" s="203" t="s">
        <v>578</v>
      </c>
      <c r="F1114" s="203" t="s">
        <v>177</v>
      </c>
      <c r="G1114" s="27">
        <v>0</v>
      </c>
      <c r="H1114" s="27">
        <v>0</v>
      </c>
      <c r="I1114" s="27" t="e">
        <f t="shared" si="521"/>
        <v>#DIV/0!</v>
      </c>
      <c r="J1114" s="129"/>
    </row>
    <row r="1115" spans="1:10" ht="15.75">
      <c r="A1115" s="26" t="s">
        <v>579</v>
      </c>
      <c r="B1115" s="205">
        <v>908</v>
      </c>
      <c r="C1115" s="203" t="s">
        <v>273</v>
      </c>
      <c r="D1115" s="203" t="s">
        <v>252</v>
      </c>
      <c r="E1115" s="203" t="s">
        <v>580</v>
      </c>
      <c r="F1115" s="203"/>
      <c r="G1115" s="27">
        <f>G1118+G1116</f>
        <v>7857.5</v>
      </c>
      <c r="H1115" s="27">
        <f aca="true" t="shared" si="526" ref="H1115">H1118+H1116</f>
        <v>7857.5</v>
      </c>
      <c r="I1115" s="27">
        <f t="shared" si="521"/>
        <v>100</v>
      </c>
      <c r="J1115" s="129"/>
    </row>
    <row r="1116" spans="1:10" ht="31.5">
      <c r="A1116" s="26" t="s">
        <v>170</v>
      </c>
      <c r="B1116" s="205">
        <v>908</v>
      </c>
      <c r="C1116" s="203" t="s">
        <v>273</v>
      </c>
      <c r="D1116" s="203" t="s">
        <v>252</v>
      </c>
      <c r="E1116" s="203" t="s">
        <v>580</v>
      </c>
      <c r="F1116" s="203" t="s">
        <v>171</v>
      </c>
      <c r="G1116" s="27">
        <f>G1117</f>
        <v>6970.1</v>
      </c>
      <c r="H1116" s="27">
        <f aca="true" t="shared" si="527" ref="H1116">H1117</f>
        <v>6970.1</v>
      </c>
      <c r="I1116" s="27">
        <f t="shared" si="521"/>
        <v>100</v>
      </c>
      <c r="J1116" s="129"/>
    </row>
    <row r="1117" spans="1:10" ht="34.5" customHeight="1">
      <c r="A1117" s="26" t="s">
        <v>172</v>
      </c>
      <c r="B1117" s="205">
        <v>908</v>
      </c>
      <c r="C1117" s="203" t="s">
        <v>273</v>
      </c>
      <c r="D1117" s="203" t="s">
        <v>252</v>
      </c>
      <c r="E1117" s="203" t="s">
        <v>580</v>
      </c>
      <c r="F1117" s="203" t="s">
        <v>173</v>
      </c>
      <c r="G1117" s="27">
        <f>5200-2593.1-6.9+1280.1+1500+447.5+1142.5</f>
        <v>6970.1</v>
      </c>
      <c r="H1117" s="27">
        <v>6970.1</v>
      </c>
      <c r="I1117" s="27">
        <f t="shared" si="521"/>
        <v>100</v>
      </c>
      <c r="J1117" s="129"/>
    </row>
    <row r="1118" spans="1:10" ht="15.75">
      <c r="A1118" s="26" t="s">
        <v>174</v>
      </c>
      <c r="B1118" s="205">
        <v>908</v>
      </c>
      <c r="C1118" s="203" t="s">
        <v>273</v>
      </c>
      <c r="D1118" s="203" t="s">
        <v>252</v>
      </c>
      <c r="E1118" s="203" t="s">
        <v>580</v>
      </c>
      <c r="F1118" s="203" t="s">
        <v>184</v>
      </c>
      <c r="G1118" s="27">
        <f>G1119</f>
        <v>887.4000000000001</v>
      </c>
      <c r="H1118" s="27">
        <f aca="true" t="shared" si="528" ref="H1118">H1119</f>
        <v>887.4</v>
      </c>
      <c r="I1118" s="27">
        <f t="shared" si="521"/>
        <v>99.99999999999999</v>
      </c>
      <c r="J1118" s="129"/>
    </row>
    <row r="1119" spans="1:10" ht="15.75">
      <c r="A1119" s="26" t="s">
        <v>185</v>
      </c>
      <c r="B1119" s="205">
        <v>908</v>
      </c>
      <c r="C1119" s="203" t="s">
        <v>273</v>
      </c>
      <c r="D1119" s="203" t="s">
        <v>252</v>
      </c>
      <c r="E1119" s="203" t="s">
        <v>580</v>
      </c>
      <c r="F1119" s="203" t="s">
        <v>186</v>
      </c>
      <c r="G1119" s="27">
        <f>6.9+1236.4+91.6-447.5</f>
        <v>887.4000000000001</v>
      </c>
      <c r="H1119" s="27">
        <v>887.4</v>
      </c>
      <c r="I1119" s="27">
        <f t="shared" si="521"/>
        <v>99.99999999999999</v>
      </c>
      <c r="J1119" s="129"/>
    </row>
    <row r="1120" spans="1:10" ht="15.75" hidden="1">
      <c r="A1120" s="26" t="s">
        <v>182</v>
      </c>
      <c r="B1120" s="205">
        <v>908</v>
      </c>
      <c r="C1120" s="203" t="s">
        <v>273</v>
      </c>
      <c r="D1120" s="203" t="s">
        <v>252</v>
      </c>
      <c r="E1120" s="203" t="s">
        <v>183</v>
      </c>
      <c r="F1120" s="203"/>
      <c r="G1120" s="27">
        <f>G1121</f>
        <v>0</v>
      </c>
      <c r="H1120" s="27">
        <f aca="true" t="shared" si="529" ref="H1120:H1121">H1121</f>
        <v>0</v>
      </c>
      <c r="I1120" s="27" t="e">
        <f t="shared" si="521"/>
        <v>#DIV/0!</v>
      </c>
      <c r="J1120" s="129"/>
    </row>
    <row r="1121" spans="1:10" ht="15.75" hidden="1">
      <c r="A1121" s="26" t="s">
        <v>174</v>
      </c>
      <c r="B1121" s="205">
        <v>908</v>
      </c>
      <c r="C1121" s="203" t="s">
        <v>273</v>
      </c>
      <c r="D1121" s="203" t="s">
        <v>252</v>
      </c>
      <c r="E1121" s="203" t="s">
        <v>183</v>
      </c>
      <c r="F1121" s="203" t="s">
        <v>184</v>
      </c>
      <c r="G1121" s="27">
        <f>G1122</f>
        <v>0</v>
      </c>
      <c r="H1121" s="27">
        <f t="shared" si="529"/>
        <v>0</v>
      </c>
      <c r="I1121" s="27" t="e">
        <f t="shared" si="521"/>
        <v>#DIV/0!</v>
      </c>
      <c r="J1121" s="129"/>
    </row>
    <row r="1122" spans="1:10" ht="15.75" hidden="1">
      <c r="A1122" s="26" t="s">
        <v>185</v>
      </c>
      <c r="B1122" s="205">
        <v>908</v>
      </c>
      <c r="C1122" s="203" t="s">
        <v>273</v>
      </c>
      <c r="D1122" s="203" t="s">
        <v>252</v>
      </c>
      <c r="E1122" s="203" t="s">
        <v>183</v>
      </c>
      <c r="F1122" s="203" t="s">
        <v>186</v>
      </c>
      <c r="G1122" s="27">
        <v>0</v>
      </c>
      <c r="H1122" s="27">
        <v>0</v>
      </c>
      <c r="I1122" s="27" t="e">
        <f t="shared" si="521"/>
        <v>#DIV/0!</v>
      </c>
      <c r="J1122" s="129"/>
    </row>
    <row r="1123" spans="1:10" s="300" customFormat="1" ht="31.5">
      <c r="A1123" s="26" t="s">
        <v>1052</v>
      </c>
      <c r="B1123" s="205">
        <v>908</v>
      </c>
      <c r="C1123" s="203" t="s">
        <v>273</v>
      </c>
      <c r="D1123" s="203" t="s">
        <v>252</v>
      </c>
      <c r="E1123" s="203" t="s">
        <v>1053</v>
      </c>
      <c r="F1123" s="203"/>
      <c r="G1123" s="27">
        <f>G1124+G1132</f>
        <v>75713.33</v>
      </c>
      <c r="H1123" s="27">
        <f aca="true" t="shared" si="530" ref="H1123">H1124+H1132</f>
        <v>64724.399999999994</v>
      </c>
      <c r="I1123" s="27">
        <f t="shared" si="521"/>
        <v>85.4861356646181</v>
      </c>
      <c r="J1123" s="129"/>
    </row>
    <row r="1124" spans="1:10" ht="31.5">
      <c r="A1124" s="26" t="s">
        <v>1054</v>
      </c>
      <c r="B1124" s="205">
        <v>908</v>
      </c>
      <c r="C1124" s="203" t="s">
        <v>273</v>
      </c>
      <c r="D1124" s="203" t="s">
        <v>252</v>
      </c>
      <c r="E1124" s="203" t="s">
        <v>1055</v>
      </c>
      <c r="F1124" s="203"/>
      <c r="G1124" s="27">
        <f>G1125+G1127</f>
        <v>20500</v>
      </c>
      <c r="H1124" s="27">
        <f aca="true" t="shared" si="531" ref="H1124">H1125+H1127</f>
        <v>15504.3</v>
      </c>
      <c r="I1124" s="27">
        <f t="shared" si="521"/>
        <v>75.63073170731707</v>
      </c>
      <c r="J1124" s="129"/>
    </row>
    <row r="1125" spans="1:10" ht="31.5">
      <c r="A1125" s="26" t="s">
        <v>170</v>
      </c>
      <c r="B1125" s="205">
        <v>908</v>
      </c>
      <c r="C1125" s="203" t="s">
        <v>273</v>
      </c>
      <c r="D1125" s="203" t="s">
        <v>252</v>
      </c>
      <c r="E1125" s="203" t="s">
        <v>1055</v>
      </c>
      <c r="F1125" s="203" t="s">
        <v>171</v>
      </c>
      <c r="G1125" s="27">
        <f>G1126</f>
        <v>5867</v>
      </c>
      <c r="H1125" s="27">
        <f aca="true" t="shared" si="532" ref="H1125">H1126</f>
        <v>871.3</v>
      </c>
      <c r="I1125" s="27">
        <f t="shared" si="521"/>
        <v>14.850860746548491</v>
      </c>
      <c r="J1125" s="129"/>
    </row>
    <row r="1126" spans="1:10" ht="31.5">
      <c r="A1126" s="26" t="s">
        <v>172</v>
      </c>
      <c r="B1126" s="205">
        <v>908</v>
      </c>
      <c r="C1126" s="203" t="s">
        <v>273</v>
      </c>
      <c r="D1126" s="203" t="s">
        <v>252</v>
      </c>
      <c r="E1126" s="203" t="s">
        <v>1055</v>
      </c>
      <c r="F1126" s="203" t="s">
        <v>173</v>
      </c>
      <c r="G1126" s="27">
        <v>5867</v>
      </c>
      <c r="H1126" s="27">
        <v>871.3</v>
      </c>
      <c r="I1126" s="27">
        <f t="shared" si="521"/>
        <v>14.850860746548491</v>
      </c>
      <c r="J1126" s="129"/>
    </row>
    <row r="1127" spans="1:10" ht="31.5">
      <c r="A1127" s="288" t="s">
        <v>1091</v>
      </c>
      <c r="B1127" s="205">
        <v>908</v>
      </c>
      <c r="C1127" s="203" t="s">
        <v>273</v>
      </c>
      <c r="D1127" s="203" t="s">
        <v>252</v>
      </c>
      <c r="E1127" s="203" t="s">
        <v>928</v>
      </c>
      <c r="F1127" s="203" t="s">
        <v>1092</v>
      </c>
      <c r="G1127" s="27">
        <f>G1128</f>
        <v>14633</v>
      </c>
      <c r="H1127" s="27">
        <f aca="true" t="shared" si="533" ref="H1127">H1128</f>
        <v>14633</v>
      </c>
      <c r="I1127" s="27">
        <f t="shared" si="521"/>
        <v>100</v>
      </c>
      <c r="J1127" s="129"/>
    </row>
    <row r="1128" spans="1:10" ht="15.75">
      <c r="A1128" s="288" t="s">
        <v>1093</v>
      </c>
      <c r="B1128" s="205">
        <v>908</v>
      </c>
      <c r="C1128" s="203" t="s">
        <v>273</v>
      </c>
      <c r="D1128" s="203" t="s">
        <v>252</v>
      </c>
      <c r="E1128" s="203" t="s">
        <v>928</v>
      </c>
      <c r="F1128" s="203" t="s">
        <v>1094</v>
      </c>
      <c r="G1128" s="27">
        <v>14633</v>
      </c>
      <c r="H1128" s="27">
        <v>14633</v>
      </c>
      <c r="I1128" s="27">
        <f t="shared" si="521"/>
        <v>100</v>
      </c>
      <c r="J1128" s="129"/>
    </row>
    <row r="1129" spans="1:10" ht="47.25" hidden="1">
      <c r="A1129" s="26" t="s">
        <v>964</v>
      </c>
      <c r="B1129" s="205">
        <v>908</v>
      </c>
      <c r="C1129" s="203" t="s">
        <v>273</v>
      </c>
      <c r="D1129" s="203" t="s">
        <v>252</v>
      </c>
      <c r="E1129" s="203" t="s">
        <v>1064</v>
      </c>
      <c r="F1129" s="203"/>
      <c r="G1129" s="27">
        <f>G1130</f>
        <v>0</v>
      </c>
      <c r="H1129" s="27">
        <f aca="true" t="shared" si="534" ref="H1129:H1130">H1130</f>
        <v>0</v>
      </c>
      <c r="I1129" s="27" t="e">
        <f t="shared" si="521"/>
        <v>#DIV/0!</v>
      </c>
      <c r="J1129" s="129"/>
    </row>
    <row r="1130" spans="1:10" ht="31.5" hidden="1">
      <c r="A1130" s="26" t="s">
        <v>170</v>
      </c>
      <c r="B1130" s="205">
        <v>908</v>
      </c>
      <c r="C1130" s="203" t="s">
        <v>273</v>
      </c>
      <c r="D1130" s="203" t="s">
        <v>252</v>
      </c>
      <c r="E1130" s="203" t="s">
        <v>1064</v>
      </c>
      <c r="F1130" s="203" t="s">
        <v>171</v>
      </c>
      <c r="G1130" s="27">
        <f>G1131</f>
        <v>0</v>
      </c>
      <c r="H1130" s="27">
        <f t="shared" si="534"/>
        <v>0</v>
      </c>
      <c r="I1130" s="27" t="e">
        <f t="shared" si="521"/>
        <v>#DIV/0!</v>
      </c>
      <c r="J1130" s="129"/>
    </row>
    <row r="1131" spans="1:10" ht="31.5" hidden="1">
      <c r="A1131" s="26" t="s">
        <v>172</v>
      </c>
      <c r="B1131" s="205">
        <v>908</v>
      </c>
      <c r="C1131" s="203" t="s">
        <v>273</v>
      </c>
      <c r="D1131" s="203" t="s">
        <v>252</v>
      </c>
      <c r="E1131" s="203" t="s">
        <v>1064</v>
      </c>
      <c r="F1131" s="203" t="s">
        <v>173</v>
      </c>
      <c r="G1131" s="27">
        <v>0</v>
      </c>
      <c r="H1131" s="27">
        <v>0</v>
      </c>
      <c r="I1131" s="27" t="e">
        <f t="shared" si="521"/>
        <v>#DIV/0!</v>
      </c>
      <c r="J1131" s="129"/>
    </row>
    <row r="1132" spans="1:10" ht="47.25">
      <c r="A1132" s="117" t="s">
        <v>1066</v>
      </c>
      <c r="B1132" s="205">
        <v>908</v>
      </c>
      <c r="C1132" s="203" t="s">
        <v>273</v>
      </c>
      <c r="D1132" s="203" t="s">
        <v>252</v>
      </c>
      <c r="E1132" s="203" t="s">
        <v>1065</v>
      </c>
      <c r="F1132" s="203"/>
      <c r="G1132" s="27">
        <f>G1133</f>
        <v>55213.33</v>
      </c>
      <c r="H1132" s="27">
        <f aca="true" t="shared" si="535" ref="H1132:H1133">H1133</f>
        <v>49220.1</v>
      </c>
      <c r="I1132" s="27">
        <f t="shared" si="521"/>
        <v>89.14532052314178</v>
      </c>
      <c r="J1132" s="129"/>
    </row>
    <row r="1133" spans="1:10" ht="31.5">
      <c r="A1133" s="288" t="s">
        <v>1091</v>
      </c>
      <c r="B1133" s="205">
        <v>908</v>
      </c>
      <c r="C1133" s="203" t="s">
        <v>273</v>
      </c>
      <c r="D1133" s="203" t="s">
        <v>252</v>
      </c>
      <c r="E1133" s="203" t="s">
        <v>1065</v>
      </c>
      <c r="F1133" s="203" t="s">
        <v>1092</v>
      </c>
      <c r="G1133" s="27">
        <f>G1134</f>
        <v>55213.33</v>
      </c>
      <c r="H1133" s="27">
        <f t="shared" si="535"/>
        <v>49220.1</v>
      </c>
      <c r="I1133" s="27">
        <f t="shared" si="521"/>
        <v>89.14532052314178</v>
      </c>
      <c r="J1133" s="129"/>
    </row>
    <row r="1134" spans="1:10" ht="15.75">
      <c r="A1134" s="288" t="s">
        <v>1093</v>
      </c>
      <c r="B1134" s="205">
        <v>908</v>
      </c>
      <c r="C1134" s="203" t="s">
        <v>273</v>
      </c>
      <c r="D1134" s="203" t="s">
        <v>252</v>
      </c>
      <c r="E1134" s="203" t="s">
        <v>1065</v>
      </c>
      <c r="F1134" s="203" t="s">
        <v>1094</v>
      </c>
      <c r="G1134" s="27">
        <v>55213.33</v>
      </c>
      <c r="H1134" s="27">
        <v>49220.1</v>
      </c>
      <c r="I1134" s="27">
        <f t="shared" si="521"/>
        <v>89.14532052314178</v>
      </c>
      <c r="J1134" s="129"/>
    </row>
    <row r="1135" spans="1:10" ht="15.75">
      <c r="A1135" s="24" t="s">
        <v>581</v>
      </c>
      <c r="B1135" s="202">
        <v>908</v>
      </c>
      <c r="C1135" s="204" t="s">
        <v>273</v>
      </c>
      <c r="D1135" s="204" t="s">
        <v>254</v>
      </c>
      <c r="E1135" s="204"/>
      <c r="F1135" s="204"/>
      <c r="G1135" s="22">
        <f>G1136++G1173+G1169</f>
        <v>7181.889999999999</v>
      </c>
      <c r="H1135" s="22">
        <f aca="true" t="shared" si="536" ref="H1135">H1136++H1173+H1169</f>
        <v>4304.1</v>
      </c>
      <c r="I1135" s="22">
        <f t="shared" si="521"/>
        <v>59.92990703004364</v>
      </c>
      <c r="J1135" s="129"/>
    </row>
    <row r="1136" spans="1:10" ht="34.5" customHeight="1">
      <c r="A1136" s="26" t="s">
        <v>582</v>
      </c>
      <c r="B1136" s="205">
        <v>908</v>
      </c>
      <c r="C1136" s="203" t="s">
        <v>273</v>
      </c>
      <c r="D1136" s="203" t="s">
        <v>254</v>
      </c>
      <c r="E1136" s="203" t="s">
        <v>583</v>
      </c>
      <c r="F1136" s="203"/>
      <c r="G1136" s="27">
        <f>G1137+G1152</f>
        <v>3201.3699999999994</v>
      </c>
      <c r="H1136" s="27">
        <f aca="true" t="shared" si="537" ref="H1136">H1137+H1152</f>
        <v>1768.2</v>
      </c>
      <c r="I1136" s="27">
        <f t="shared" si="521"/>
        <v>55.23260354160876</v>
      </c>
      <c r="J1136" s="134"/>
    </row>
    <row r="1137" spans="1:10" ht="35.25" customHeight="1">
      <c r="A1137" s="26" t="s">
        <v>584</v>
      </c>
      <c r="B1137" s="205">
        <v>908</v>
      </c>
      <c r="C1137" s="203" t="s">
        <v>273</v>
      </c>
      <c r="D1137" s="203" t="s">
        <v>254</v>
      </c>
      <c r="E1137" s="203" t="s">
        <v>585</v>
      </c>
      <c r="F1137" s="203"/>
      <c r="G1137" s="27">
        <f>G1138+G1141+G1146+G1149</f>
        <v>2478.8699999999994</v>
      </c>
      <c r="H1137" s="27">
        <f aca="true" t="shared" si="538" ref="H1137">H1138+H1141+H1146+H1149</f>
        <v>1133</v>
      </c>
      <c r="I1137" s="27">
        <f t="shared" si="521"/>
        <v>45.70630972983659</v>
      </c>
      <c r="J1137" s="129"/>
    </row>
    <row r="1138" spans="1:10" ht="19.5" customHeight="1">
      <c r="A1138" s="26" t="s">
        <v>586</v>
      </c>
      <c r="B1138" s="205">
        <v>908</v>
      </c>
      <c r="C1138" s="203" t="s">
        <v>273</v>
      </c>
      <c r="D1138" s="203" t="s">
        <v>254</v>
      </c>
      <c r="E1138" s="203" t="s">
        <v>587</v>
      </c>
      <c r="F1138" s="203"/>
      <c r="G1138" s="27">
        <f>G1139</f>
        <v>100</v>
      </c>
      <c r="H1138" s="27">
        <f aca="true" t="shared" si="539" ref="H1138:H1139">H1139</f>
        <v>0</v>
      </c>
      <c r="I1138" s="27">
        <f t="shared" si="521"/>
        <v>0</v>
      </c>
      <c r="J1138" s="129"/>
    </row>
    <row r="1139" spans="1:10" ht="31.5">
      <c r="A1139" s="26" t="s">
        <v>170</v>
      </c>
      <c r="B1139" s="205">
        <v>908</v>
      </c>
      <c r="C1139" s="203" t="s">
        <v>273</v>
      </c>
      <c r="D1139" s="203" t="s">
        <v>254</v>
      </c>
      <c r="E1139" s="203" t="s">
        <v>587</v>
      </c>
      <c r="F1139" s="203" t="s">
        <v>171</v>
      </c>
      <c r="G1139" s="27">
        <f>G1140</f>
        <v>100</v>
      </c>
      <c r="H1139" s="27">
        <f t="shared" si="539"/>
        <v>0</v>
      </c>
      <c r="I1139" s="27">
        <f t="shared" si="521"/>
        <v>0</v>
      </c>
      <c r="J1139" s="129"/>
    </row>
    <row r="1140" spans="1:11" ht="31.5">
      <c r="A1140" s="26" t="s">
        <v>172</v>
      </c>
      <c r="B1140" s="205">
        <v>908</v>
      </c>
      <c r="C1140" s="203" t="s">
        <v>273</v>
      </c>
      <c r="D1140" s="203" t="s">
        <v>254</v>
      </c>
      <c r="E1140" s="203" t="s">
        <v>587</v>
      </c>
      <c r="F1140" s="203" t="s">
        <v>173</v>
      </c>
      <c r="G1140" s="27">
        <f>356-356+371-371+100</f>
        <v>100</v>
      </c>
      <c r="H1140" s="27">
        <v>0</v>
      </c>
      <c r="I1140" s="27">
        <f t="shared" si="521"/>
        <v>0</v>
      </c>
      <c r="J1140" s="129"/>
      <c r="K1140" s="129"/>
    </row>
    <row r="1141" spans="1:10" ht="15.75">
      <c r="A1141" s="26" t="s">
        <v>588</v>
      </c>
      <c r="B1141" s="205">
        <v>908</v>
      </c>
      <c r="C1141" s="203" t="s">
        <v>273</v>
      </c>
      <c r="D1141" s="203" t="s">
        <v>254</v>
      </c>
      <c r="E1141" s="203" t="s">
        <v>589</v>
      </c>
      <c r="F1141" s="203"/>
      <c r="G1141" s="27">
        <f>G1142+G1144</f>
        <v>602</v>
      </c>
      <c r="H1141" s="27">
        <f aca="true" t="shared" si="540" ref="H1141">H1142+H1144</f>
        <v>481.7</v>
      </c>
      <c r="I1141" s="27">
        <f t="shared" si="521"/>
        <v>80.01661129568106</v>
      </c>
      <c r="J1141" s="129"/>
    </row>
    <row r="1142" spans="1:10" ht="31.5">
      <c r="A1142" s="26" t="s">
        <v>170</v>
      </c>
      <c r="B1142" s="205">
        <v>908</v>
      </c>
      <c r="C1142" s="203" t="s">
        <v>273</v>
      </c>
      <c r="D1142" s="203" t="s">
        <v>254</v>
      </c>
      <c r="E1142" s="203" t="s">
        <v>589</v>
      </c>
      <c r="F1142" s="203" t="s">
        <v>171</v>
      </c>
      <c r="G1142" s="27">
        <f>G1143</f>
        <v>560.7</v>
      </c>
      <c r="H1142" s="27">
        <f aca="true" t="shared" si="541" ref="H1142">H1143</f>
        <v>440.5</v>
      </c>
      <c r="I1142" s="27">
        <f t="shared" si="521"/>
        <v>78.5625111467808</v>
      </c>
      <c r="J1142" s="129"/>
    </row>
    <row r="1143" spans="1:11" ht="31.5">
      <c r="A1143" s="26" t="s">
        <v>172</v>
      </c>
      <c r="B1143" s="205">
        <v>908</v>
      </c>
      <c r="C1143" s="203" t="s">
        <v>273</v>
      </c>
      <c r="D1143" s="203" t="s">
        <v>254</v>
      </c>
      <c r="E1143" s="203" t="s">
        <v>589</v>
      </c>
      <c r="F1143" s="203" t="s">
        <v>173</v>
      </c>
      <c r="G1143" s="27">
        <f>800-240+5706.6-5664.6-41.3</f>
        <v>560.7</v>
      </c>
      <c r="H1143" s="27">
        <v>440.5</v>
      </c>
      <c r="I1143" s="27">
        <f t="shared" si="521"/>
        <v>78.5625111467808</v>
      </c>
      <c r="J1143" s="291"/>
      <c r="K1143" s="129"/>
    </row>
    <row r="1144" spans="1:10" ht="15.75">
      <c r="A1144" s="26" t="s">
        <v>174</v>
      </c>
      <c r="B1144" s="205">
        <v>908</v>
      </c>
      <c r="C1144" s="203" t="s">
        <v>273</v>
      </c>
      <c r="D1144" s="203" t="s">
        <v>254</v>
      </c>
      <c r="E1144" s="203" t="s">
        <v>589</v>
      </c>
      <c r="F1144" s="203" t="s">
        <v>184</v>
      </c>
      <c r="G1144" s="27">
        <f>G1145</f>
        <v>41.3</v>
      </c>
      <c r="H1144" s="27">
        <f>H1145</f>
        <v>41.2</v>
      </c>
      <c r="I1144" s="27">
        <f t="shared" si="521"/>
        <v>99.75786924939469</v>
      </c>
      <c r="J1144" s="129"/>
    </row>
    <row r="1145" spans="1:10" ht="15.75">
      <c r="A1145" s="26" t="s">
        <v>185</v>
      </c>
      <c r="B1145" s="205">
        <v>908</v>
      </c>
      <c r="C1145" s="203" t="s">
        <v>273</v>
      </c>
      <c r="D1145" s="203" t="s">
        <v>254</v>
      </c>
      <c r="E1145" s="203" t="s">
        <v>589</v>
      </c>
      <c r="F1145" s="203" t="s">
        <v>186</v>
      </c>
      <c r="G1145" s="27">
        <v>41.3</v>
      </c>
      <c r="H1145" s="27">
        <v>41.2</v>
      </c>
      <c r="I1145" s="27">
        <f t="shared" si="521"/>
        <v>99.75786924939469</v>
      </c>
      <c r="J1145" s="129"/>
    </row>
    <row r="1146" spans="1:10" ht="15.75">
      <c r="A1146" s="26" t="s">
        <v>590</v>
      </c>
      <c r="B1146" s="205">
        <v>908</v>
      </c>
      <c r="C1146" s="203" t="s">
        <v>273</v>
      </c>
      <c r="D1146" s="203" t="s">
        <v>254</v>
      </c>
      <c r="E1146" s="203" t="s">
        <v>591</v>
      </c>
      <c r="F1146" s="203"/>
      <c r="G1146" s="27">
        <f>G1147</f>
        <v>1776.8699999999994</v>
      </c>
      <c r="H1146" s="27">
        <f aca="true" t="shared" si="542" ref="H1146:H1147">H1147</f>
        <v>651.3</v>
      </c>
      <c r="I1146" s="27">
        <f t="shared" si="521"/>
        <v>36.65434162319135</v>
      </c>
      <c r="J1146" s="129"/>
    </row>
    <row r="1147" spans="1:10" ht="31.5">
      <c r="A1147" s="26" t="s">
        <v>170</v>
      </c>
      <c r="B1147" s="205">
        <v>908</v>
      </c>
      <c r="C1147" s="203" t="s">
        <v>273</v>
      </c>
      <c r="D1147" s="203" t="s">
        <v>254</v>
      </c>
      <c r="E1147" s="203" t="s">
        <v>591</v>
      </c>
      <c r="F1147" s="203" t="s">
        <v>171</v>
      </c>
      <c r="G1147" s="27">
        <f>G1148</f>
        <v>1776.8699999999994</v>
      </c>
      <c r="H1147" s="27">
        <f t="shared" si="542"/>
        <v>651.3</v>
      </c>
      <c r="I1147" s="27">
        <f t="shared" si="521"/>
        <v>36.65434162319135</v>
      </c>
      <c r="J1147" s="129"/>
    </row>
    <row r="1148" spans="1:10" ht="31.5">
      <c r="A1148" s="26" t="s">
        <v>172</v>
      </c>
      <c r="B1148" s="205">
        <v>908</v>
      </c>
      <c r="C1148" s="203" t="s">
        <v>273</v>
      </c>
      <c r="D1148" s="203" t="s">
        <v>254</v>
      </c>
      <c r="E1148" s="203" t="s">
        <v>591</v>
      </c>
      <c r="F1148" s="203" t="s">
        <v>173</v>
      </c>
      <c r="G1148" s="27">
        <f>1500-1101+1150.57+2810.7-1880-270-660.7-29-15+227.3+44</f>
        <v>1776.8699999999994</v>
      </c>
      <c r="H1148" s="27">
        <v>651.3</v>
      </c>
      <c r="I1148" s="27">
        <f t="shared" si="521"/>
        <v>36.65434162319135</v>
      </c>
      <c r="J1148" s="291"/>
    </row>
    <row r="1149" spans="1:10" ht="31.5" hidden="1">
      <c r="A1149" s="26" t="s">
        <v>601</v>
      </c>
      <c r="B1149" s="205">
        <v>908</v>
      </c>
      <c r="C1149" s="203" t="s">
        <v>273</v>
      </c>
      <c r="D1149" s="203" t="s">
        <v>254</v>
      </c>
      <c r="E1149" s="203" t="s">
        <v>936</v>
      </c>
      <c r="F1149" s="203"/>
      <c r="G1149" s="27">
        <f>G1150</f>
        <v>0</v>
      </c>
      <c r="H1149" s="27">
        <f aca="true" t="shared" si="543" ref="H1149:H1150">H1150</f>
        <v>0</v>
      </c>
      <c r="I1149" s="27" t="e">
        <f t="shared" si="521"/>
        <v>#DIV/0!</v>
      </c>
      <c r="J1149" s="129"/>
    </row>
    <row r="1150" spans="1:10" ht="31.5" hidden="1">
      <c r="A1150" s="26" t="s">
        <v>170</v>
      </c>
      <c r="B1150" s="205">
        <v>908</v>
      </c>
      <c r="C1150" s="203" t="s">
        <v>273</v>
      </c>
      <c r="D1150" s="203" t="s">
        <v>254</v>
      </c>
      <c r="E1150" s="203" t="s">
        <v>936</v>
      </c>
      <c r="F1150" s="203" t="s">
        <v>171</v>
      </c>
      <c r="G1150" s="27">
        <f>G1151</f>
        <v>0</v>
      </c>
      <c r="H1150" s="27">
        <f t="shared" si="543"/>
        <v>0</v>
      </c>
      <c r="I1150" s="27" t="e">
        <f t="shared" si="521"/>
        <v>#DIV/0!</v>
      </c>
      <c r="J1150" s="129"/>
    </row>
    <row r="1151" spans="1:10" ht="31.5" hidden="1">
      <c r="A1151" s="26" t="s">
        <v>172</v>
      </c>
      <c r="B1151" s="205">
        <v>908</v>
      </c>
      <c r="C1151" s="203" t="s">
        <v>273</v>
      </c>
      <c r="D1151" s="203" t="s">
        <v>254</v>
      </c>
      <c r="E1151" s="203" t="s">
        <v>936</v>
      </c>
      <c r="F1151" s="203" t="s">
        <v>173</v>
      </c>
      <c r="G1151" s="27">
        <v>0</v>
      </c>
      <c r="H1151" s="27">
        <v>0</v>
      </c>
      <c r="I1151" s="27" t="e">
        <f t="shared" si="521"/>
        <v>#DIV/0!</v>
      </c>
      <c r="J1151" s="129"/>
    </row>
    <row r="1152" spans="1:10" ht="30" customHeight="1">
      <c r="A1152" s="26" t="s">
        <v>592</v>
      </c>
      <c r="B1152" s="205">
        <v>908</v>
      </c>
      <c r="C1152" s="203" t="s">
        <v>273</v>
      </c>
      <c r="D1152" s="203" t="s">
        <v>254</v>
      </c>
      <c r="E1152" s="203" t="s">
        <v>593</v>
      </c>
      <c r="F1152" s="203"/>
      <c r="G1152" s="27">
        <f>G1153+G1158+G1161+G1166</f>
        <v>722.5</v>
      </c>
      <c r="H1152" s="27">
        <f aca="true" t="shared" si="544" ref="H1152">H1153+H1158+H1161+H1166</f>
        <v>635.2</v>
      </c>
      <c r="I1152" s="27">
        <f t="shared" si="521"/>
        <v>87.91695501730105</v>
      </c>
      <c r="J1152" s="307"/>
    </row>
    <row r="1153" spans="1:10" ht="15.75">
      <c r="A1153" s="26" t="s">
        <v>590</v>
      </c>
      <c r="B1153" s="205">
        <v>908</v>
      </c>
      <c r="C1153" s="203" t="s">
        <v>273</v>
      </c>
      <c r="D1153" s="203" t="s">
        <v>254</v>
      </c>
      <c r="E1153" s="203" t="s">
        <v>594</v>
      </c>
      <c r="F1153" s="203"/>
      <c r="G1153" s="27">
        <f>G1154+G1156</f>
        <v>11</v>
      </c>
      <c r="H1153" s="27">
        <f aca="true" t="shared" si="545" ref="H1153">H1154+H1156</f>
        <v>11</v>
      </c>
      <c r="I1153" s="27">
        <f t="shared" si="521"/>
        <v>100</v>
      </c>
      <c r="J1153" s="129"/>
    </row>
    <row r="1154" spans="1:10" ht="63" hidden="1">
      <c r="A1154" s="26" t="s">
        <v>166</v>
      </c>
      <c r="B1154" s="205">
        <v>908</v>
      </c>
      <c r="C1154" s="203" t="s">
        <v>273</v>
      </c>
      <c r="D1154" s="203" t="s">
        <v>254</v>
      </c>
      <c r="E1154" s="203" t="s">
        <v>594</v>
      </c>
      <c r="F1154" s="203" t="s">
        <v>167</v>
      </c>
      <c r="G1154" s="27">
        <f>G1155</f>
        <v>0</v>
      </c>
      <c r="H1154" s="27">
        <f aca="true" t="shared" si="546" ref="H1154">H1155</f>
        <v>0</v>
      </c>
      <c r="I1154" s="27" t="e">
        <f t="shared" si="521"/>
        <v>#DIV/0!</v>
      </c>
      <c r="J1154" s="129"/>
    </row>
    <row r="1155" spans="1:10" ht="15.75" hidden="1">
      <c r="A1155" s="48" t="s">
        <v>381</v>
      </c>
      <c r="B1155" s="205">
        <v>908</v>
      </c>
      <c r="C1155" s="203" t="s">
        <v>273</v>
      </c>
      <c r="D1155" s="203" t="s">
        <v>254</v>
      </c>
      <c r="E1155" s="203" t="s">
        <v>594</v>
      </c>
      <c r="F1155" s="203" t="s">
        <v>248</v>
      </c>
      <c r="G1155" s="27">
        <v>0</v>
      </c>
      <c r="H1155" s="27">
        <v>0</v>
      </c>
      <c r="I1155" s="27" t="e">
        <f t="shared" si="521"/>
        <v>#DIV/0!</v>
      </c>
      <c r="J1155" s="129"/>
    </row>
    <row r="1156" spans="1:10" ht="31.5">
      <c r="A1156" s="26" t="s">
        <v>170</v>
      </c>
      <c r="B1156" s="205">
        <v>908</v>
      </c>
      <c r="C1156" s="203" t="s">
        <v>273</v>
      </c>
      <c r="D1156" s="203" t="s">
        <v>254</v>
      </c>
      <c r="E1156" s="203" t="s">
        <v>594</v>
      </c>
      <c r="F1156" s="203" t="s">
        <v>171</v>
      </c>
      <c r="G1156" s="27">
        <f>G1157</f>
        <v>11</v>
      </c>
      <c r="H1156" s="27">
        <f aca="true" t="shared" si="547" ref="H1156">H1157</f>
        <v>11</v>
      </c>
      <c r="I1156" s="27">
        <f t="shared" si="521"/>
        <v>100</v>
      </c>
      <c r="J1156" s="129"/>
    </row>
    <row r="1157" spans="1:10" ht="31.5">
      <c r="A1157" s="26" t="s">
        <v>172</v>
      </c>
      <c r="B1157" s="205">
        <v>908</v>
      </c>
      <c r="C1157" s="203" t="s">
        <v>273</v>
      </c>
      <c r="D1157" s="203" t="s">
        <v>254</v>
      </c>
      <c r="E1157" s="203" t="s">
        <v>594</v>
      </c>
      <c r="F1157" s="203" t="s">
        <v>173</v>
      </c>
      <c r="G1157" s="27">
        <v>11</v>
      </c>
      <c r="H1157" s="27">
        <v>11</v>
      </c>
      <c r="I1157" s="27">
        <f t="shared" si="521"/>
        <v>100</v>
      </c>
      <c r="J1157" s="129"/>
    </row>
    <row r="1158" spans="1:10" ht="15.75">
      <c r="A1158" s="26" t="s">
        <v>595</v>
      </c>
      <c r="B1158" s="205">
        <v>908</v>
      </c>
      <c r="C1158" s="203" t="s">
        <v>273</v>
      </c>
      <c r="D1158" s="203" t="s">
        <v>254</v>
      </c>
      <c r="E1158" s="203" t="s">
        <v>596</v>
      </c>
      <c r="F1158" s="203"/>
      <c r="G1158" s="27">
        <f>G1159</f>
        <v>4</v>
      </c>
      <c r="H1158" s="27">
        <f aca="true" t="shared" si="548" ref="H1158:H1159">H1159</f>
        <v>3.6</v>
      </c>
      <c r="I1158" s="27">
        <f t="shared" si="521"/>
        <v>90</v>
      </c>
      <c r="J1158" s="129"/>
    </row>
    <row r="1159" spans="1:10" ht="31.5">
      <c r="A1159" s="26" t="s">
        <v>170</v>
      </c>
      <c r="B1159" s="205">
        <v>908</v>
      </c>
      <c r="C1159" s="203" t="s">
        <v>273</v>
      </c>
      <c r="D1159" s="203" t="s">
        <v>254</v>
      </c>
      <c r="E1159" s="203" t="s">
        <v>596</v>
      </c>
      <c r="F1159" s="203" t="s">
        <v>171</v>
      </c>
      <c r="G1159" s="27">
        <f>G1160</f>
        <v>4</v>
      </c>
      <c r="H1159" s="27">
        <f t="shared" si="548"/>
        <v>3.6</v>
      </c>
      <c r="I1159" s="27">
        <f t="shared" si="521"/>
        <v>90</v>
      </c>
      <c r="J1159" s="129"/>
    </row>
    <row r="1160" spans="1:10" ht="36" customHeight="1">
      <c r="A1160" s="26" t="s">
        <v>172</v>
      </c>
      <c r="B1160" s="205">
        <v>908</v>
      </c>
      <c r="C1160" s="203" t="s">
        <v>273</v>
      </c>
      <c r="D1160" s="203" t="s">
        <v>254</v>
      </c>
      <c r="E1160" s="203" t="s">
        <v>596</v>
      </c>
      <c r="F1160" s="203" t="s">
        <v>173</v>
      </c>
      <c r="G1160" s="27">
        <v>4</v>
      </c>
      <c r="H1160" s="27">
        <v>3.6</v>
      </c>
      <c r="I1160" s="27">
        <f t="shared" si="521"/>
        <v>90</v>
      </c>
      <c r="J1160" s="291"/>
    </row>
    <row r="1161" spans="1:10" ht="30.75" customHeight="1">
      <c r="A1161" s="47" t="s">
        <v>597</v>
      </c>
      <c r="B1161" s="205">
        <v>908</v>
      </c>
      <c r="C1161" s="203" t="s">
        <v>273</v>
      </c>
      <c r="D1161" s="203" t="s">
        <v>254</v>
      </c>
      <c r="E1161" s="203" t="s">
        <v>598</v>
      </c>
      <c r="F1161" s="203"/>
      <c r="G1161" s="27">
        <f>G1162+G1164</f>
        <v>707.5</v>
      </c>
      <c r="H1161" s="27">
        <f aca="true" t="shared" si="549" ref="H1161">H1162+H1164</f>
        <v>620.6</v>
      </c>
      <c r="I1161" s="27">
        <f t="shared" si="521"/>
        <v>87.7173144876325</v>
      </c>
      <c r="J1161" s="289"/>
    </row>
    <row r="1162" spans="1:10" ht="31.5">
      <c r="A1162" s="26" t="s">
        <v>170</v>
      </c>
      <c r="B1162" s="205">
        <v>908</v>
      </c>
      <c r="C1162" s="203" t="s">
        <v>273</v>
      </c>
      <c r="D1162" s="203" t="s">
        <v>254</v>
      </c>
      <c r="E1162" s="203" t="s">
        <v>598</v>
      </c>
      <c r="F1162" s="203" t="s">
        <v>171</v>
      </c>
      <c r="G1162" s="27">
        <f>G1163</f>
        <v>632.5</v>
      </c>
      <c r="H1162" s="27">
        <f aca="true" t="shared" si="550" ref="H1162">H1163</f>
        <v>545.6</v>
      </c>
      <c r="I1162" s="27">
        <f t="shared" si="521"/>
        <v>86.26086956521739</v>
      </c>
      <c r="J1162" s="129"/>
    </row>
    <row r="1163" spans="1:10" ht="31.5">
      <c r="A1163" s="26" t="s">
        <v>172</v>
      </c>
      <c r="B1163" s="205">
        <v>908</v>
      </c>
      <c r="C1163" s="203" t="s">
        <v>273</v>
      </c>
      <c r="D1163" s="203" t="s">
        <v>254</v>
      </c>
      <c r="E1163" s="203" t="s">
        <v>598</v>
      </c>
      <c r="F1163" s="203" t="s">
        <v>173</v>
      </c>
      <c r="G1163" s="27">
        <f>1000-1000+243.4+195.5-60.4-46+300</f>
        <v>632.5</v>
      </c>
      <c r="H1163" s="27">
        <v>545.6</v>
      </c>
      <c r="I1163" s="27">
        <f t="shared" si="521"/>
        <v>86.26086956521739</v>
      </c>
      <c r="J1163" s="129"/>
    </row>
    <row r="1164" spans="1:10" s="300" customFormat="1" ht="15.75">
      <c r="A1164" s="47" t="s">
        <v>599</v>
      </c>
      <c r="B1164" s="205">
        <v>908</v>
      </c>
      <c r="C1164" s="203" t="s">
        <v>273</v>
      </c>
      <c r="D1164" s="203" t="s">
        <v>254</v>
      </c>
      <c r="E1164" s="203" t="s">
        <v>598</v>
      </c>
      <c r="F1164" s="203" t="s">
        <v>184</v>
      </c>
      <c r="G1164" s="27">
        <f>G1165</f>
        <v>75</v>
      </c>
      <c r="H1164" s="27">
        <f aca="true" t="shared" si="551" ref="H1164">H1165</f>
        <v>75</v>
      </c>
      <c r="I1164" s="27">
        <f t="shared" si="521"/>
        <v>100</v>
      </c>
      <c r="J1164" s="129"/>
    </row>
    <row r="1165" spans="1:10" s="300" customFormat="1" ht="15.75">
      <c r="A1165" s="26" t="s">
        <v>174</v>
      </c>
      <c r="B1165" s="205">
        <v>908</v>
      </c>
      <c r="C1165" s="203" t="s">
        <v>273</v>
      </c>
      <c r="D1165" s="203" t="s">
        <v>254</v>
      </c>
      <c r="E1165" s="203" t="s">
        <v>598</v>
      </c>
      <c r="F1165" s="203" t="s">
        <v>177</v>
      </c>
      <c r="G1165" s="27">
        <v>75</v>
      </c>
      <c r="H1165" s="27">
        <v>75</v>
      </c>
      <c r="I1165" s="27">
        <f t="shared" si="521"/>
        <v>100</v>
      </c>
      <c r="J1165" s="129"/>
    </row>
    <row r="1166" spans="1:10" ht="15.75" hidden="1">
      <c r="A1166" s="47" t="s">
        <v>599</v>
      </c>
      <c r="B1166" s="205">
        <v>908</v>
      </c>
      <c r="C1166" s="203" t="s">
        <v>273</v>
      </c>
      <c r="D1166" s="203" t="s">
        <v>254</v>
      </c>
      <c r="E1166" s="203" t="s">
        <v>600</v>
      </c>
      <c r="F1166" s="203"/>
      <c r="G1166" s="27">
        <f>G1167</f>
        <v>0</v>
      </c>
      <c r="H1166" s="27">
        <f aca="true" t="shared" si="552" ref="H1166:H1167">H1167</f>
        <v>0</v>
      </c>
      <c r="I1166" s="27" t="e">
        <f t="shared" si="521"/>
        <v>#DIV/0!</v>
      </c>
      <c r="J1166" s="307"/>
    </row>
    <row r="1167" spans="1:10" ht="31.5" hidden="1">
      <c r="A1167" s="26" t="s">
        <v>170</v>
      </c>
      <c r="B1167" s="205">
        <v>908</v>
      </c>
      <c r="C1167" s="203" t="s">
        <v>273</v>
      </c>
      <c r="D1167" s="203" t="s">
        <v>254</v>
      </c>
      <c r="E1167" s="203" t="s">
        <v>600</v>
      </c>
      <c r="F1167" s="203" t="s">
        <v>171</v>
      </c>
      <c r="G1167" s="27">
        <f>G1168</f>
        <v>0</v>
      </c>
      <c r="H1167" s="27">
        <f t="shared" si="552"/>
        <v>0</v>
      </c>
      <c r="I1167" s="27" t="e">
        <f aca="true" t="shared" si="553" ref="I1167:I1230">H1167/G1167*100</f>
        <v>#DIV/0!</v>
      </c>
      <c r="J1167" s="129"/>
    </row>
    <row r="1168" spans="1:10" ht="31.5" hidden="1">
      <c r="A1168" s="26" t="s">
        <v>172</v>
      </c>
      <c r="B1168" s="205">
        <v>908</v>
      </c>
      <c r="C1168" s="203" t="s">
        <v>273</v>
      </c>
      <c r="D1168" s="203" t="s">
        <v>254</v>
      </c>
      <c r="E1168" s="203" t="s">
        <v>600</v>
      </c>
      <c r="F1168" s="203" t="s">
        <v>173</v>
      </c>
      <c r="G1168" s="27">
        <v>0</v>
      </c>
      <c r="H1168" s="27">
        <v>0</v>
      </c>
      <c r="I1168" s="27" t="e">
        <f t="shared" si="553"/>
        <v>#DIV/0!</v>
      </c>
      <c r="J1168" s="129"/>
    </row>
    <row r="1169" spans="1:10" ht="52.5" customHeight="1">
      <c r="A1169" s="26" t="s">
        <v>963</v>
      </c>
      <c r="B1169" s="205">
        <v>908</v>
      </c>
      <c r="C1169" s="203" t="s">
        <v>273</v>
      </c>
      <c r="D1169" s="203" t="s">
        <v>254</v>
      </c>
      <c r="E1169" s="203" t="s">
        <v>781</v>
      </c>
      <c r="F1169" s="203"/>
      <c r="G1169" s="27">
        <f>G1170</f>
        <v>2614.5200000000004</v>
      </c>
      <c r="H1169" s="27">
        <f aca="true" t="shared" si="554" ref="H1169:H1171">H1170</f>
        <v>2499</v>
      </c>
      <c r="I1169" s="27">
        <f t="shared" si="553"/>
        <v>95.58159815185961</v>
      </c>
      <c r="J1169" s="289"/>
    </row>
    <row r="1170" spans="1:10" ht="48.75" customHeight="1">
      <c r="A1170" s="94" t="s">
        <v>754</v>
      </c>
      <c r="B1170" s="205">
        <v>908</v>
      </c>
      <c r="C1170" s="203" t="s">
        <v>273</v>
      </c>
      <c r="D1170" s="203" t="s">
        <v>254</v>
      </c>
      <c r="E1170" s="203" t="s">
        <v>1073</v>
      </c>
      <c r="F1170" s="203"/>
      <c r="G1170" s="27">
        <f>G1171</f>
        <v>2614.5200000000004</v>
      </c>
      <c r="H1170" s="27">
        <f t="shared" si="554"/>
        <v>2499</v>
      </c>
      <c r="I1170" s="27">
        <f t="shared" si="553"/>
        <v>95.58159815185961</v>
      </c>
      <c r="J1170" s="129"/>
    </row>
    <row r="1171" spans="1:10" ht="31.5">
      <c r="A1171" s="26" t="s">
        <v>170</v>
      </c>
      <c r="B1171" s="205">
        <v>908</v>
      </c>
      <c r="C1171" s="203" t="s">
        <v>273</v>
      </c>
      <c r="D1171" s="203" t="s">
        <v>254</v>
      </c>
      <c r="E1171" s="203" t="s">
        <v>1073</v>
      </c>
      <c r="F1171" s="203" t="s">
        <v>171</v>
      </c>
      <c r="G1171" s="27">
        <f>G1172</f>
        <v>2614.5200000000004</v>
      </c>
      <c r="H1171" s="27">
        <f t="shared" si="554"/>
        <v>2499</v>
      </c>
      <c r="I1171" s="27">
        <f t="shared" si="553"/>
        <v>95.58159815185961</v>
      </c>
      <c r="J1171" s="129"/>
    </row>
    <row r="1172" spans="1:10" ht="31.5">
      <c r="A1172" s="26" t="s">
        <v>172</v>
      </c>
      <c r="B1172" s="205">
        <v>908</v>
      </c>
      <c r="C1172" s="203" t="s">
        <v>273</v>
      </c>
      <c r="D1172" s="203" t="s">
        <v>254</v>
      </c>
      <c r="E1172" s="203" t="s">
        <v>1073</v>
      </c>
      <c r="F1172" s="203" t="s">
        <v>173</v>
      </c>
      <c r="G1172" s="27">
        <f>500+2114.52+5000-5000</f>
        <v>2614.5200000000004</v>
      </c>
      <c r="H1172" s="27">
        <v>2499</v>
      </c>
      <c r="I1172" s="27">
        <f t="shared" si="553"/>
        <v>95.58159815185961</v>
      </c>
      <c r="J1172" s="129"/>
    </row>
    <row r="1173" spans="1:10" ht="15.75">
      <c r="A1173" s="26" t="s">
        <v>160</v>
      </c>
      <c r="B1173" s="205">
        <v>908</v>
      </c>
      <c r="C1173" s="203" t="s">
        <v>273</v>
      </c>
      <c r="D1173" s="203" t="s">
        <v>254</v>
      </c>
      <c r="E1173" s="203" t="s">
        <v>161</v>
      </c>
      <c r="F1173" s="203"/>
      <c r="G1173" s="27">
        <f>G1177+G1187</f>
        <v>1366</v>
      </c>
      <c r="H1173" s="27">
        <f aca="true" t="shared" si="555" ref="H1173">H1177+H1187</f>
        <v>36.9</v>
      </c>
      <c r="I1173" s="27">
        <f t="shared" si="553"/>
        <v>2.701317715959004</v>
      </c>
      <c r="J1173" s="129"/>
    </row>
    <row r="1174" spans="1:10" ht="31.5" hidden="1">
      <c r="A1174" s="26" t="s">
        <v>601</v>
      </c>
      <c r="B1174" s="205">
        <v>908</v>
      </c>
      <c r="C1174" s="203" t="s">
        <v>273</v>
      </c>
      <c r="D1174" s="203" t="s">
        <v>254</v>
      </c>
      <c r="E1174" s="203" t="s">
        <v>602</v>
      </c>
      <c r="F1174" s="203"/>
      <c r="G1174" s="27">
        <f>G1175</f>
        <v>0</v>
      </c>
      <c r="H1174" s="27">
        <f aca="true" t="shared" si="556" ref="H1174:H1175">H1175</f>
        <v>0</v>
      </c>
      <c r="I1174" s="27" t="e">
        <f t="shared" si="553"/>
        <v>#DIV/0!</v>
      </c>
      <c r="J1174" s="129"/>
    </row>
    <row r="1175" spans="1:10" ht="31.5" hidden="1">
      <c r="A1175" s="26" t="s">
        <v>170</v>
      </c>
      <c r="B1175" s="205">
        <v>908</v>
      </c>
      <c r="C1175" s="203" t="s">
        <v>273</v>
      </c>
      <c r="D1175" s="203" t="s">
        <v>254</v>
      </c>
      <c r="E1175" s="203" t="s">
        <v>602</v>
      </c>
      <c r="F1175" s="203" t="s">
        <v>171</v>
      </c>
      <c r="G1175" s="27">
        <f>G1176</f>
        <v>0</v>
      </c>
      <c r="H1175" s="27">
        <f t="shared" si="556"/>
        <v>0</v>
      </c>
      <c r="I1175" s="27" t="e">
        <f t="shared" si="553"/>
        <v>#DIV/0!</v>
      </c>
      <c r="J1175" s="129"/>
    </row>
    <row r="1176" spans="1:10" ht="31.5" hidden="1">
      <c r="A1176" s="26" t="s">
        <v>172</v>
      </c>
      <c r="B1176" s="205">
        <v>908</v>
      </c>
      <c r="C1176" s="203" t="s">
        <v>273</v>
      </c>
      <c r="D1176" s="203" t="s">
        <v>254</v>
      </c>
      <c r="E1176" s="203" t="s">
        <v>602</v>
      </c>
      <c r="F1176" s="203" t="s">
        <v>173</v>
      </c>
      <c r="G1176" s="27">
        <f>1915.9+2170.9-2170.9+255-2170.9</f>
        <v>0</v>
      </c>
      <c r="H1176" s="27">
        <f aca="true" t="shared" si="557" ref="H1176">1915.9+2170.9-2170.9+255-2170.9</f>
        <v>0</v>
      </c>
      <c r="I1176" s="27" t="e">
        <f t="shared" si="553"/>
        <v>#DIV/0!</v>
      </c>
      <c r="J1176" s="129"/>
    </row>
    <row r="1177" spans="1:10" ht="15.75">
      <c r="A1177" s="33" t="s">
        <v>224</v>
      </c>
      <c r="B1177" s="205">
        <v>908</v>
      </c>
      <c r="C1177" s="203" t="s">
        <v>273</v>
      </c>
      <c r="D1177" s="203" t="s">
        <v>254</v>
      </c>
      <c r="E1177" s="203" t="s">
        <v>225</v>
      </c>
      <c r="F1177" s="203"/>
      <c r="G1177" s="27">
        <f>G1178+G1181+G1184</f>
        <v>976</v>
      </c>
      <c r="H1177" s="27">
        <f aca="true" t="shared" si="558" ref="H1177">H1178+H1181+H1184</f>
        <v>36.9</v>
      </c>
      <c r="I1177" s="27">
        <f t="shared" si="553"/>
        <v>3.780737704918033</v>
      </c>
      <c r="J1177" s="129"/>
    </row>
    <row r="1178" spans="1:10" ht="32.25" customHeight="1">
      <c r="A1178" s="26" t="s">
        <v>751</v>
      </c>
      <c r="B1178" s="205">
        <v>908</v>
      </c>
      <c r="C1178" s="203" t="s">
        <v>273</v>
      </c>
      <c r="D1178" s="203" t="s">
        <v>254</v>
      </c>
      <c r="E1178" s="203" t="s">
        <v>752</v>
      </c>
      <c r="F1178" s="203"/>
      <c r="G1178" s="27">
        <f>G1179</f>
        <v>976</v>
      </c>
      <c r="H1178" s="27">
        <f aca="true" t="shared" si="559" ref="H1178:H1179">H1179</f>
        <v>36.9</v>
      </c>
      <c r="I1178" s="27">
        <f t="shared" si="553"/>
        <v>3.780737704918033</v>
      </c>
      <c r="J1178" s="129"/>
    </row>
    <row r="1179" spans="1:10" ht="31.5">
      <c r="A1179" s="26" t="s">
        <v>170</v>
      </c>
      <c r="B1179" s="205">
        <v>908</v>
      </c>
      <c r="C1179" s="203" t="s">
        <v>273</v>
      </c>
      <c r="D1179" s="203" t="s">
        <v>254</v>
      </c>
      <c r="E1179" s="203" t="s">
        <v>752</v>
      </c>
      <c r="F1179" s="203" t="s">
        <v>171</v>
      </c>
      <c r="G1179" s="27">
        <f>G1180</f>
        <v>976</v>
      </c>
      <c r="H1179" s="27">
        <f t="shared" si="559"/>
        <v>36.9</v>
      </c>
      <c r="I1179" s="27">
        <f t="shared" si="553"/>
        <v>3.780737704918033</v>
      </c>
      <c r="J1179" s="129"/>
    </row>
    <row r="1180" spans="1:10" ht="31.5">
      <c r="A1180" s="26" t="s">
        <v>172</v>
      </c>
      <c r="B1180" s="205">
        <v>908</v>
      </c>
      <c r="C1180" s="203" t="s">
        <v>273</v>
      </c>
      <c r="D1180" s="203" t="s">
        <v>254</v>
      </c>
      <c r="E1180" s="203" t="s">
        <v>752</v>
      </c>
      <c r="F1180" s="203" t="s">
        <v>173</v>
      </c>
      <c r="G1180" s="27">
        <v>976</v>
      </c>
      <c r="H1180" s="27">
        <v>36.9</v>
      </c>
      <c r="I1180" s="27">
        <f t="shared" si="553"/>
        <v>3.780737704918033</v>
      </c>
      <c r="J1180" s="129"/>
    </row>
    <row r="1181" spans="1:10" ht="31.5" hidden="1">
      <c r="A1181" s="26" t="s">
        <v>753</v>
      </c>
      <c r="B1181" s="205">
        <v>908</v>
      </c>
      <c r="C1181" s="203" t="s">
        <v>273</v>
      </c>
      <c r="D1181" s="203" t="s">
        <v>254</v>
      </c>
      <c r="E1181" s="203" t="s">
        <v>603</v>
      </c>
      <c r="F1181" s="203"/>
      <c r="G1181" s="27">
        <f>G1182</f>
        <v>0</v>
      </c>
      <c r="H1181" s="27">
        <f aca="true" t="shared" si="560" ref="H1181:H1182">H1182</f>
        <v>0</v>
      </c>
      <c r="I1181" s="27" t="e">
        <f t="shared" si="553"/>
        <v>#DIV/0!</v>
      </c>
      <c r="J1181" s="129"/>
    </row>
    <row r="1182" spans="1:10" ht="31.5" hidden="1">
      <c r="A1182" s="26" t="s">
        <v>170</v>
      </c>
      <c r="B1182" s="205">
        <v>908</v>
      </c>
      <c r="C1182" s="203" t="s">
        <v>273</v>
      </c>
      <c r="D1182" s="203" t="s">
        <v>254</v>
      </c>
      <c r="E1182" s="203" t="s">
        <v>603</v>
      </c>
      <c r="F1182" s="203" t="s">
        <v>171</v>
      </c>
      <c r="G1182" s="27">
        <f>G1183</f>
        <v>0</v>
      </c>
      <c r="H1182" s="27">
        <f t="shared" si="560"/>
        <v>0</v>
      </c>
      <c r="I1182" s="27" t="e">
        <f t="shared" si="553"/>
        <v>#DIV/0!</v>
      </c>
      <c r="J1182" s="129"/>
    </row>
    <row r="1183" spans="1:10" ht="31.5" hidden="1">
      <c r="A1183" s="26" t="s">
        <v>172</v>
      </c>
      <c r="B1183" s="205">
        <v>908</v>
      </c>
      <c r="C1183" s="203" t="s">
        <v>273</v>
      </c>
      <c r="D1183" s="203" t="s">
        <v>254</v>
      </c>
      <c r="E1183" s="203" t="s">
        <v>603</v>
      </c>
      <c r="F1183" s="203" t="s">
        <v>173</v>
      </c>
      <c r="G1183" s="27">
        <v>0</v>
      </c>
      <c r="H1183" s="27">
        <v>0</v>
      </c>
      <c r="I1183" s="27" t="e">
        <f t="shared" si="553"/>
        <v>#DIV/0!</v>
      </c>
      <c r="J1183" s="129"/>
    </row>
    <row r="1184" spans="1:10" ht="47.25" hidden="1">
      <c r="A1184" s="26" t="s">
        <v>754</v>
      </c>
      <c r="B1184" s="205">
        <v>908</v>
      </c>
      <c r="C1184" s="203" t="s">
        <v>273</v>
      </c>
      <c r="D1184" s="203" t="s">
        <v>254</v>
      </c>
      <c r="E1184" s="203" t="s">
        <v>1008</v>
      </c>
      <c r="F1184" s="203"/>
      <c r="G1184" s="27">
        <f>G1185</f>
        <v>0</v>
      </c>
      <c r="H1184" s="27">
        <f aca="true" t="shared" si="561" ref="H1184:H1185">H1185</f>
        <v>0</v>
      </c>
      <c r="I1184" s="27" t="e">
        <f t="shared" si="553"/>
        <v>#DIV/0!</v>
      </c>
      <c r="J1184" s="129"/>
    </row>
    <row r="1185" spans="1:10" ht="31.5" hidden="1">
      <c r="A1185" s="26" t="s">
        <v>170</v>
      </c>
      <c r="B1185" s="205">
        <v>908</v>
      </c>
      <c r="C1185" s="203" t="s">
        <v>273</v>
      </c>
      <c r="D1185" s="203" t="s">
        <v>254</v>
      </c>
      <c r="E1185" s="203" t="s">
        <v>1008</v>
      </c>
      <c r="F1185" s="203" t="s">
        <v>171</v>
      </c>
      <c r="G1185" s="27">
        <f>G1186</f>
        <v>0</v>
      </c>
      <c r="H1185" s="27">
        <f t="shared" si="561"/>
        <v>0</v>
      </c>
      <c r="I1185" s="27" t="e">
        <f t="shared" si="553"/>
        <v>#DIV/0!</v>
      </c>
      <c r="J1185" s="129"/>
    </row>
    <row r="1186" spans="1:10" ht="31.5" hidden="1">
      <c r="A1186" s="26" t="s">
        <v>172</v>
      </c>
      <c r="B1186" s="205">
        <v>908</v>
      </c>
      <c r="C1186" s="203" t="s">
        <v>273</v>
      </c>
      <c r="D1186" s="203" t="s">
        <v>254</v>
      </c>
      <c r="E1186" s="203" t="s">
        <v>1008</v>
      </c>
      <c r="F1186" s="203" t="s">
        <v>173</v>
      </c>
      <c r="G1186" s="27">
        <f>2114.5-2114.5</f>
        <v>0</v>
      </c>
      <c r="H1186" s="27">
        <f aca="true" t="shared" si="562" ref="H1186">2114.5-2114.5</f>
        <v>0</v>
      </c>
      <c r="I1186" s="27" t="e">
        <f t="shared" si="553"/>
        <v>#DIV/0!</v>
      </c>
      <c r="J1186" s="129"/>
    </row>
    <row r="1187" spans="1:10" ht="15.75">
      <c r="A1187" s="26" t="s">
        <v>180</v>
      </c>
      <c r="B1187" s="205">
        <v>908</v>
      </c>
      <c r="C1187" s="203" t="s">
        <v>273</v>
      </c>
      <c r="D1187" s="203" t="s">
        <v>254</v>
      </c>
      <c r="E1187" s="203" t="s">
        <v>181</v>
      </c>
      <c r="F1187" s="203"/>
      <c r="G1187" s="27">
        <f>G1188+G1191+G1194</f>
        <v>390</v>
      </c>
      <c r="H1187" s="27">
        <f aca="true" t="shared" si="563" ref="H1187">H1188+H1191+H1194</f>
        <v>0</v>
      </c>
      <c r="I1187" s="27">
        <f t="shared" si="553"/>
        <v>0</v>
      </c>
      <c r="J1187" s="129"/>
    </row>
    <row r="1188" spans="1:10" ht="15.75">
      <c r="A1188" s="26" t="s">
        <v>604</v>
      </c>
      <c r="B1188" s="205">
        <v>908</v>
      </c>
      <c r="C1188" s="203" t="s">
        <v>273</v>
      </c>
      <c r="D1188" s="203" t="s">
        <v>254</v>
      </c>
      <c r="E1188" s="203" t="s">
        <v>605</v>
      </c>
      <c r="F1188" s="203"/>
      <c r="G1188" s="27">
        <f>G1189</f>
        <v>390</v>
      </c>
      <c r="H1188" s="27">
        <f aca="true" t="shared" si="564" ref="H1188:H1189">H1189</f>
        <v>0</v>
      </c>
      <c r="I1188" s="27">
        <f t="shared" si="553"/>
        <v>0</v>
      </c>
      <c r="J1188" s="129"/>
    </row>
    <row r="1189" spans="1:10" ht="31.5">
      <c r="A1189" s="26" t="s">
        <v>170</v>
      </c>
      <c r="B1189" s="205">
        <v>908</v>
      </c>
      <c r="C1189" s="203" t="s">
        <v>273</v>
      </c>
      <c r="D1189" s="203" t="s">
        <v>254</v>
      </c>
      <c r="E1189" s="203" t="s">
        <v>605</v>
      </c>
      <c r="F1189" s="203" t="s">
        <v>171</v>
      </c>
      <c r="G1189" s="27">
        <f>G1190</f>
        <v>390</v>
      </c>
      <c r="H1189" s="27">
        <f t="shared" si="564"/>
        <v>0</v>
      </c>
      <c r="I1189" s="27">
        <f t="shared" si="553"/>
        <v>0</v>
      </c>
      <c r="J1189" s="129"/>
    </row>
    <row r="1190" spans="1:10" ht="34.5" customHeight="1">
      <c r="A1190" s="26" t="s">
        <v>172</v>
      </c>
      <c r="B1190" s="205">
        <v>908</v>
      </c>
      <c r="C1190" s="203" t="s">
        <v>273</v>
      </c>
      <c r="D1190" s="203" t="s">
        <v>254</v>
      </c>
      <c r="E1190" s="203" t="s">
        <v>605</v>
      </c>
      <c r="F1190" s="203" t="s">
        <v>173</v>
      </c>
      <c r="G1190" s="28">
        <v>390</v>
      </c>
      <c r="H1190" s="28">
        <v>0</v>
      </c>
      <c r="I1190" s="27">
        <f t="shared" si="553"/>
        <v>0</v>
      </c>
      <c r="J1190" s="129"/>
    </row>
    <row r="1191" spans="1:10" ht="15.75" customHeight="1" hidden="1">
      <c r="A1191" s="26" t="s">
        <v>606</v>
      </c>
      <c r="B1191" s="205">
        <v>908</v>
      </c>
      <c r="C1191" s="203" t="s">
        <v>273</v>
      </c>
      <c r="D1191" s="203" t="s">
        <v>254</v>
      </c>
      <c r="E1191" s="203" t="s">
        <v>607</v>
      </c>
      <c r="F1191" s="203"/>
      <c r="G1191" s="28">
        <f>G1192</f>
        <v>0</v>
      </c>
      <c r="H1191" s="28">
        <f aca="true" t="shared" si="565" ref="H1191:H1192">H1192</f>
        <v>0</v>
      </c>
      <c r="I1191" s="27" t="e">
        <f t="shared" si="553"/>
        <v>#DIV/0!</v>
      </c>
      <c r="J1191" s="129"/>
    </row>
    <row r="1192" spans="1:10" ht="15.75" customHeight="1" hidden="1">
      <c r="A1192" s="26" t="s">
        <v>174</v>
      </c>
      <c r="B1192" s="205">
        <v>908</v>
      </c>
      <c r="C1192" s="203" t="s">
        <v>273</v>
      </c>
      <c r="D1192" s="203" t="s">
        <v>254</v>
      </c>
      <c r="E1192" s="203" t="s">
        <v>607</v>
      </c>
      <c r="F1192" s="203" t="s">
        <v>184</v>
      </c>
      <c r="G1192" s="28">
        <f>G1193</f>
        <v>0</v>
      </c>
      <c r="H1192" s="28">
        <f t="shared" si="565"/>
        <v>0</v>
      </c>
      <c r="I1192" s="27" t="e">
        <f t="shared" si="553"/>
        <v>#DIV/0!</v>
      </c>
      <c r="J1192" s="129"/>
    </row>
    <row r="1193" spans="1:10" ht="15.75" customHeight="1" hidden="1">
      <c r="A1193" s="26" t="s">
        <v>608</v>
      </c>
      <c r="B1193" s="205">
        <v>908</v>
      </c>
      <c r="C1193" s="203" t="s">
        <v>273</v>
      </c>
      <c r="D1193" s="203" t="s">
        <v>254</v>
      </c>
      <c r="E1193" s="203" t="s">
        <v>607</v>
      </c>
      <c r="F1193" s="203" t="s">
        <v>177</v>
      </c>
      <c r="G1193" s="28">
        <v>0</v>
      </c>
      <c r="H1193" s="28">
        <v>0</v>
      </c>
      <c r="I1193" s="27" t="e">
        <f t="shared" si="553"/>
        <v>#DIV/0!</v>
      </c>
      <c r="J1193" s="129"/>
    </row>
    <row r="1194" spans="1:10" ht="52.5" customHeight="1" hidden="1">
      <c r="A1194" s="26" t="s">
        <v>955</v>
      </c>
      <c r="B1194" s="205">
        <v>908</v>
      </c>
      <c r="C1194" s="203" t="s">
        <v>273</v>
      </c>
      <c r="D1194" s="203" t="s">
        <v>254</v>
      </c>
      <c r="E1194" s="203" t="s">
        <v>956</v>
      </c>
      <c r="F1194" s="203"/>
      <c r="G1194" s="28">
        <f>G1195</f>
        <v>0</v>
      </c>
      <c r="H1194" s="28">
        <f aca="true" t="shared" si="566" ref="H1194:H1195">H1195</f>
        <v>0</v>
      </c>
      <c r="I1194" s="27" t="e">
        <f t="shared" si="553"/>
        <v>#DIV/0!</v>
      </c>
      <c r="J1194" s="129"/>
    </row>
    <row r="1195" spans="1:10" ht="31.5" hidden="1">
      <c r="A1195" s="26" t="s">
        <v>170</v>
      </c>
      <c r="B1195" s="205">
        <v>908</v>
      </c>
      <c r="C1195" s="203" t="s">
        <v>273</v>
      </c>
      <c r="D1195" s="203" t="s">
        <v>254</v>
      </c>
      <c r="E1195" s="203" t="s">
        <v>956</v>
      </c>
      <c r="F1195" s="203" t="s">
        <v>171</v>
      </c>
      <c r="G1195" s="28">
        <f>G1196</f>
        <v>0</v>
      </c>
      <c r="H1195" s="28">
        <f t="shared" si="566"/>
        <v>0</v>
      </c>
      <c r="I1195" s="27" t="e">
        <f t="shared" si="553"/>
        <v>#DIV/0!</v>
      </c>
      <c r="J1195" s="129"/>
    </row>
    <row r="1196" spans="1:10" ht="31.5" hidden="1">
      <c r="A1196" s="26" t="s">
        <v>172</v>
      </c>
      <c r="B1196" s="205">
        <v>908</v>
      </c>
      <c r="C1196" s="203" t="s">
        <v>273</v>
      </c>
      <c r="D1196" s="203" t="s">
        <v>254</v>
      </c>
      <c r="E1196" s="203" t="s">
        <v>956</v>
      </c>
      <c r="F1196" s="203" t="s">
        <v>173</v>
      </c>
      <c r="G1196" s="28">
        <v>0</v>
      </c>
      <c r="H1196" s="28">
        <v>0</v>
      </c>
      <c r="I1196" s="27" t="e">
        <f t="shared" si="553"/>
        <v>#DIV/0!</v>
      </c>
      <c r="J1196" s="129"/>
    </row>
    <row r="1197" spans="1:10" ht="31.5">
      <c r="A1197" s="24" t="s">
        <v>609</v>
      </c>
      <c r="B1197" s="202">
        <v>908</v>
      </c>
      <c r="C1197" s="204" t="s">
        <v>273</v>
      </c>
      <c r="D1197" s="204" t="s">
        <v>273</v>
      </c>
      <c r="E1197" s="204"/>
      <c r="F1197" s="204"/>
      <c r="G1197" s="22">
        <f>G1198</f>
        <v>28887.300000000003</v>
      </c>
      <c r="H1197" s="22">
        <f aca="true" t="shared" si="567" ref="H1197">H1198</f>
        <v>22500</v>
      </c>
      <c r="I1197" s="22">
        <f t="shared" si="553"/>
        <v>77.88889927407546</v>
      </c>
      <c r="J1197" s="129"/>
    </row>
    <row r="1198" spans="1:10" ht="15.75">
      <c r="A1198" s="26" t="s">
        <v>160</v>
      </c>
      <c r="B1198" s="205">
        <v>908</v>
      </c>
      <c r="C1198" s="203" t="s">
        <v>273</v>
      </c>
      <c r="D1198" s="203" t="s">
        <v>273</v>
      </c>
      <c r="E1198" s="203" t="s">
        <v>161</v>
      </c>
      <c r="F1198" s="203"/>
      <c r="G1198" s="27">
        <f>G1199+G1207</f>
        <v>28887.300000000003</v>
      </c>
      <c r="H1198" s="27">
        <f aca="true" t="shared" si="568" ref="H1198">H1199+H1207</f>
        <v>22500</v>
      </c>
      <c r="I1198" s="27">
        <f t="shared" si="553"/>
        <v>77.88889927407546</v>
      </c>
      <c r="J1198" s="129"/>
    </row>
    <row r="1199" spans="1:10" ht="31.5">
      <c r="A1199" s="26" t="s">
        <v>162</v>
      </c>
      <c r="B1199" s="205">
        <v>908</v>
      </c>
      <c r="C1199" s="203" t="s">
        <v>273</v>
      </c>
      <c r="D1199" s="203" t="s">
        <v>273</v>
      </c>
      <c r="E1199" s="203" t="s">
        <v>163</v>
      </c>
      <c r="F1199" s="203"/>
      <c r="G1199" s="27">
        <f>G1200</f>
        <v>14131.5</v>
      </c>
      <c r="H1199" s="27">
        <f aca="true" t="shared" si="569" ref="H1199">H1200</f>
        <v>9052.4</v>
      </c>
      <c r="I1199" s="27">
        <f t="shared" si="553"/>
        <v>64.05830945051835</v>
      </c>
      <c r="J1199" s="129"/>
    </row>
    <row r="1200" spans="1:10" ht="31.5">
      <c r="A1200" s="26" t="s">
        <v>164</v>
      </c>
      <c r="B1200" s="205">
        <v>908</v>
      </c>
      <c r="C1200" s="203" t="s">
        <v>273</v>
      </c>
      <c r="D1200" s="203" t="s">
        <v>273</v>
      </c>
      <c r="E1200" s="203" t="s">
        <v>165</v>
      </c>
      <c r="F1200" s="203"/>
      <c r="G1200" s="27">
        <f>G1201+G1205+G1203</f>
        <v>14131.5</v>
      </c>
      <c r="H1200" s="27">
        <f aca="true" t="shared" si="570" ref="H1200">H1201+H1205+H1203</f>
        <v>9052.4</v>
      </c>
      <c r="I1200" s="27">
        <f t="shared" si="553"/>
        <v>64.05830945051835</v>
      </c>
      <c r="J1200" s="129"/>
    </row>
    <row r="1201" spans="1:10" ht="60.75" customHeight="1">
      <c r="A1201" s="26" t="s">
        <v>166</v>
      </c>
      <c r="B1201" s="205">
        <v>908</v>
      </c>
      <c r="C1201" s="203" t="s">
        <v>273</v>
      </c>
      <c r="D1201" s="203" t="s">
        <v>273</v>
      </c>
      <c r="E1201" s="203" t="s">
        <v>165</v>
      </c>
      <c r="F1201" s="203" t="s">
        <v>167</v>
      </c>
      <c r="G1201" s="27">
        <f>G1202</f>
        <v>14060</v>
      </c>
      <c r="H1201" s="27">
        <f aca="true" t="shared" si="571" ref="H1201">H1202</f>
        <v>9022</v>
      </c>
      <c r="I1201" s="27">
        <f t="shared" si="553"/>
        <v>64.1678520625889</v>
      </c>
      <c r="J1201" s="129"/>
    </row>
    <row r="1202" spans="1:10" ht="31.5">
      <c r="A1202" s="26" t="s">
        <v>168</v>
      </c>
      <c r="B1202" s="205">
        <v>908</v>
      </c>
      <c r="C1202" s="203" t="s">
        <v>273</v>
      </c>
      <c r="D1202" s="203" t="s">
        <v>273</v>
      </c>
      <c r="E1202" s="203" t="s">
        <v>165</v>
      </c>
      <c r="F1202" s="203" t="s">
        <v>169</v>
      </c>
      <c r="G1202" s="28">
        <f>12500.4+960.7+598.9</f>
        <v>14060</v>
      </c>
      <c r="H1202" s="28">
        <v>9022</v>
      </c>
      <c r="I1202" s="27">
        <f t="shared" si="553"/>
        <v>64.1678520625889</v>
      </c>
      <c r="J1202" s="129"/>
    </row>
    <row r="1203" spans="1:10" ht="31.5">
      <c r="A1203" s="26" t="s">
        <v>170</v>
      </c>
      <c r="B1203" s="205">
        <v>908</v>
      </c>
      <c r="C1203" s="203" t="s">
        <v>273</v>
      </c>
      <c r="D1203" s="203" t="s">
        <v>273</v>
      </c>
      <c r="E1203" s="203" t="s">
        <v>165</v>
      </c>
      <c r="F1203" s="203" t="s">
        <v>171</v>
      </c>
      <c r="G1203" s="27">
        <f>G1204</f>
        <v>25</v>
      </c>
      <c r="H1203" s="27">
        <f aca="true" t="shared" si="572" ref="H1203">H1204</f>
        <v>0</v>
      </c>
      <c r="I1203" s="27">
        <f t="shared" si="553"/>
        <v>0</v>
      </c>
      <c r="J1203" s="129"/>
    </row>
    <row r="1204" spans="1:12" ht="36.75" customHeight="1">
      <c r="A1204" s="26" t="s">
        <v>172</v>
      </c>
      <c r="B1204" s="205">
        <v>908</v>
      </c>
      <c r="C1204" s="203" t="s">
        <v>273</v>
      </c>
      <c r="D1204" s="203" t="s">
        <v>273</v>
      </c>
      <c r="E1204" s="203" t="s">
        <v>165</v>
      </c>
      <c r="F1204" s="203" t="s">
        <v>173</v>
      </c>
      <c r="G1204" s="28">
        <v>25</v>
      </c>
      <c r="H1204" s="28">
        <v>0</v>
      </c>
      <c r="I1204" s="27">
        <f t="shared" si="553"/>
        <v>0</v>
      </c>
      <c r="J1204" s="129"/>
      <c r="K1204" s="129"/>
      <c r="L1204" s="129"/>
    </row>
    <row r="1205" spans="1:10" ht="15.75">
      <c r="A1205" s="26" t="s">
        <v>174</v>
      </c>
      <c r="B1205" s="205">
        <v>908</v>
      </c>
      <c r="C1205" s="203" t="s">
        <v>273</v>
      </c>
      <c r="D1205" s="203" t="s">
        <v>273</v>
      </c>
      <c r="E1205" s="203" t="s">
        <v>165</v>
      </c>
      <c r="F1205" s="203" t="s">
        <v>184</v>
      </c>
      <c r="G1205" s="27">
        <f>G1206</f>
        <v>46.5</v>
      </c>
      <c r="H1205" s="27">
        <f aca="true" t="shared" si="573" ref="H1205">H1206</f>
        <v>30.4</v>
      </c>
      <c r="I1205" s="27">
        <f t="shared" si="553"/>
        <v>65.3763440860215</v>
      </c>
      <c r="J1205" s="129"/>
    </row>
    <row r="1206" spans="1:10" ht="15.75">
      <c r="A1206" s="26" t="s">
        <v>608</v>
      </c>
      <c r="B1206" s="205">
        <v>908</v>
      </c>
      <c r="C1206" s="203" t="s">
        <v>273</v>
      </c>
      <c r="D1206" s="203" t="s">
        <v>273</v>
      </c>
      <c r="E1206" s="203" t="s">
        <v>165</v>
      </c>
      <c r="F1206" s="203" t="s">
        <v>177</v>
      </c>
      <c r="G1206" s="27">
        <f>65.3-18.8</f>
        <v>46.5</v>
      </c>
      <c r="H1206" s="27">
        <v>30.4</v>
      </c>
      <c r="I1206" s="27">
        <f t="shared" si="553"/>
        <v>65.3763440860215</v>
      </c>
      <c r="J1206" s="129"/>
    </row>
    <row r="1207" spans="1:10" ht="15.75">
      <c r="A1207" s="26" t="s">
        <v>180</v>
      </c>
      <c r="B1207" s="205">
        <v>908</v>
      </c>
      <c r="C1207" s="203" t="s">
        <v>273</v>
      </c>
      <c r="D1207" s="203" t="s">
        <v>273</v>
      </c>
      <c r="E1207" s="203" t="s">
        <v>181</v>
      </c>
      <c r="F1207" s="203"/>
      <c r="G1207" s="27">
        <f>G1211+G1208+G1216</f>
        <v>14755.800000000001</v>
      </c>
      <c r="H1207" s="27">
        <f aca="true" t="shared" si="574" ref="H1207">H1211+H1208+H1216</f>
        <v>13447.599999999999</v>
      </c>
      <c r="I1207" s="27">
        <f t="shared" si="553"/>
        <v>91.13433361796716</v>
      </c>
      <c r="J1207" s="129"/>
    </row>
    <row r="1208" spans="1:10" ht="31.5">
      <c r="A1208" s="26" t="s">
        <v>610</v>
      </c>
      <c r="B1208" s="205">
        <v>908</v>
      </c>
      <c r="C1208" s="203" t="s">
        <v>273</v>
      </c>
      <c r="D1208" s="203" t="s">
        <v>273</v>
      </c>
      <c r="E1208" s="203" t="s">
        <v>611</v>
      </c>
      <c r="F1208" s="203"/>
      <c r="G1208" s="28">
        <f>G1209</f>
        <v>982.2</v>
      </c>
      <c r="H1208" s="28">
        <f aca="true" t="shared" si="575" ref="H1208:H1209">H1209</f>
        <v>780.9</v>
      </c>
      <c r="I1208" s="27">
        <f t="shared" si="553"/>
        <v>79.50519242516798</v>
      </c>
      <c r="J1208" s="129"/>
    </row>
    <row r="1209" spans="1:10" ht="15.75">
      <c r="A1209" s="26" t="s">
        <v>174</v>
      </c>
      <c r="B1209" s="205">
        <v>908</v>
      </c>
      <c r="C1209" s="203" t="s">
        <v>273</v>
      </c>
      <c r="D1209" s="203" t="s">
        <v>273</v>
      </c>
      <c r="E1209" s="203" t="s">
        <v>611</v>
      </c>
      <c r="F1209" s="203" t="s">
        <v>184</v>
      </c>
      <c r="G1209" s="28">
        <f>G1210</f>
        <v>982.2</v>
      </c>
      <c r="H1209" s="28">
        <f t="shared" si="575"/>
        <v>780.9</v>
      </c>
      <c r="I1209" s="27">
        <f t="shared" si="553"/>
        <v>79.50519242516798</v>
      </c>
      <c r="J1209" s="129"/>
    </row>
    <row r="1210" spans="1:10" ht="47.25" customHeight="1">
      <c r="A1210" s="26" t="s">
        <v>223</v>
      </c>
      <c r="B1210" s="205">
        <v>908</v>
      </c>
      <c r="C1210" s="203" t="s">
        <v>273</v>
      </c>
      <c r="D1210" s="203" t="s">
        <v>273</v>
      </c>
      <c r="E1210" s="203" t="s">
        <v>611</v>
      </c>
      <c r="F1210" s="203" t="s">
        <v>199</v>
      </c>
      <c r="G1210" s="28">
        <f>982.2</f>
        <v>982.2</v>
      </c>
      <c r="H1210" s="28">
        <v>780.9</v>
      </c>
      <c r="I1210" s="27">
        <f t="shared" si="553"/>
        <v>79.50519242516798</v>
      </c>
      <c r="J1210" s="129"/>
    </row>
    <row r="1211" spans="1:10" ht="31.5">
      <c r="A1211" s="26" t="s">
        <v>379</v>
      </c>
      <c r="B1211" s="205">
        <v>908</v>
      </c>
      <c r="C1211" s="203" t="s">
        <v>273</v>
      </c>
      <c r="D1211" s="203" t="s">
        <v>273</v>
      </c>
      <c r="E1211" s="203" t="s">
        <v>380</v>
      </c>
      <c r="F1211" s="203"/>
      <c r="G1211" s="27">
        <f>G1212+G1214</f>
        <v>7773.6</v>
      </c>
      <c r="H1211" s="27">
        <f aca="true" t="shared" si="576" ref="H1211">H1212+H1214</f>
        <v>6666.7</v>
      </c>
      <c r="I1211" s="27">
        <f t="shared" si="553"/>
        <v>85.76078007615519</v>
      </c>
      <c r="J1211" s="129"/>
    </row>
    <row r="1212" spans="1:10" ht="69.75" customHeight="1">
      <c r="A1212" s="26" t="s">
        <v>166</v>
      </c>
      <c r="B1212" s="205">
        <v>908</v>
      </c>
      <c r="C1212" s="203" t="s">
        <v>273</v>
      </c>
      <c r="D1212" s="203" t="s">
        <v>273</v>
      </c>
      <c r="E1212" s="203" t="s">
        <v>380</v>
      </c>
      <c r="F1212" s="203" t="s">
        <v>167</v>
      </c>
      <c r="G1212" s="27">
        <f>G1213</f>
        <v>5981.400000000001</v>
      </c>
      <c r="H1212" s="27">
        <f aca="true" t="shared" si="577" ref="H1212">H1213</f>
        <v>5714.3</v>
      </c>
      <c r="I1212" s="27">
        <f t="shared" si="553"/>
        <v>95.534490253118</v>
      </c>
      <c r="J1212" s="129"/>
    </row>
    <row r="1213" spans="1:10" ht="20.25" customHeight="1">
      <c r="A1213" s="26" t="s">
        <v>381</v>
      </c>
      <c r="B1213" s="205">
        <v>908</v>
      </c>
      <c r="C1213" s="203" t="s">
        <v>273</v>
      </c>
      <c r="D1213" s="203" t="s">
        <v>273</v>
      </c>
      <c r="E1213" s="203" t="s">
        <v>380</v>
      </c>
      <c r="F1213" s="203" t="s">
        <v>248</v>
      </c>
      <c r="G1213" s="28">
        <f>5813.3-183.6+222.6+129.1</f>
        <v>5981.400000000001</v>
      </c>
      <c r="H1213" s="28">
        <v>5714.3</v>
      </c>
      <c r="I1213" s="27">
        <f t="shared" si="553"/>
        <v>95.534490253118</v>
      </c>
      <c r="J1213" s="129"/>
    </row>
    <row r="1214" spans="1:10" ht="31.5">
      <c r="A1214" s="26" t="s">
        <v>170</v>
      </c>
      <c r="B1214" s="205">
        <v>908</v>
      </c>
      <c r="C1214" s="203" t="s">
        <v>273</v>
      </c>
      <c r="D1214" s="203" t="s">
        <v>273</v>
      </c>
      <c r="E1214" s="203" t="s">
        <v>380</v>
      </c>
      <c r="F1214" s="203" t="s">
        <v>171</v>
      </c>
      <c r="G1214" s="27">
        <f>G1215</f>
        <v>1792.2</v>
      </c>
      <c r="H1214" s="27">
        <f aca="true" t="shared" si="578" ref="H1214">H1215</f>
        <v>952.4</v>
      </c>
      <c r="I1214" s="27">
        <f t="shared" si="553"/>
        <v>53.14139046981363</v>
      </c>
      <c r="J1214" s="129"/>
    </row>
    <row r="1215" spans="1:10" ht="31.5">
      <c r="A1215" s="26" t="s">
        <v>172</v>
      </c>
      <c r="B1215" s="205">
        <v>908</v>
      </c>
      <c r="C1215" s="203" t="s">
        <v>273</v>
      </c>
      <c r="D1215" s="203" t="s">
        <v>273</v>
      </c>
      <c r="E1215" s="203" t="s">
        <v>380</v>
      </c>
      <c r="F1215" s="203" t="s">
        <v>173</v>
      </c>
      <c r="G1215" s="28">
        <f>3670-1877.8</f>
        <v>1792.2</v>
      </c>
      <c r="H1215" s="28">
        <v>952.4</v>
      </c>
      <c r="I1215" s="27">
        <f t="shared" si="553"/>
        <v>53.14139046981363</v>
      </c>
      <c r="J1215" s="129"/>
    </row>
    <row r="1216" spans="1:10" ht="31.5">
      <c r="A1216" s="26" t="s">
        <v>1044</v>
      </c>
      <c r="B1216" s="205">
        <v>908</v>
      </c>
      <c r="C1216" s="203" t="s">
        <v>273</v>
      </c>
      <c r="D1216" s="203" t="s">
        <v>273</v>
      </c>
      <c r="E1216" s="203" t="s">
        <v>1045</v>
      </c>
      <c r="F1216" s="203"/>
      <c r="G1216" s="28">
        <f>G1217</f>
        <v>6000</v>
      </c>
      <c r="H1216" s="28">
        <f aca="true" t="shared" si="579" ref="H1216:H1217">H1217</f>
        <v>6000</v>
      </c>
      <c r="I1216" s="27">
        <f t="shared" si="553"/>
        <v>100</v>
      </c>
      <c r="J1216" s="129"/>
    </row>
    <row r="1217" spans="1:10" ht="15.75">
      <c r="A1217" s="26" t="s">
        <v>174</v>
      </c>
      <c r="B1217" s="205">
        <v>908</v>
      </c>
      <c r="C1217" s="203" t="s">
        <v>273</v>
      </c>
      <c r="D1217" s="203" t="s">
        <v>273</v>
      </c>
      <c r="E1217" s="203" t="s">
        <v>1045</v>
      </c>
      <c r="F1217" s="203" t="s">
        <v>184</v>
      </c>
      <c r="G1217" s="28">
        <f>G1218</f>
        <v>6000</v>
      </c>
      <c r="H1217" s="28">
        <f t="shared" si="579"/>
        <v>6000</v>
      </c>
      <c r="I1217" s="27">
        <f t="shared" si="553"/>
        <v>100</v>
      </c>
      <c r="J1217" s="129"/>
    </row>
    <row r="1218" spans="1:10" ht="47.25">
      <c r="A1218" s="26" t="s">
        <v>223</v>
      </c>
      <c r="B1218" s="205">
        <v>908</v>
      </c>
      <c r="C1218" s="203" t="s">
        <v>273</v>
      </c>
      <c r="D1218" s="203" t="s">
        <v>273</v>
      </c>
      <c r="E1218" s="203" t="s">
        <v>1045</v>
      </c>
      <c r="F1218" s="203" t="s">
        <v>199</v>
      </c>
      <c r="G1218" s="28">
        <v>6000</v>
      </c>
      <c r="H1218" s="28">
        <v>6000</v>
      </c>
      <c r="I1218" s="27">
        <f t="shared" si="553"/>
        <v>100</v>
      </c>
      <c r="J1218" s="129"/>
    </row>
    <row r="1219" spans="1:10" ht="15.75">
      <c r="A1219" s="24" t="s">
        <v>282</v>
      </c>
      <c r="B1219" s="202">
        <v>908</v>
      </c>
      <c r="C1219" s="204" t="s">
        <v>283</v>
      </c>
      <c r="D1219" s="204"/>
      <c r="E1219" s="204"/>
      <c r="F1219" s="204"/>
      <c r="G1219" s="22">
        <f aca="true" t="shared" si="580" ref="G1219:H1224">G1220</f>
        <v>87.1</v>
      </c>
      <c r="H1219" s="22">
        <f t="shared" si="580"/>
        <v>0</v>
      </c>
      <c r="I1219" s="22">
        <f t="shared" si="553"/>
        <v>0</v>
      </c>
      <c r="J1219" s="129"/>
    </row>
    <row r="1220" spans="1:10" ht="15.75">
      <c r="A1220" s="24" t="s">
        <v>297</v>
      </c>
      <c r="B1220" s="202">
        <v>908</v>
      </c>
      <c r="C1220" s="204" t="s">
        <v>283</v>
      </c>
      <c r="D1220" s="204" t="s">
        <v>159</v>
      </c>
      <c r="E1220" s="204"/>
      <c r="F1220" s="204"/>
      <c r="G1220" s="22">
        <f t="shared" si="580"/>
        <v>87.1</v>
      </c>
      <c r="H1220" s="22">
        <f t="shared" si="580"/>
        <v>0</v>
      </c>
      <c r="I1220" s="22">
        <f t="shared" si="553"/>
        <v>0</v>
      </c>
      <c r="J1220" s="129"/>
    </row>
    <row r="1221" spans="1:10" ht="15.75">
      <c r="A1221" s="26" t="s">
        <v>160</v>
      </c>
      <c r="B1221" s="205">
        <v>908</v>
      </c>
      <c r="C1221" s="203" t="s">
        <v>283</v>
      </c>
      <c r="D1221" s="203" t="s">
        <v>159</v>
      </c>
      <c r="E1221" s="203" t="s">
        <v>161</v>
      </c>
      <c r="F1221" s="203"/>
      <c r="G1221" s="22">
        <f>G1222+G1226</f>
        <v>87.1</v>
      </c>
      <c r="H1221" s="22">
        <f aca="true" t="shared" si="581" ref="H1221">H1222+H1226</f>
        <v>0</v>
      </c>
      <c r="I1221" s="22">
        <f t="shared" si="553"/>
        <v>0</v>
      </c>
      <c r="J1221" s="129"/>
    </row>
    <row r="1222" spans="1:10" ht="15.75" hidden="1">
      <c r="A1222" s="26" t="s">
        <v>180</v>
      </c>
      <c r="B1222" s="205">
        <v>908</v>
      </c>
      <c r="C1222" s="203" t="s">
        <v>283</v>
      </c>
      <c r="D1222" s="203" t="s">
        <v>159</v>
      </c>
      <c r="E1222" s="203" t="s">
        <v>181</v>
      </c>
      <c r="F1222" s="203"/>
      <c r="G1222" s="27">
        <f t="shared" si="580"/>
        <v>0</v>
      </c>
      <c r="H1222" s="27">
        <f t="shared" si="580"/>
        <v>0</v>
      </c>
      <c r="I1222" s="22" t="e">
        <f t="shared" si="553"/>
        <v>#DIV/0!</v>
      </c>
      <c r="J1222" s="129"/>
    </row>
    <row r="1223" spans="1:10" ht="15.75" hidden="1">
      <c r="A1223" s="26" t="s">
        <v>612</v>
      </c>
      <c r="B1223" s="205">
        <v>908</v>
      </c>
      <c r="C1223" s="203" t="s">
        <v>283</v>
      </c>
      <c r="D1223" s="203" t="s">
        <v>159</v>
      </c>
      <c r="E1223" s="203" t="s">
        <v>613</v>
      </c>
      <c r="F1223" s="203"/>
      <c r="G1223" s="27">
        <f t="shared" si="580"/>
        <v>0</v>
      </c>
      <c r="H1223" s="27">
        <f t="shared" si="580"/>
        <v>0</v>
      </c>
      <c r="I1223" s="22" t="e">
        <f t="shared" si="553"/>
        <v>#DIV/0!</v>
      </c>
      <c r="J1223" s="129"/>
    </row>
    <row r="1224" spans="1:10" ht="15.75" hidden="1">
      <c r="A1224" s="26" t="s">
        <v>174</v>
      </c>
      <c r="B1224" s="205">
        <v>908</v>
      </c>
      <c r="C1224" s="203" t="s">
        <v>283</v>
      </c>
      <c r="D1224" s="203" t="s">
        <v>159</v>
      </c>
      <c r="E1224" s="203" t="s">
        <v>613</v>
      </c>
      <c r="F1224" s="203" t="s">
        <v>184</v>
      </c>
      <c r="G1224" s="27">
        <f t="shared" si="580"/>
        <v>0</v>
      </c>
      <c r="H1224" s="27">
        <f t="shared" si="580"/>
        <v>0</v>
      </c>
      <c r="I1224" s="22" t="e">
        <f t="shared" si="553"/>
        <v>#DIV/0!</v>
      </c>
      <c r="J1224" s="129"/>
    </row>
    <row r="1225" spans="1:10" ht="54.75" customHeight="1" hidden="1">
      <c r="A1225" s="26" t="s">
        <v>223</v>
      </c>
      <c r="B1225" s="205">
        <v>908</v>
      </c>
      <c r="C1225" s="203" t="s">
        <v>283</v>
      </c>
      <c r="D1225" s="203" t="s">
        <v>159</v>
      </c>
      <c r="E1225" s="203" t="s">
        <v>613</v>
      </c>
      <c r="F1225" s="203" t="s">
        <v>199</v>
      </c>
      <c r="G1225" s="27">
        <v>0</v>
      </c>
      <c r="H1225" s="27">
        <v>0</v>
      </c>
      <c r="I1225" s="22" t="e">
        <f t="shared" si="553"/>
        <v>#DIV/0!</v>
      </c>
      <c r="J1225" s="129"/>
    </row>
    <row r="1226" spans="1:10" ht="15.75">
      <c r="A1226" s="26" t="s">
        <v>624</v>
      </c>
      <c r="B1226" s="205">
        <v>908</v>
      </c>
      <c r="C1226" s="203" t="s">
        <v>283</v>
      </c>
      <c r="D1226" s="203" t="s">
        <v>159</v>
      </c>
      <c r="E1226" s="203" t="s">
        <v>625</v>
      </c>
      <c r="F1226" s="203"/>
      <c r="G1226" s="27">
        <f>G1227</f>
        <v>87.1</v>
      </c>
      <c r="H1226" s="27">
        <f aca="true" t="shared" si="582" ref="H1226:H1228">H1227</f>
        <v>0</v>
      </c>
      <c r="I1226" s="27">
        <f t="shared" si="553"/>
        <v>0</v>
      </c>
      <c r="J1226" s="129"/>
    </row>
    <row r="1227" spans="1:10" ht="15.75">
      <c r="A1227" s="26" t="s">
        <v>612</v>
      </c>
      <c r="B1227" s="205">
        <v>908</v>
      </c>
      <c r="C1227" s="203" t="s">
        <v>283</v>
      </c>
      <c r="D1227" s="203" t="s">
        <v>159</v>
      </c>
      <c r="E1227" s="203" t="s">
        <v>977</v>
      </c>
      <c r="F1227" s="203"/>
      <c r="G1227" s="27">
        <f>G1228</f>
        <v>87.1</v>
      </c>
      <c r="H1227" s="27">
        <f t="shared" si="582"/>
        <v>0</v>
      </c>
      <c r="I1227" s="27">
        <f t="shared" si="553"/>
        <v>0</v>
      </c>
      <c r="J1227" s="129"/>
    </row>
    <row r="1228" spans="1:10" ht="31.5">
      <c r="A1228" s="26" t="s">
        <v>170</v>
      </c>
      <c r="B1228" s="205">
        <v>908</v>
      </c>
      <c r="C1228" s="203" t="s">
        <v>283</v>
      </c>
      <c r="D1228" s="203" t="s">
        <v>159</v>
      </c>
      <c r="E1228" s="203" t="s">
        <v>977</v>
      </c>
      <c r="F1228" s="203" t="s">
        <v>171</v>
      </c>
      <c r="G1228" s="27">
        <f>G1229</f>
        <v>87.1</v>
      </c>
      <c r="H1228" s="27">
        <f t="shared" si="582"/>
        <v>0</v>
      </c>
      <c r="I1228" s="27">
        <f t="shared" si="553"/>
        <v>0</v>
      </c>
      <c r="J1228" s="129"/>
    </row>
    <row r="1229" spans="1:10" ht="31.5">
      <c r="A1229" s="26" t="s">
        <v>172</v>
      </c>
      <c r="B1229" s="205">
        <v>908</v>
      </c>
      <c r="C1229" s="203" t="s">
        <v>283</v>
      </c>
      <c r="D1229" s="203" t="s">
        <v>159</v>
      </c>
      <c r="E1229" s="203" t="s">
        <v>977</v>
      </c>
      <c r="F1229" s="203" t="s">
        <v>173</v>
      </c>
      <c r="G1229" s="27">
        <v>87.1</v>
      </c>
      <c r="H1229" s="27">
        <v>0</v>
      </c>
      <c r="I1229" s="27">
        <f t="shared" si="553"/>
        <v>0</v>
      </c>
      <c r="J1229" s="129"/>
    </row>
    <row r="1230" spans="1:10" ht="19.5" customHeight="1">
      <c r="A1230" s="20" t="s">
        <v>614</v>
      </c>
      <c r="B1230" s="202">
        <v>910</v>
      </c>
      <c r="C1230" s="213"/>
      <c r="D1230" s="213"/>
      <c r="E1230" s="213"/>
      <c r="F1230" s="213"/>
      <c r="G1230" s="22">
        <f>G1231</f>
        <v>8523.7</v>
      </c>
      <c r="H1230" s="22">
        <f aca="true" t="shared" si="583" ref="H1230">H1231</f>
        <v>4741.500000000001</v>
      </c>
      <c r="I1230" s="22">
        <f t="shared" si="553"/>
        <v>55.62725107641049</v>
      </c>
      <c r="J1230" s="129"/>
    </row>
    <row r="1231" spans="1:10" ht="15.75">
      <c r="A1231" s="24" t="s">
        <v>156</v>
      </c>
      <c r="B1231" s="202">
        <v>910</v>
      </c>
      <c r="C1231" s="204" t="s">
        <v>157</v>
      </c>
      <c r="D1231" s="204"/>
      <c r="E1231" s="204"/>
      <c r="F1231" s="204"/>
      <c r="G1231" s="22">
        <f>G1232+G1240+G1250+G1258</f>
        <v>8523.7</v>
      </c>
      <c r="H1231" s="22">
        <f aca="true" t="shared" si="584" ref="H1231">H1232+H1240+H1250+H1258</f>
        <v>4741.500000000001</v>
      </c>
      <c r="I1231" s="22">
        <f aca="true" t="shared" si="585" ref="I1231:I1290">H1231/G1231*100</f>
        <v>55.62725107641049</v>
      </c>
      <c r="J1231" s="129"/>
    </row>
    <row r="1232" spans="1:10" ht="31.5">
      <c r="A1232" s="24" t="s">
        <v>615</v>
      </c>
      <c r="B1232" s="202">
        <v>910</v>
      </c>
      <c r="C1232" s="204" t="s">
        <v>157</v>
      </c>
      <c r="D1232" s="204" t="s">
        <v>252</v>
      </c>
      <c r="E1232" s="204"/>
      <c r="F1232" s="204"/>
      <c r="G1232" s="22">
        <f>G1233</f>
        <v>4330.8</v>
      </c>
      <c r="H1232" s="22">
        <f aca="true" t="shared" si="586" ref="H1232:H1234">H1233</f>
        <v>2623.4</v>
      </c>
      <c r="I1232" s="22">
        <f t="shared" si="585"/>
        <v>60.57541331855546</v>
      </c>
      <c r="J1232" s="129"/>
    </row>
    <row r="1233" spans="1:10" ht="15.75">
      <c r="A1233" s="26" t="s">
        <v>160</v>
      </c>
      <c r="B1233" s="205">
        <v>910</v>
      </c>
      <c r="C1233" s="203" t="s">
        <v>157</v>
      </c>
      <c r="D1233" s="203" t="s">
        <v>252</v>
      </c>
      <c r="E1233" s="203" t="s">
        <v>161</v>
      </c>
      <c r="F1233" s="203"/>
      <c r="G1233" s="27">
        <f>G1234</f>
        <v>4330.8</v>
      </c>
      <c r="H1233" s="27">
        <f t="shared" si="586"/>
        <v>2623.4</v>
      </c>
      <c r="I1233" s="27">
        <f t="shared" si="585"/>
        <v>60.57541331855546</v>
      </c>
      <c r="J1233" s="129"/>
    </row>
    <row r="1234" spans="1:10" ht="31.5">
      <c r="A1234" s="26" t="s">
        <v>162</v>
      </c>
      <c r="B1234" s="205">
        <v>910</v>
      </c>
      <c r="C1234" s="203" t="s">
        <v>157</v>
      </c>
      <c r="D1234" s="203" t="s">
        <v>252</v>
      </c>
      <c r="E1234" s="203" t="s">
        <v>163</v>
      </c>
      <c r="F1234" s="203"/>
      <c r="G1234" s="27">
        <f>G1235</f>
        <v>4330.8</v>
      </c>
      <c r="H1234" s="27">
        <f t="shared" si="586"/>
        <v>2623.4</v>
      </c>
      <c r="I1234" s="27">
        <f t="shared" si="585"/>
        <v>60.57541331855546</v>
      </c>
      <c r="J1234" s="129"/>
    </row>
    <row r="1235" spans="1:10" ht="31.5">
      <c r="A1235" s="26" t="s">
        <v>616</v>
      </c>
      <c r="B1235" s="205">
        <v>910</v>
      </c>
      <c r="C1235" s="203" t="s">
        <v>157</v>
      </c>
      <c r="D1235" s="203" t="s">
        <v>252</v>
      </c>
      <c r="E1235" s="203" t="s">
        <v>617</v>
      </c>
      <c r="F1235" s="203"/>
      <c r="G1235" s="27">
        <f>G1236+G1238</f>
        <v>4330.8</v>
      </c>
      <c r="H1235" s="27">
        <f aca="true" t="shared" si="587" ref="H1235">H1236+H1238</f>
        <v>2623.4</v>
      </c>
      <c r="I1235" s="27">
        <f t="shared" si="585"/>
        <v>60.57541331855546</v>
      </c>
      <c r="J1235" s="129"/>
    </row>
    <row r="1236" spans="1:10" ht="63">
      <c r="A1236" s="26" t="s">
        <v>166</v>
      </c>
      <c r="B1236" s="205">
        <v>910</v>
      </c>
      <c r="C1236" s="203" t="s">
        <v>157</v>
      </c>
      <c r="D1236" s="203" t="s">
        <v>252</v>
      </c>
      <c r="E1236" s="203" t="s">
        <v>617</v>
      </c>
      <c r="F1236" s="203" t="s">
        <v>167</v>
      </c>
      <c r="G1236" s="27">
        <f>G1237</f>
        <v>4309.8</v>
      </c>
      <c r="H1236" s="27">
        <f aca="true" t="shared" si="588" ref="H1236">H1237</f>
        <v>2623.4</v>
      </c>
      <c r="I1236" s="27">
        <f t="shared" si="585"/>
        <v>60.87057404055872</v>
      </c>
      <c r="J1236" s="129"/>
    </row>
    <row r="1237" spans="1:10" ht="31.5">
      <c r="A1237" s="26" t="s">
        <v>168</v>
      </c>
      <c r="B1237" s="205">
        <v>910</v>
      </c>
      <c r="C1237" s="203" t="s">
        <v>157</v>
      </c>
      <c r="D1237" s="203" t="s">
        <v>252</v>
      </c>
      <c r="E1237" s="203" t="s">
        <v>617</v>
      </c>
      <c r="F1237" s="203" t="s">
        <v>169</v>
      </c>
      <c r="G1237" s="28">
        <f>4581.8-522.1+250.1</f>
        <v>4309.8</v>
      </c>
      <c r="H1237" s="28">
        <v>2623.4</v>
      </c>
      <c r="I1237" s="27">
        <f t="shared" si="585"/>
        <v>60.87057404055872</v>
      </c>
      <c r="J1237" s="129"/>
    </row>
    <row r="1238" spans="1:10" ht="34.5" customHeight="1">
      <c r="A1238" s="26" t="s">
        <v>237</v>
      </c>
      <c r="B1238" s="205">
        <v>910</v>
      </c>
      <c r="C1238" s="203" t="s">
        <v>157</v>
      </c>
      <c r="D1238" s="203" t="s">
        <v>252</v>
      </c>
      <c r="E1238" s="203" t="s">
        <v>617</v>
      </c>
      <c r="F1238" s="203" t="s">
        <v>171</v>
      </c>
      <c r="G1238" s="27">
        <f>G1239</f>
        <v>21</v>
      </c>
      <c r="H1238" s="27">
        <f aca="true" t="shared" si="589" ref="H1238">H1239</f>
        <v>0</v>
      </c>
      <c r="I1238" s="27">
        <f t="shared" si="585"/>
        <v>0</v>
      </c>
      <c r="J1238" s="129"/>
    </row>
    <row r="1239" spans="1:10" ht="30" customHeight="1">
      <c r="A1239" s="26" t="s">
        <v>172</v>
      </c>
      <c r="B1239" s="205">
        <v>910</v>
      </c>
      <c r="C1239" s="203" t="s">
        <v>157</v>
      </c>
      <c r="D1239" s="203" t="s">
        <v>252</v>
      </c>
      <c r="E1239" s="203" t="s">
        <v>617</v>
      </c>
      <c r="F1239" s="203" t="s">
        <v>173</v>
      </c>
      <c r="G1239" s="27">
        <v>21</v>
      </c>
      <c r="H1239" s="27">
        <v>0</v>
      </c>
      <c r="I1239" s="27">
        <f t="shared" si="585"/>
        <v>0</v>
      </c>
      <c r="J1239" s="129"/>
    </row>
    <row r="1240" spans="1:10" ht="47.25" customHeight="1">
      <c r="A1240" s="24" t="s">
        <v>618</v>
      </c>
      <c r="B1240" s="202">
        <v>910</v>
      </c>
      <c r="C1240" s="204" t="s">
        <v>157</v>
      </c>
      <c r="D1240" s="204" t="s">
        <v>254</v>
      </c>
      <c r="E1240" s="204"/>
      <c r="F1240" s="204"/>
      <c r="G1240" s="22">
        <f>G1241</f>
        <v>1116</v>
      </c>
      <c r="H1240" s="22">
        <f aca="true" t="shared" si="590" ref="H1240:H1242">H1241</f>
        <v>875.3000000000001</v>
      </c>
      <c r="I1240" s="22">
        <f t="shared" si="585"/>
        <v>78.43189964157706</v>
      </c>
      <c r="J1240" s="129"/>
    </row>
    <row r="1241" spans="1:10" ht="15.75">
      <c r="A1241" s="26" t="s">
        <v>160</v>
      </c>
      <c r="B1241" s="205">
        <v>910</v>
      </c>
      <c r="C1241" s="203" t="s">
        <v>157</v>
      </c>
      <c r="D1241" s="203" t="s">
        <v>254</v>
      </c>
      <c r="E1241" s="203" t="s">
        <v>161</v>
      </c>
      <c r="F1241" s="204"/>
      <c r="G1241" s="27">
        <f>G1242</f>
        <v>1116</v>
      </c>
      <c r="H1241" s="27">
        <f t="shared" si="590"/>
        <v>875.3000000000001</v>
      </c>
      <c r="I1241" s="27">
        <f t="shared" si="585"/>
        <v>78.43189964157706</v>
      </c>
      <c r="J1241" s="129"/>
    </row>
    <row r="1242" spans="1:10" ht="31.5">
      <c r="A1242" s="26" t="s">
        <v>162</v>
      </c>
      <c r="B1242" s="205">
        <v>910</v>
      </c>
      <c r="C1242" s="203" t="s">
        <v>157</v>
      </c>
      <c r="D1242" s="203" t="s">
        <v>254</v>
      </c>
      <c r="E1242" s="203" t="s">
        <v>163</v>
      </c>
      <c r="F1242" s="204"/>
      <c r="G1242" s="27">
        <f>G1243</f>
        <v>1116</v>
      </c>
      <c r="H1242" s="27">
        <f t="shared" si="590"/>
        <v>875.3000000000001</v>
      </c>
      <c r="I1242" s="27">
        <f t="shared" si="585"/>
        <v>78.43189964157706</v>
      </c>
      <c r="J1242" s="129"/>
    </row>
    <row r="1243" spans="1:10" ht="31.5">
      <c r="A1243" s="26" t="s">
        <v>619</v>
      </c>
      <c r="B1243" s="205">
        <v>910</v>
      </c>
      <c r="C1243" s="203" t="s">
        <v>157</v>
      </c>
      <c r="D1243" s="203" t="s">
        <v>254</v>
      </c>
      <c r="E1243" s="203" t="s">
        <v>620</v>
      </c>
      <c r="F1243" s="203"/>
      <c r="G1243" s="27">
        <f>G1244+G1246+G1248</f>
        <v>1116</v>
      </c>
      <c r="H1243" s="27">
        <f aca="true" t="shared" si="591" ref="H1243">H1244+H1246+H1248</f>
        <v>875.3000000000001</v>
      </c>
      <c r="I1243" s="27">
        <f t="shared" si="585"/>
        <v>78.43189964157706</v>
      </c>
      <c r="J1243" s="129"/>
    </row>
    <row r="1244" spans="1:10" ht="63">
      <c r="A1244" s="26" t="s">
        <v>166</v>
      </c>
      <c r="B1244" s="205">
        <v>910</v>
      </c>
      <c r="C1244" s="203" t="s">
        <v>157</v>
      </c>
      <c r="D1244" s="203" t="s">
        <v>254</v>
      </c>
      <c r="E1244" s="203" t="s">
        <v>620</v>
      </c>
      <c r="F1244" s="203" t="s">
        <v>167</v>
      </c>
      <c r="G1244" s="27">
        <f>G1245</f>
        <v>1023</v>
      </c>
      <c r="H1244" s="27">
        <f aca="true" t="shared" si="592" ref="H1244">H1245</f>
        <v>806.7</v>
      </c>
      <c r="I1244" s="27">
        <f t="shared" si="585"/>
        <v>78.85630498533725</v>
      </c>
      <c r="J1244" s="129"/>
    </row>
    <row r="1245" spans="1:10" ht="31.5">
      <c r="A1245" s="26" t="s">
        <v>168</v>
      </c>
      <c r="B1245" s="205">
        <v>910</v>
      </c>
      <c r="C1245" s="203" t="s">
        <v>157</v>
      </c>
      <c r="D1245" s="203" t="s">
        <v>254</v>
      </c>
      <c r="E1245" s="203" t="s">
        <v>620</v>
      </c>
      <c r="F1245" s="203" t="s">
        <v>169</v>
      </c>
      <c r="G1245" s="27">
        <f>1152.5-141.2+11.7</f>
        <v>1023</v>
      </c>
      <c r="H1245" s="27">
        <v>806.7</v>
      </c>
      <c r="I1245" s="27">
        <f t="shared" si="585"/>
        <v>78.85630498533725</v>
      </c>
      <c r="J1245" s="129"/>
    </row>
    <row r="1246" spans="1:10" ht="31.5">
      <c r="A1246" s="26" t="s">
        <v>237</v>
      </c>
      <c r="B1246" s="205">
        <v>910</v>
      </c>
      <c r="C1246" s="203" t="s">
        <v>157</v>
      </c>
      <c r="D1246" s="203" t="s">
        <v>254</v>
      </c>
      <c r="E1246" s="203" t="s">
        <v>620</v>
      </c>
      <c r="F1246" s="203" t="s">
        <v>171</v>
      </c>
      <c r="G1246" s="27">
        <f>G1247</f>
        <v>93</v>
      </c>
      <c r="H1246" s="27">
        <f aca="true" t="shared" si="593" ref="H1246">H1247</f>
        <v>68.6</v>
      </c>
      <c r="I1246" s="27">
        <f t="shared" si="585"/>
        <v>73.76344086021504</v>
      </c>
      <c r="J1246" s="129"/>
    </row>
    <row r="1247" spans="1:10" ht="31.5">
      <c r="A1247" s="26" t="s">
        <v>172</v>
      </c>
      <c r="B1247" s="205">
        <v>910</v>
      </c>
      <c r="C1247" s="203" t="s">
        <v>157</v>
      </c>
      <c r="D1247" s="203" t="s">
        <v>254</v>
      </c>
      <c r="E1247" s="203" t="s">
        <v>620</v>
      </c>
      <c r="F1247" s="203" t="s">
        <v>173</v>
      </c>
      <c r="G1247" s="27">
        <v>93</v>
      </c>
      <c r="H1247" s="27">
        <v>68.6</v>
      </c>
      <c r="I1247" s="27">
        <f t="shared" si="585"/>
        <v>73.76344086021504</v>
      </c>
      <c r="J1247" s="129"/>
    </row>
    <row r="1248" spans="1:10" ht="15.75" customHeight="1" hidden="1">
      <c r="A1248" s="26" t="s">
        <v>174</v>
      </c>
      <c r="B1248" s="205">
        <v>910</v>
      </c>
      <c r="C1248" s="203" t="s">
        <v>157</v>
      </c>
      <c r="D1248" s="203" t="s">
        <v>254</v>
      </c>
      <c r="E1248" s="203" t="s">
        <v>620</v>
      </c>
      <c r="F1248" s="203" t="s">
        <v>184</v>
      </c>
      <c r="G1248" s="27">
        <f>G1249</f>
        <v>0</v>
      </c>
      <c r="H1248" s="27">
        <f aca="true" t="shared" si="594" ref="H1248">H1249</f>
        <v>0</v>
      </c>
      <c r="I1248" s="22" t="e">
        <f t="shared" si="585"/>
        <v>#DIV/0!</v>
      </c>
      <c r="J1248" s="129"/>
    </row>
    <row r="1249" spans="1:10" ht="15.75" customHeight="1" hidden="1">
      <c r="A1249" s="26" t="s">
        <v>608</v>
      </c>
      <c r="B1249" s="205">
        <v>910</v>
      </c>
      <c r="C1249" s="203" t="s">
        <v>157</v>
      </c>
      <c r="D1249" s="203" t="s">
        <v>254</v>
      </c>
      <c r="E1249" s="203" t="s">
        <v>620</v>
      </c>
      <c r="F1249" s="203" t="s">
        <v>177</v>
      </c>
      <c r="G1249" s="27">
        <v>0</v>
      </c>
      <c r="H1249" s="27">
        <v>0</v>
      </c>
      <c r="I1249" s="22" t="e">
        <f t="shared" si="585"/>
        <v>#DIV/0!</v>
      </c>
      <c r="J1249" s="129"/>
    </row>
    <row r="1250" spans="1:10" ht="47.25">
      <c r="A1250" s="24" t="s">
        <v>158</v>
      </c>
      <c r="B1250" s="202">
        <v>910</v>
      </c>
      <c r="C1250" s="204" t="s">
        <v>157</v>
      </c>
      <c r="D1250" s="204" t="s">
        <v>159</v>
      </c>
      <c r="E1250" s="204"/>
      <c r="F1250" s="204"/>
      <c r="G1250" s="22">
        <f>G1251</f>
        <v>3051.4000000000005</v>
      </c>
      <c r="H1250" s="22">
        <f aca="true" t="shared" si="595" ref="H1250:H1252">H1251</f>
        <v>1222.5</v>
      </c>
      <c r="I1250" s="22">
        <f t="shared" si="585"/>
        <v>40.063577374319976</v>
      </c>
      <c r="J1250" s="129"/>
    </row>
    <row r="1251" spans="1:10" s="132" customFormat="1" ht="15.75">
      <c r="A1251" s="26" t="s">
        <v>160</v>
      </c>
      <c r="B1251" s="205">
        <v>910</v>
      </c>
      <c r="C1251" s="203" t="s">
        <v>157</v>
      </c>
      <c r="D1251" s="203" t="s">
        <v>159</v>
      </c>
      <c r="E1251" s="203" t="s">
        <v>161</v>
      </c>
      <c r="F1251" s="203"/>
      <c r="G1251" s="27">
        <f>G1252</f>
        <v>3051.4000000000005</v>
      </c>
      <c r="H1251" s="27">
        <f t="shared" si="595"/>
        <v>1222.5</v>
      </c>
      <c r="I1251" s="27">
        <f t="shared" si="585"/>
        <v>40.063577374319976</v>
      </c>
      <c r="J1251" s="148"/>
    </row>
    <row r="1252" spans="1:10" s="132" customFormat="1" ht="31.5">
      <c r="A1252" s="26" t="s">
        <v>162</v>
      </c>
      <c r="B1252" s="205">
        <v>910</v>
      </c>
      <c r="C1252" s="203" t="s">
        <v>157</v>
      </c>
      <c r="D1252" s="203" t="s">
        <v>159</v>
      </c>
      <c r="E1252" s="203" t="s">
        <v>163</v>
      </c>
      <c r="F1252" s="203"/>
      <c r="G1252" s="27">
        <f>G1253</f>
        <v>3051.4000000000005</v>
      </c>
      <c r="H1252" s="27">
        <f t="shared" si="595"/>
        <v>1222.5</v>
      </c>
      <c r="I1252" s="27">
        <f t="shared" si="585"/>
        <v>40.063577374319976</v>
      </c>
      <c r="J1252" s="148"/>
    </row>
    <row r="1253" spans="1:10" s="132" customFormat="1" ht="31.5">
      <c r="A1253" s="26" t="s">
        <v>164</v>
      </c>
      <c r="B1253" s="205">
        <v>910</v>
      </c>
      <c r="C1253" s="203" t="s">
        <v>157</v>
      </c>
      <c r="D1253" s="203" t="s">
        <v>159</v>
      </c>
      <c r="E1253" s="203" t="s">
        <v>165</v>
      </c>
      <c r="F1253" s="203"/>
      <c r="G1253" s="27">
        <f>G1254+G1256</f>
        <v>3051.4000000000005</v>
      </c>
      <c r="H1253" s="27">
        <f aca="true" t="shared" si="596" ref="H1253">H1254+H1256</f>
        <v>1222.5</v>
      </c>
      <c r="I1253" s="27">
        <f t="shared" si="585"/>
        <v>40.063577374319976</v>
      </c>
      <c r="J1253" s="148"/>
    </row>
    <row r="1254" spans="1:10" ht="63">
      <c r="A1254" s="26" t="s">
        <v>166</v>
      </c>
      <c r="B1254" s="205">
        <v>910</v>
      </c>
      <c r="C1254" s="203" t="s">
        <v>157</v>
      </c>
      <c r="D1254" s="203" t="s">
        <v>159</v>
      </c>
      <c r="E1254" s="203" t="s">
        <v>165</v>
      </c>
      <c r="F1254" s="203" t="s">
        <v>167</v>
      </c>
      <c r="G1254" s="27">
        <f>G1255</f>
        <v>3033.1000000000004</v>
      </c>
      <c r="H1254" s="27">
        <f aca="true" t="shared" si="597" ref="H1254">H1255</f>
        <v>1222.5</v>
      </c>
      <c r="I1254" s="27">
        <f t="shared" si="585"/>
        <v>40.305298209752394</v>
      </c>
      <c r="J1254" s="129"/>
    </row>
    <row r="1255" spans="1:10" ht="31.5">
      <c r="A1255" s="26" t="s">
        <v>168</v>
      </c>
      <c r="B1255" s="205">
        <v>910</v>
      </c>
      <c r="C1255" s="203" t="s">
        <v>157</v>
      </c>
      <c r="D1255" s="203" t="s">
        <v>159</v>
      </c>
      <c r="E1255" s="203" t="s">
        <v>165</v>
      </c>
      <c r="F1255" s="203" t="s">
        <v>169</v>
      </c>
      <c r="G1255" s="27">
        <f>1628.4+17.2+1387.5</f>
        <v>3033.1000000000004</v>
      </c>
      <c r="H1255" s="27">
        <v>1222.5</v>
      </c>
      <c r="I1255" s="27">
        <f t="shared" si="585"/>
        <v>40.305298209752394</v>
      </c>
      <c r="J1255" s="129"/>
    </row>
    <row r="1256" spans="1:10" ht="31.5">
      <c r="A1256" s="26" t="s">
        <v>237</v>
      </c>
      <c r="B1256" s="205">
        <v>910</v>
      </c>
      <c r="C1256" s="203" t="s">
        <v>157</v>
      </c>
      <c r="D1256" s="203" t="s">
        <v>159</v>
      </c>
      <c r="E1256" s="203" t="s">
        <v>165</v>
      </c>
      <c r="F1256" s="203" t="s">
        <v>171</v>
      </c>
      <c r="G1256" s="27">
        <f>G1257</f>
        <v>18.3</v>
      </c>
      <c r="H1256" s="27">
        <f aca="true" t="shared" si="598" ref="H1256">H1257</f>
        <v>0</v>
      </c>
      <c r="I1256" s="27">
        <f t="shared" si="585"/>
        <v>0</v>
      </c>
      <c r="J1256" s="129"/>
    </row>
    <row r="1257" spans="1:10" ht="31.5">
      <c r="A1257" s="26" t="s">
        <v>172</v>
      </c>
      <c r="B1257" s="205">
        <v>910</v>
      </c>
      <c r="C1257" s="203" t="s">
        <v>157</v>
      </c>
      <c r="D1257" s="203" t="s">
        <v>159</v>
      </c>
      <c r="E1257" s="203" t="s">
        <v>165</v>
      </c>
      <c r="F1257" s="203" t="s">
        <v>173</v>
      </c>
      <c r="G1257" s="27">
        <v>18.3</v>
      </c>
      <c r="H1257" s="27">
        <v>0</v>
      </c>
      <c r="I1257" s="27">
        <f t="shared" si="585"/>
        <v>0</v>
      </c>
      <c r="J1257" s="129"/>
    </row>
    <row r="1258" spans="1:10" ht="15.75">
      <c r="A1258" s="24" t="s">
        <v>178</v>
      </c>
      <c r="B1258" s="202">
        <v>910</v>
      </c>
      <c r="C1258" s="204" t="s">
        <v>157</v>
      </c>
      <c r="D1258" s="204" t="s">
        <v>179</v>
      </c>
      <c r="E1258" s="204"/>
      <c r="F1258" s="203"/>
      <c r="G1258" s="22">
        <f>G1259+G1263</f>
        <v>25.5</v>
      </c>
      <c r="H1258" s="22">
        <f aca="true" t="shared" si="599" ref="H1258">H1259+H1263</f>
        <v>20.3</v>
      </c>
      <c r="I1258" s="22">
        <f t="shared" si="585"/>
        <v>79.6078431372549</v>
      </c>
      <c r="J1258" s="129"/>
    </row>
    <row r="1259" spans="1:10" ht="31.5">
      <c r="A1259" s="26" t="s">
        <v>200</v>
      </c>
      <c r="B1259" s="205">
        <v>910</v>
      </c>
      <c r="C1259" s="203" t="s">
        <v>157</v>
      </c>
      <c r="D1259" s="203" t="s">
        <v>179</v>
      </c>
      <c r="E1259" s="203" t="s">
        <v>201</v>
      </c>
      <c r="F1259" s="203"/>
      <c r="G1259" s="27">
        <f>G1260</f>
        <v>0.5</v>
      </c>
      <c r="H1259" s="27">
        <f aca="true" t="shared" si="600" ref="H1259:H1261">H1260</f>
        <v>0.3</v>
      </c>
      <c r="I1259" s="27">
        <f t="shared" si="585"/>
        <v>60</v>
      </c>
      <c r="J1259" s="129"/>
    </row>
    <row r="1260" spans="1:10" ht="47.25">
      <c r="A1260" s="33" t="s">
        <v>756</v>
      </c>
      <c r="B1260" s="205">
        <v>910</v>
      </c>
      <c r="C1260" s="203" t="s">
        <v>157</v>
      </c>
      <c r="D1260" s="203" t="s">
        <v>179</v>
      </c>
      <c r="E1260" s="206" t="s">
        <v>757</v>
      </c>
      <c r="F1260" s="203"/>
      <c r="G1260" s="27">
        <f>G1261</f>
        <v>0.5</v>
      </c>
      <c r="H1260" s="27">
        <f t="shared" si="600"/>
        <v>0.3</v>
      </c>
      <c r="I1260" s="27">
        <f t="shared" si="585"/>
        <v>60</v>
      </c>
      <c r="J1260" s="129"/>
    </row>
    <row r="1261" spans="1:10" ht="31.5">
      <c r="A1261" s="26" t="s">
        <v>170</v>
      </c>
      <c r="B1261" s="205">
        <v>910</v>
      </c>
      <c r="C1261" s="203" t="s">
        <v>157</v>
      </c>
      <c r="D1261" s="203" t="s">
        <v>179</v>
      </c>
      <c r="E1261" s="206" t="s">
        <v>757</v>
      </c>
      <c r="F1261" s="203" t="s">
        <v>171</v>
      </c>
      <c r="G1261" s="27">
        <f>G1262</f>
        <v>0.5</v>
      </c>
      <c r="H1261" s="27">
        <f t="shared" si="600"/>
        <v>0.3</v>
      </c>
      <c r="I1261" s="27">
        <f t="shared" si="585"/>
        <v>60</v>
      </c>
      <c r="J1261" s="129"/>
    </row>
    <row r="1262" spans="1:10" ht="31.5">
      <c r="A1262" s="26" t="s">
        <v>172</v>
      </c>
      <c r="B1262" s="205">
        <v>910</v>
      </c>
      <c r="C1262" s="203" t="s">
        <v>157</v>
      </c>
      <c r="D1262" s="203" t="s">
        <v>179</v>
      </c>
      <c r="E1262" s="206" t="s">
        <v>757</v>
      </c>
      <c r="F1262" s="203" t="s">
        <v>173</v>
      </c>
      <c r="G1262" s="27">
        <v>0.5</v>
      </c>
      <c r="H1262" s="27">
        <v>0.3</v>
      </c>
      <c r="I1262" s="27">
        <f t="shared" si="585"/>
        <v>60</v>
      </c>
      <c r="J1262" s="129"/>
    </row>
    <row r="1263" spans="1:10" ht="15.75">
      <c r="A1263" s="33" t="s">
        <v>160</v>
      </c>
      <c r="B1263" s="205">
        <v>910</v>
      </c>
      <c r="C1263" s="203" t="s">
        <v>157</v>
      </c>
      <c r="D1263" s="203" t="s">
        <v>179</v>
      </c>
      <c r="E1263" s="203" t="s">
        <v>161</v>
      </c>
      <c r="F1263" s="203"/>
      <c r="G1263" s="27">
        <f>G1264</f>
        <v>25</v>
      </c>
      <c r="H1263" s="27">
        <f aca="true" t="shared" si="601" ref="H1263:H1266">H1264</f>
        <v>20</v>
      </c>
      <c r="I1263" s="27">
        <f t="shared" si="585"/>
        <v>80</v>
      </c>
      <c r="J1263" s="129"/>
    </row>
    <row r="1264" spans="1:10" ht="15.75">
      <c r="A1264" s="33" t="s">
        <v>224</v>
      </c>
      <c r="B1264" s="205">
        <v>910</v>
      </c>
      <c r="C1264" s="203" t="s">
        <v>157</v>
      </c>
      <c r="D1264" s="203" t="s">
        <v>179</v>
      </c>
      <c r="E1264" s="203" t="s">
        <v>225</v>
      </c>
      <c r="F1264" s="203"/>
      <c r="G1264" s="27">
        <f>G1265</f>
        <v>25</v>
      </c>
      <c r="H1264" s="27">
        <f t="shared" si="601"/>
        <v>20</v>
      </c>
      <c r="I1264" s="27">
        <f t="shared" si="585"/>
        <v>80</v>
      </c>
      <c r="J1264" s="129"/>
    </row>
    <row r="1265" spans="1:10" ht="47.25">
      <c r="A1265" s="33" t="s">
        <v>756</v>
      </c>
      <c r="B1265" s="205">
        <v>910</v>
      </c>
      <c r="C1265" s="203" t="s">
        <v>157</v>
      </c>
      <c r="D1265" s="203" t="s">
        <v>179</v>
      </c>
      <c r="E1265" s="203" t="s">
        <v>758</v>
      </c>
      <c r="F1265" s="203"/>
      <c r="G1265" s="27">
        <f>G1266</f>
        <v>25</v>
      </c>
      <c r="H1265" s="27">
        <f t="shared" si="601"/>
        <v>20</v>
      </c>
      <c r="I1265" s="27">
        <f t="shared" si="585"/>
        <v>80</v>
      </c>
      <c r="J1265" s="129"/>
    </row>
    <row r="1266" spans="1:10" ht="31.5">
      <c r="A1266" s="26" t="s">
        <v>170</v>
      </c>
      <c r="B1266" s="205">
        <v>910</v>
      </c>
      <c r="C1266" s="203" t="s">
        <v>157</v>
      </c>
      <c r="D1266" s="203" t="s">
        <v>179</v>
      </c>
      <c r="E1266" s="203" t="s">
        <v>758</v>
      </c>
      <c r="F1266" s="203" t="s">
        <v>171</v>
      </c>
      <c r="G1266" s="27">
        <f>G1267</f>
        <v>25</v>
      </c>
      <c r="H1266" s="27">
        <f t="shared" si="601"/>
        <v>20</v>
      </c>
      <c r="I1266" s="27">
        <f t="shared" si="585"/>
        <v>80</v>
      </c>
      <c r="J1266" s="129"/>
    </row>
    <row r="1267" spans="1:10" ht="31.5">
      <c r="A1267" s="26" t="s">
        <v>172</v>
      </c>
      <c r="B1267" s="205">
        <v>910</v>
      </c>
      <c r="C1267" s="203" t="s">
        <v>157</v>
      </c>
      <c r="D1267" s="203" t="s">
        <v>179</v>
      </c>
      <c r="E1267" s="203" t="s">
        <v>758</v>
      </c>
      <c r="F1267" s="203" t="s">
        <v>173</v>
      </c>
      <c r="G1267" s="27">
        <f>40-40+25</f>
        <v>25</v>
      </c>
      <c r="H1267" s="27">
        <v>20</v>
      </c>
      <c r="I1267" s="27">
        <f t="shared" si="585"/>
        <v>80</v>
      </c>
      <c r="J1267" s="129"/>
    </row>
    <row r="1268" spans="1:10" ht="15.75">
      <c r="A1268" s="24" t="s">
        <v>621</v>
      </c>
      <c r="B1268" s="202">
        <v>913</v>
      </c>
      <c r="C1268" s="204"/>
      <c r="D1268" s="204"/>
      <c r="E1268" s="204"/>
      <c r="F1268" s="204"/>
      <c r="G1268" s="22">
        <f>G1275+G1269</f>
        <v>7450.900000000001</v>
      </c>
      <c r="H1268" s="22">
        <f aca="true" t="shared" si="602" ref="H1268">H1275+H1269</f>
        <v>6289.5</v>
      </c>
      <c r="I1268" s="22">
        <f t="shared" si="585"/>
        <v>84.41262129407185</v>
      </c>
      <c r="J1268" s="129"/>
    </row>
    <row r="1269" spans="1:10" ht="15.75" hidden="1">
      <c r="A1269" s="250" t="s">
        <v>156</v>
      </c>
      <c r="B1269" s="202">
        <v>913</v>
      </c>
      <c r="C1269" s="204" t="s">
        <v>157</v>
      </c>
      <c r="D1269" s="248"/>
      <c r="E1269" s="248"/>
      <c r="F1269" s="248"/>
      <c r="G1269" s="249">
        <f>G1270</f>
        <v>0</v>
      </c>
      <c r="H1269" s="249">
        <f aca="true" t="shared" si="603" ref="H1269:H1273">H1270</f>
        <v>0</v>
      </c>
      <c r="I1269" s="22" t="e">
        <f t="shared" si="585"/>
        <v>#DIV/0!</v>
      </c>
      <c r="J1269" s="129"/>
    </row>
    <row r="1270" spans="1:10" ht="15.75" hidden="1">
      <c r="A1270" s="36" t="s">
        <v>178</v>
      </c>
      <c r="B1270" s="202">
        <v>913</v>
      </c>
      <c r="C1270" s="204" t="s">
        <v>157</v>
      </c>
      <c r="D1270" s="204" t="s">
        <v>179</v>
      </c>
      <c r="E1270" s="203"/>
      <c r="F1270" s="203"/>
      <c r="G1270" s="22">
        <f>G1271</f>
        <v>0</v>
      </c>
      <c r="H1270" s="22">
        <f t="shared" si="603"/>
        <v>0</v>
      </c>
      <c r="I1270" s="22" t="e">
        <f t="shared" si="585"/>
        <v>#DIV/0!</v>
      </c>
      <c r="J1270" s="129"/>
    </row>
    <row r="1271" spans="1:10" ht="47.25" hidden="1">
      <c r="A1271" s="31" t="s">
        <v>777</v>
      </c>
      <c r="B1271" s="205">
        <v>913</v>
      </c>
      <c r="C1271" s="203" t="s">
        <v>157</v>
      </c>
      <c r="D1271" s="203" t="s">
        <v>179</v>
      </c>
      <c r="E1271" s="203" t="s">
        <v>775</v>
      </c>
      <c r="F1271" s="210"/>
      <c r="G1271" s="27">
        <f>G1272</f>
        <v>0</v>
      </c>
      <c r="H1271" s="27">
        <f t="shared" si="603"/>
        <v>0</v>
      </c>
      <c r="I1271" s="22" t="e">
        <f t="shared" si="585"/>
        <v>#DIV/0!</v>
      </c>
      <c r="J1271" s="129"/>
    </row>
    <row r="1272" spans="1:10" ht="31.5" hidden="1">
      <c r="A1272" s="119" t="s">
        <v>909</v>
      </c>
      <c r="B1272" s="205">
        <v>913</v>
      </c>
      <c r="C1272" s="203" t="s">
        <v>157</v>
      </c>
      <c r="D1272" s="203" t="s">
        <v>179</v>
      </c>
      <c r="E1272" s="203" t="s">
        <v>910</v>
      </c>
      <c r="F1272" s="210"/>
      <c r="G1272" s="27">
        <f>G1273</f>
        <v>0</v>
      </c>
      <c r="H1272" s="27">
        <f t="shared" si="603"/>
        <v>0</v>
      </c>
      <c r="I1272" s="22" t="e">
        <f t="shared" si="585"/>
        <v>#DIV/0!</v>
      </c>
      <c r="J1272" s="129"/>
    </row>
    <row r="1273" spans="1:10" ht="31.5" hidden="1">
      <c r="A1273" s="26" t="s">
        <v>170</v>
      </c>
      <c r="B1273" s="205">
        <v>913</v>
      </c>
      <c r="C1273" s="203" t="s">
        <v>157</v>
      </c>
      <c r="D1273" s="203" t="s">
        <v>179</v>
      </c>
      <c r="E1273" s="203" t="s">
        <v>910</v>
      </c>
      <c r="F1273" s="210" t="s">
        <v>171</v>
      </c>
      <c r="G1273" s="27">
        <f>G1274</f>
        <v>0</v>
      </c>
      <c r="H1273" s="27">
        <f t="shared" si="603"/>
        <v>0</v>
      </c>
      <c r="I1273" s="22" t="e">
        <f t="shared" si="585"/>
        <v>#DIV/0!</v>
      </c>
      <c r="J1273" s="129"/>
    </row>
    <row r="1274" spans="1:10" ht="31.5" hidden="1">
      <c r="A1274" s="26" t="s">
        <v>172</v>
      </c>
      <c r="B1274" s="205">
        <v>913</v>
      </c>
      <c r="C1274" s="203" t="s">
        <v>157</v>
      </c>
      <c r="D1274" s="203" t="s">
        <v>179</v>
      </c>
      <c r="E1274" s="203" t="s">
        <v>910</v>
      </c>
      <c r="F1274" s="210" t="s">
        <v>173</v>
      </c>
      <c r="G1274" s="27">
        <v>0</v>
      </c>
      <c r="H1274" s="27">
        <v>0</v>
      </c>
      <c r="I1274" s="22" t="e">
        <f t="shared" si="585"/>
        <v>#DIV/0!</v>
      </c>
      <c r="J1274" s="129"/>
    </row>
    <row r="1275" spans="1:10" ht="15.75">
      <c r="A1275" s="24" t="s">
        <v>622</v>
      </c>
      <c r="B1275" s="202">
        <v>913</v>
      </c>
      <c r="C1275" s="204" t="s">
        <v>277</v>
      </c>
      <c r="D1275" s="203"/>
      <c r="E1275" s="203"/>
      <c r="F1275" s="203"/>
      <c r="G1275" s="27">
        <f>G1276</f>
        <v>7450.900000000001</v>
      </c>
      <c r="H1275" s="27">
        <f aca="true" t="shared" si="604" ref="H1275">H1276</f>
        <v>6289.5</v>
      </c>
      <c r="I1275" s="27">
        <f t="shared" si="585"/>
        <v>84.41262129407185</v>
      </c>
      <c r="J1275" s="129"/>
    </row>
    <row r="1276" spans="1:10" ht="15.75">
      <c r="A1276" s="24" t="s">
        <v>623</v>
      </c>
      <c r="B1276" s="202">
        <v>913</v>
      </c>
      <c r="C1276" s="204" t="s">
        <v>277</v>
      </c>
      <c r="D1276" s="204" t="s">
        <v>252</v>
      </c>
      <c r="E1276" s="204"/>
      <c r="F1276" s="204"/>
      <c r="G1276" s="27">
        <f>G1281+G1277</f>
        <v>7450.900000000001</v>
      </c>
      <c r="H1276" s="27">
        <f aca="true" t="shared" si="605" ref="H1276">H1281+H1277</f>
        <v>6289.5</v>
      </c>
      <c r="I1276" s="27">
        <f t="shared" si="585"/>
        <v>84.41262129407185</v>
      </c>
      <c r="J1276" s="129"/>
    </row>
    <row r="1277" spans="1:10" ht="47.25">
      <c r="A1277" s="31" t="s">
        <v>777</v>
      </c>
      <c r="B1277" s="205">
        <v>913</v>
      </c>
      <c r="C1277" s="203" t="s">
        <v>277</v>
      </c>
      <c r="D1277" s="203" t="s">
        <v>252</v>
      </c>
      <c r="E1277" s="203" t="s">
        <v>775</v>
      </c>
      <c r="F1277" s="210"/>
      <c r="G1277" s="27">
        <f>G1278</f>
        <v>205</v>
      </c>
      <c r="H1277" s="27">
        <f aca="true" t="shared" si="606" ref="H1277:H1279">H1278</f>
        <v>185</v>
      </c>
      <c r="I1277" s="27">
        <f t="shared" si="585"/>
        <v>90.2439024390244</v>
      </c>
      <c r="J1277" s="129"/>
    </row>
    <row r="1278" spans="1:10" ht="31.5">
      <c r="A1278" s="119" t="s">
        <v>909</v>
      </c>
      <c r="B1278" s="205">
        <v>913</v>
      </c>
      <c r="C1278" s="203" t="s">
        <v>277</v>
      </c>
      <c r="D1278" s="203" t="s">
        <v>252</v>
      </c>
      <c r="E1278" s="203" t="s">
        <v>910</v>
      </c>
      <c r="F1278" s="210"/>
      <c r="G1278" s="27">
        <f>G1279</f>
        <v>205</v>
      </c>
      <c r="H1278" s="27">
        <f t="shared" si="606"/>
        <v>185</v>
      </c>
      <c r="I1278" s="27">
        <f t="shared" si="585"/>
        <v>90.2439024390244</v>
      </c>
      <c r="J1278" s="129"/>
    </row>
    <row r="1279" spans="1:10" ht="31.5">
      <c r="A1279" s="26" t="s">
        <v>170</v>
      </c>
      <c r="B1279" s="205">
        <v>913</v>
      </c>
      <c r="C1279" s="203" t="s">
        <v>277</v>
      </c>
      <c r="D1279" s="203" t="s">
        <v>252</v>
      </c>
      <c r="E1279" s="203" t="s">
        <v>910</v>
      </c>
      <c r="F1279" s="210" t="s">
        <v>171</v>
      </c>
      <c r="G1279" s="27">
        <f>G1280</f>
        <v>205</v>
      </c>
      <c r="H1279" s="27">
        <f t="shared" si="606"/>
        <v>185</v>
      </c>
      <c r="I1279" s="27">
        <f t="shared" si="585"/>
        <v>90.2439024390244</v>
      </c>
      <c r="J1279" s="129"/>
    </row>
    <row r="1280" spans="1:10" ht="31.5">
      <c r="A1280" s="26" t="s">
        <v>172</v>
      </c>
      <c r="B1280" s="205">
        <v>913</v>
      </c>
      <c r="C1280" s="203" t="s">
        <v>277</v>
      </c>
      <c r="D1280" s="203" t="s">
        <v>252</v>
      </c>
      <c r="E1280" s="203" t="s">
        <v>910</v>
      </c>
      <c r="F1280" s="210" t="s">
        <v>173</v>
      </c>
      <c r="G1280" s="27">
        <f>60+145</f>
        <v>205</v>
      </c>
      <c r="H1280" s="27">
        <v>185</v>
      </c>
      <c r="I1280" s="27">
        <f t="shared" si="585"/>
        <v>90.2439024390244</v>
      </c>
      <c r="J1280" s="129"/>
    </row>
    <row r="1281" spans="1:10" ht="15.75">
      <c r="A1281" s="26" t="s">
        <v>160</v>
      </c>
      <c r="B1281" s="205">
        <v>913</v>
      </c>
      <c r="C1281" s="203" t="s">
        <v>277</v>
      </c>
      <c r="D1281" s="203" t="s">
        <v>252</v>
      </c>
      <c r="E1281" s="203" t="s">
        <v>161</v>
      </c>
      <c r="F1281" s="203"/>
      <c r="G1281" s="27">
        <f>G1282</f>
        <v>7245.900000000001</v>
      </c>
      <c r="H1281" s="27">
        <f aca="true" t="shared" si="607" ref="H1281:H1282">H1282</f>
        <v>6104.5</v>
      </c>
      <c r="I1281" s="27">
        <f t="shared" si="585"/>
        <v>84.24764349494195</v>
      </c>
      <c r="J1281" s="129"/>
    </row>
    <row r="1282" spans="1:10" ht="15.75">
      <c r="A1282" s="26" t="s">
        <v>624</v>
      </c>
      <c r="B1282" s="205">
        <v>913</v>
      </c>
      <c r="C1282" s="203" t="s">
        <v>277</v>
      </c>
      <c r="D1282" s="203" t="s">
        <v>252</v>
      </c>
      <c r="E1282" s="203" t="s">
        <v>625</v>
      </c>
      <c r="F1282" s="203"/>
      <c r="G1282" s="27">
        <f>G1283</f>
        <v>7245.900000000001</v>
      </c>
      <c r="H1282" s="27">
        <f t="shared" si="607"/>
        <v>6104.5</v>
      </c>
      <c r="I1282" s="27">
        <f t="shared" si="585"/>
        <v>84.24764349494195</v>
      </c>
      <c r="J1282" s="129"/>
    </row>
    <row r="1283" spans="1:10" ht="21.75" customHeight="1">
      <c r="A1283" s="26" t="s">
        <v>349</v>
      </c>
      <c r="B1283" s="205">
        <v>913</v>
      </c>
      <c r="C1283" s="203" t="s">
        <v>277</v>
      </c>
      <c r="D1283" s="203" t="s">
        <v>252</v>
      </c>
      <c r="E1283" s="203" t="s">
        <v>626</v>
      </c>
      <c r="F1283" s="203"/>
      <c r="G1283" s="27">
        <f>G1284+G1286+G1288</f>
        <v>7245.900000000001</v>
      </c>
      <c r="H1283" s="27">
        <f aca="true" t="shared" si="608" ref="H1283">H1284+H1286+H1288</f>
        <v>6104.5</v>
      </c>
      <c r="I1283" s="27">
        <f t="shared" si="585"/>
        <v>84.24764349494195</v>
      </c>
      <c r="J1283" s="129"/>
    </row>
    <row r="1284" spans="1:10" ht="75.75" customHeight="1">
      <c r="A1284" s="26" t="s">
        <v>166</v>
      </c>
      <c r="B1284" s="205">
        <v>913</v>
      </c>
      <c r="C1284" s="203" t="s">
        <v>277</v>
      </c>
      <c r="D1284" s="203" t="s">
        <v>252</v>
      </c>
      <c r="E1284" s="203" t="s">
        <v>626</v>
      </c>
      <c r="F1284" s="203" t="s">
        <v>167</v>
      </c>
      <c r="G1284" s="27">
        <f>G1285</f>
        <v>5740</v>
      </c>
      <c r="H1284" s="27">
        <f aca="true" t="shared" si="609" ref="H1284">H1285</f>
        <v>4677.4</v>
      </c>
      <c r="I1284" s="27">
        <f t="shared" si="585"/>
        <v>81.48780487804878</v>
      </c>
      <c r="J1284" s="129"/>
    </row>
    <row r="1285" spans="1:10" ht="18.75" customHeight="1">
      <c r="A1285" s="26" t="s">
        <v>247</v>
      </c>
      <c r="B1285" s="205">
        <v>913</v>
      </c>
      <c r="C1285" s="203" t="s">
        <v>277</v>
      </c>
      <c r="D1285" s="203" t="s">
        <v>252</v>
      </c>
      <c r="E1285" s="203" t="s">
        <v>626</v>
      </c>
      <c r="F1285" s="203" t="s">
        <v>248</v>
      </c>
      <c r="G1285" s="28">
        <f>5853-357.5-36+280.5</f>
        <v>5740</v>
      </c>
      <c r="H1285" s="28">
        <v>4677.4</v>
      </c>
      <c r="I1285" s="27">
        <f t="shared" si="585"/>
        <v>81.48780487804878</v>
      </c>
      <c r="J1285" s="129"/>
    </row>
    <row r="1286" spans="1:10" ht="31.5">
      <c r="A1286" s="26" t="s">
        <v>170</v>
      </c>
      <c r="B1286" s="205">
        <v>913</v>
      </c>
      <c r="C1286" s="203" t="s">
        <v>277</v>
      </c>
      <c r="D1286" s="203" t="s">
        <v>252</v>
      </c>
      <c r="E1286" s="203" t="s">
        <v>626</v>
      </c>
      <c r="F1286" s="203" t="s">
        <v>171</v>
      </c>
      <c r="G1286" s="27">
        <f>G1287</f>
        <v>1455.8</v>
      </c>
      <c r="H1286" s="27">
        <f aca="true" t="shared" si="610" ref="H1286">H1287</f>
        <v>1382.6</v>
      </c>
      <c r="I1286" s="27">
        <f t="shared" si="585"/>
        <v>94.97183679076797</v>
      </c>
      <c r="J1286" s="129"/>
    </row>
    <row r="1287" spans="1:10" ht="31.5">
      <c r="A1287" s="26" t="s">
        <v>172</v>
      </c>
      <c r="B1287" s="205">
        <v>913</v>
      </c>
      <c r="C1287" s="203" t="s">
        <v>277</v>
      </c>
      <c r="D1287" s="203" t="s">
        <v>252</v>
      </c>
      <c r="E1287" s="203" t="s">
        <v>626</v>
      </c>
      <c r="F1287" s="203" t="s">
        <v>173</v>
      </c>
      <c r="G1287" s="28">
        <f>1699.1-94.2+36-40.1-145</f>
        <v>1455.8</v>
      </c>
      <c r="H1287" s="28">
        <v>1382.6</v>
      </c>
      <c r="I1287" s="27">
        <f t="shared" si="585"/>
        <v>94.97183679076797</v>
      </c>
      <c r="J1287" s="129"/>
    </row>
    <row r="1288" spans="1:10" ht="15.75">
      <c r="A1288" s="26" t="s">
        <v>174</v>
      </c>
      <c r="B1288" s="205">
        <v>913</v>
      </c>
      <c r="C1288" s="203" t="s">
        <v>277</v>
      </c>
      <c r="D1288" s="203" t="s">
        <v>252</v>
      </c>
      <c r="E1288" s="203" t="s">
        <v>626</v>
      </c>
      <c r="F1288" s="203" t="s">
        <v>184</v>
      </c>
      <c r="G1288" s="27">
        <f>G1289</f>
        <v>50.1</v>
      </c>
      <c r="H1288" s="27">
        <f aca="true" t="shared" si="611" ref="H1288">H1289</f>
        <v>44.5</v>
      </c>
      <c r="I1288" s="27">
        <f t="shared" si="585"/>
        <v>88.82235528942115</v>
      </c>
      <c r="J1288" s="129"/>
    </row>
    <row r="1289" spans="1:10" ht="15.75" hidden="1">
      <c r="A1289" s="26" t="s">
        <v>608</v>
      </c>
      <c r="B1289" s="205">
        <v>913</v>
      </c>
      <c r="C1289" s="203" t="s">
        <v>277</v>
      </c>
      <c r="D1289" s="203" t="s">
        <v>252</v>
      </c>
      <c r="E1289" s="203" t="s">
        <v>626</v>
      </c>
      <c r="F1289" s="203" t="s">
        <v>177</v>
      </c>
      <c r="G1289" s="27">
        <f>10+40.1</f>
        <v>50.1</v>
      </c>
      <c r="H1289" s="27">
        <v>44.5</v>
      </c>
      <c r="I1289" s="27">
        <f t="shared" si="585"/>
        <v>88.82235528942115</v>
      </c>
      <c r="J1289" s="129"/>
    </row>
    <row r="1290" spans="1:10" ht="18.75">
      <c r="A1290" s="50" t="s">
        <v>627</v>
      </c>
      <c r="B1290" s="214"/>
      <c r="C1290" s="204"/>
      <c r="D1290" s="204"/>
      <c r="E1290" s="204"/>
      <c r="F1290" s="204"/>
      <c r="G1290" s="51">
        <f>G1268+G1230+G1013+G893+G663+G610+G245+G27+G10</f>
        <v>775315.92</v>
      </c>
      <c r="H1290" s="51">
        <f aca="true" t="shared" si="612" ref="H1290">H1268+H1230+H1013+H893+H663+H610+H245+H27+H10</f>
        <v>571611.2999999999</v>
      </c>
      <c r="I1290" s="22">
        <f t="shared" si="585"/>
        <v>73.72624310358543</v>
      </c>
      <c r="J1290" s="136"/>
    </row>
    <row r="1291" spans="1:9" ht="15">
      <c r="A1291" s="52"/>
      <c r="B1291" s="52"/>
      <c r="C1291" s="52"/>
      <c r="D1291" s="52"/>
      <c r="E1291" s="52"/>
      <c r="F1291" s="52"/>
      <c r="G1291" s="52"/>
      <c r="H1291" s="52"/>
      <c r="I1291" s="52"/>
    </row>
    <row r="1292" spans="1:9" ht="18.75">
      <c r="A1292" s="52"/>
      <c r="B1292" s="52"/>
      <c r="C1292" s="53"/>
      <c r="D1292" s="53"/>
      <c r="E1292" s="53"/>
      <c r="F1292" s="122" t="s">
        <v>628</v>
      </c>
      <c r="G1292" s="54">
        <f>G1290-G1293</f>
        <v>496910.29000000004</v>
      </c>
      <c r="H1292" s="54">
        <f aca="true" t="shared" si="613" ref="H1292:I1292">H1290-H1293</f>
        <v>337821.99999999994</v>
      </c>
      <c r="I1292" s="54" t="e">
        <f t="shared" si="613"/>
        <v>#DIV/0!</v>
      </c>
    </row>
    <row r="1293" spans="1:9" ht="18.75">
      <c r="A1293" s="52"/>
      <c r="B1293" s="52"/>
      <c r="C1293" s="53"/>
      <c r="D1293" s="53"/>
      <c r="E1293" s="53"/>
      <c r="F1293" s="122" t="s">
        <v>629</v>
      </c>
      <c r="G1293" s="54">
        <f>G106+G198+G211+G239+G343+G472+G659+G723+G794+G843+G927+G1124+G1149+G1264+G1129+G628+G594+G1194+G971+G1132+G1178+G862+G979+G1184+284.7+4483.8+2114.5</f>
        <v>278405.63</v>
      </c>
      <c r="H1293" s="54">
        <f aca="true" t="shared" si="614" ref="H1293:I1293">H106+H198+H211+H239+H343+H472+H659+H723+H794+H843+H927+H1124+H1149+H1264+H1129+H628+H594+H1194+H971+H1132+H1178+H862+H979+H1184+284.7+4483.8+2114.5</f>
        <v>233789.3</v>
      </c>
      <c r="I1293" s="54" t="e">
        <f t="shared" si="614"/>
        <v>#DIV/0!</v>
      </c>
    </row>
    <row r="1294" spans="1:9" ht="15.75">
      <c r="A1294" s="52"/>
      <c r="B1294" s="52"/>
      <c r="C1294" s="53"/>
      <c r="D1294" s="55"/>
      <c r="E1294" s="55"/>
      <c r="F1294" s="55"/>
      <c r="G1294" s="123"/>
      <c r="H1294" s="123"/>
      <c r="I1294" s="123"/>
    </row>
    <row r="1295" spans="1:9" ht="15.75">
      <c r="A1295" s="52"/>
      <c r="B1295" s="52"/>
      <c r="C1295" s="53"/>
      <c r="D1295" s="55"/>
      <c r="E1295" s="55"/>
      <c r="F1295" s="55"/>
      <c r="G1295" s="215"/>
      <c r="H1295" s="215"/>
      <c r="I1295" s="215"/>
    </row>
    <row r="1296" spans="1:9" ht="15.75">
      <c r="A1296" s="52"/>
      <c r="B1296" s="52"/>
      <c r="C1296" s="53"/>
      <c r="D1296" s="55"/>
      <c r="E1296" s="55"/>
      <c r="F1296" s="55"/>
      <c r="G1296" s="53"/>
      <c r="H1296" s="53"/>
      <c r="I1296" s="53"/>
    </row>
    <row r="1297" spans="1:9" ht="15.75">
      <c r="A1297" s="52"/>
      <c r="B1297" s="52"/>
      <c r="C1297" s="56">
        <v>1</v>
      </c>
      <c r="D1297" s="55"/>
      <c r="E1297" s="55"/>
      <c r="F1297" s="55"/>
      <c r="G1297" s="57">
        <f>G11+G28+G246+G611+G664+G894+G1014+G1231+G1269</f>
        <v>155567.1</v>
      </c>
      <c r="H1297" s="57">
        <f aca="true" t="shared" si="615" ref="H1297:I1297">H11+H28+H246+H611+H664+H894+H1014+H1231+H1269</f>
        <v>93829.6</v>
      </c>
      <c r="I1297" s="57" t="e">
        <f t="shared" si="615"/>
        <v>#DIV/0!</v>
      </c>
    </row>
    <row r="1298" spans="1:9" ht="15.75">
      <c r="A1298" s="52"/>
      <c r="B1298" s="52"/>
      <c r="C1298" s="56" t="s">
        <v>628</v>
      </c>
      <c r="D1298" s="55"/>
      <c r="E1298" s="55"/>
      <c r="F1298" s="55"/>
      <c r="G1298" s="57">
        <f>G11+G29+G58+G71+G91+G133+G246+G612+G623+G632+G664+G894+G1015+G1231+G1269-G1264+G166+G101-4483.8</f>
        <v>147863.10000000003</v>
      </c>
      <c r="H1298" s="57">
        <f aca="true" t="shared" si="616" ref="H1298:I1298">H11+H29+H58+H71+H91+H133+H246+H612+H623+H632+H664+H894+H1015+H1231+H1269-H1264+H166+H101-4483.8</f>
        <v>87368.8</v>
      </c>
      <c r="I1298" s="57" t="e">
        <f t="shared" si="616"/>
        <v>#DIV/0!</v>
      </c>
    </row>
    <row r="1299" spans="1:9" ht="15.75">
      <c r="A1299" s="52"/>
      <c r="B1299" s="52"/>
      <c r="C1299" s="56" t="s">
        <v>629</v>
      </c>
      <c r="D1299" s="55"/>
      <c r="E1299" s="55"/>
      <c r="F1299" s="55"/>
      <c r="G1299" s="57">
        <f>G106+G628+G1263+4483.8</f>
        <v>7704</v>
      </c>
      <c r="H1299" s="57">
        <f aca="true" t="shared" si="617" ref="H1299:I1299">H106+H628+H1263+4483.8</f>
        <v>6460.8</v>
      </c>
      <c r="I1299" s="57" t="e">
        <f t="shared" si="617"/>
        <v>#DIV/0!</v>
      </c>
    </row>
    <row r="1300" spans="1:9" ht="15.75">
      <c r="A1300" s="52"/>
      <c r="B1300" s="52"/>
      <c r="C1300" s="56">
        <v>2</v>
      </c>
      <c r="D1300" s="55"/>
      <c r="E1300" s="55"/>
      <c r="F1300" s="55"/>
      <c r="G1300" s="57">
        <f>G159</f>
        <v>0</v>
      </c>
      <c r="H1300" s="57">
        <f aca="true" t="shared" si="618" ref="H1300:I1300">H159</f>
        <v>0</v>
      </c>
      <c r="I1300" s="57" t="e">
        <f t="shared" si="618"/>
        <v>#DIV/0!</v>
      </c>
    </row>
    <row r="1301" spans="1:9" ht="15.75">
      <c r="A1301" s="52"/>
      <c r="B1301" s="52"/>
      <c r="C1301" s="56">
        <v>3</v>
      </c>
      <c r="D1301" s="55"/>
      <c r="E1301" s="55"/>
      <c r="F1301" s="55"/>
      <c r="G1301" s="57">
        <f>G1028+G170</f>
        <v>8633.1</v>
      </c>
      <c r="H1301" s="57">
        <f aca="true" t="shared" si="619" ref="H1301:I1301">H1028+H170</f>
        <v>5719.1</v>
      </c>
      <c r="I1301" s="57">
        <f t="shared" si="619"/>
        <v>165.822992657925</v>
      </c>
    </row>
    <row r="1302" spans="1:9" ht="15.75">
      <c r="A1302" s="52"/>
      <c r="B1302" s="52"/>
      <c r="C1302" s="56">
        <v>4</v>
      </c>
      <c r="D1302" s="55"/>
      <c r="E1302" s="55"/>
      <c r="F1302" s="55"/>
      <c r="G1302" s="57">
        <f>G188+G1035+G285</f>
        <v>10461.5</v>
      </c>
      <c r="H1302" s="57">
        <f aca="true" t="shared" si="620" ref="H1302:I1302">H188+H1035+H285</f>
        <v>3464.8</v>
      </c>
      <c r="I1302" s="57">
        <f t="shared" si="620"/>
        <v>72.96380490466359</v>
      </c>
    </row>
    <row r="1303" spans="1:9" ht="15.75">
      <c r="A1303" s="52"/>
      <c r="B1303" s="52"/>
      <c r="C1303" s="56" t="s">
        <v>628</v>
      </c>
      <c r="D1303" s="55"/>
      <c r="E1303" s="55"/>
      <c r="F1303" s="55"/>
      <c r="G1303" s="57">
        <f>G1302-G1304</f>
        <v>9305.2</v>
      </c>
      <c r="H1303" s="57">
        <f aca="true" t="shared" si="621" ref="H1303:I1303">H1302-H1304</f>
        <v>2993.9</v>
      </c>
      <c r="I1303" s="57">
        <f t="shared" si="621"/>
        <v>-18.651791738964462</v>
      </c>
    </row>
    <row r="1304" spans="1:9" ht="15.75">
      <c r="A1304" s="52"/>
      <c r="B1304" s="52"/>
      <c r="C1304" s="56" t="s">
        <v>629</v>
      </c>
      <c r="D1304" s="55"/>
      <c r="E1304" s="55"/>
      <c r="F1304" s="55"/>
      <c r="G1304" s="57">
        <f>G198+G211</f>
        <v>1156.3</v>
      </c>
      <c r="H1304" s="57">
        <f aca="true" t="shared" si="622" ref="H1304:I1304">H198+H211</f>
        <v>470.9</v>
      </c>
      <c r="I1304" s="57">
        <f t="shared" si="622"/>
        <v>91.61559664362805</v>
      </c>
    </row>
    <row r="1305" spans="1:9" ht="15.75">
      <c r="A1305" s="52"/>
      <c r="B1305" s="52"/>
      <c r="C1305" s="56">
        <v>5</v>
      </c>
      <c r="D1305" s="55"/>
      <c r="E1305" s="55"/>
      <c r="F1305" s="55"/>
      <c r="G1305" s="57">
        <f>G1049+G642</f>
        <v>134730.72000000003</v>
      </c>
      <c r="H1305" s="57">
        <f aca="true" t="shared" si="623" ref="H1305:I1305">H1049+H642</f>
        <v>110569.79999999999</v>
      </c>
      <c r="I1305" s="57">
        <f t="shared" si="623"/>
        <v>147.89441364458304</v>
      </c>
    </row>
    <row r="1306" spans="1:9" ht="15.75">
      <c r="A1306" s="52"/>
      <c r="B1306" s="52"/>
      <c r="C1306" s="56" t="s">
        <v>628</v>
      </c>
      <c r="D1306" s="55"/>
      <c r="E1306" s="55"/>
      <c r="F1306" s="55"/>
      <c r="G1306" s="57">
        <f>G643+G1056+G1067+G1109+G1115+G1136+G1169+G1188+G1198-G1149-2114.5</f>
        <v>55926.89</v>
      </c>
      <c r="H1306" s="57">
        <f aca="true" t="shared" si="624" ref="H1306:I1306">H643+H1056+H1067+H1109+H1115+H1136+H1169+H1188+H1198-H1149-2114.5</f>
        <v>43694</v>
      </c>
      <c r="I1306" s="57" t="e">
        <f t="shared" si="624"/>
        <v>#DIV/0!</v>
      </c>
    </row>
    <row r="1307" spans="1:9" ht="15.75">
      <c r="A1307" s="52"/>
      <c r="B1307" s="52"/>
      <c r="C1307" s="56" t="s">
        <v>629</v>
      </c>
      <c r="D1307" s="55"/>
      <c r="E1307" s="55"/>
      <c r="F1307" s="55"/>
      <c r="G1307" s="57">
        <f>G1124+G1149+G1129+G1132+G1178+2114.5</f>
        <v>78803.83</v>
      </c>
      <c r="H1307" s="57">
        <f aca="true" t="shared" si="625" ref="H1307:I1307">H1124+H1149+H1129+H1132+H1178+2114.5</f>
        <v>66875.79999999999</v>
      </c>
      <c r="I1307" s="57" t="e">
        <f t="shared" si="625"/>
        <v>#DIV/0!</v>
      </c>
    </row>
    <row r="1308" spans="1:9" ht="15.75">
      <c r="A1308" s="52"/>
      <c r="B1308" s="52"/>
      <c r="C1308" s="56">
        <v>7</v>
      </c>
      <c r="D1308" s="55"/>
      <c r="E1308" s="55"/>
      <c r="F1308" s="55"/>
      <c r="G1308" s="57">
        <f>G900+G685+G295</f>
        <v>317918.8</v>
      </c>
      <c r="H1308" s="57">
        <f aca="true" t="shared" si="626" ref="H1308:I1308">H900+H685+H295</f>
        <v>251861.59999999998</v>
      </c>
      <c r="I1308" s="57" t="e">
        <f t="shared" si="626"/>
        <v>#DIV/0!</v>
      </c>
    </row>
    <row r="1309" spans="1:9" ht="15.75">
      <c r="A1309" s="52"/>
      <c r="B1309" s="52"/>
      <c r="C1309" s="56" t="s">
        <v>628</v>
      </c>
      <c r="D1309" s="55"/>
      <c r="E1309" s="55"/>
      <c r="F1309" s="55"/>
      <c r="G1309" s="57">
        <f>G1308-G1310</f>
        <v>133612.6</v>
      </c>
      <c r="H1309" s="57">
        <f aca="true" t="shared" si="627" ref="H1309:I1309">H1308-H1310</f>
        <v>95780.1</v>
      </c>
      <c r="I1309" s="57" t="e">
        <f t="shared" si="627"/>
        <v>#DIV/0!</v>
      </c>
    </row>
    <row r="1310" spans="1:9" ht="15.75">
      <c r="A1310" s="52"/>
      <c r="B1310" s="52"/>
      <c r="C1310" s="56" t="s">
        <v>629</v>
      </c>
      <c r="D1310" s="55"/>
      <c r="E1310" s="55"/>
      <c r="F1310" s="55"/>
      <c r="G1310" s="57">
        <f>G343+G723+G794+G843+G926+G862</f>
        <v>184306.19999999998</v>
      </c>
      <c r="H1310" s="57">
        <f aca="true" t="shared" si="628" ref="H1310:I1310">H343+H723+H794+H843+H926+H862</f>
        <v>156081.49999999997</v>
      </c>
      <c r="I1310" s="57" t="e">
        <f t="shared" si="628"/>
        <v>#DIV/0!</v>
      </c>
    </row>
    <row r="1311" spans="1:9" ht="15.75">
      <c r="A1311" s="52"/>
      <c r="B1311" s="52"/>
      <c r="C1311" s="56">
        <v>8</v>
      </c>
      <c r="D1311" s="55"/>
      <c r="E1311" s="55"/>
      <c r="F1311" s="55"/>
      <c r="G1311" s="57">
        <f>G372</f>
        <v>66866.1</v>
      </c>
      <c r="H1311" s="57">
        <f aca="true" t="shared" si="629" ref="H1311:I1311">H372</f>
        <v>47125.7</v>
      </c>
      <c r="I1311" s="57">
        <f t="shared" si="629"/>
        <v>70.4777159128467</v>
      </c>
    </row>
    <row r="1312" spans="1:9" ht="15.75">
      <c r="A1312" s="52"/>
      <c r="B1312" s="52"/>
      <c r="C1312" s="56" t="s">
        <v>628</v>
      </c>
      <c r="D1312" s="55"/>
      <c r="E1312" s="55"/>
      <c r="F1312" s="55"/>
      <c r="G1312" s="57">
        <f>G1311-G1313</f>
        <v>64849.600000000006</v>
      </c>
      <c r="H1312" s="57">
        <f aca="true" t="shared" si="630" ref="H1312:I1312">H1311-H1313</f>
        <v>45761.2</v>
      </c>
      <c r="I1312" s="57">
        <f t="shared" si="630"/>
        <v>2.8109665947212363</v>
      </c>
    </row>
    <row r="1313" spans="1:9" ht="15.75">
      <c r="A1313" s="52"/>
      <c r="B1313" s="52"/>
      <c r="C1313" s="56" t="s">
        <v>629</v>
      </c>
      <c r="D1313" s="55"/>
      <c r="E1313" s="55"/>
      <c r="F1313" s="55"/>
      <c r="G1313" s="57">
        <f>G472</f>
        <v>2016.5</v>
      </c>
      <c r="H1313" s="57">
        <f aca="true" t="shared" si="631" ref="H1313:I1313">H472</f>
        <v>1364.5</v>
      </c>
      <c r="I1313" s="57">
        <f t="shared" si="631"/>
        <v>67.66674931812547</v>
      </c>
    </row>
    <row r="1314" spans="1:9" ht="15.75">
      <c r="A1314" s="52"/>
      <c r="B1314" s="52"/>
      <c r="C1314" s="56">
        <v>10</v>
      </c>
      <c r="D1314" s="55"/>
      <c r="E1314" s="55"/>
      <c r="F1314" s="55"/>
      <c r="G1314" s="57">
        <f>G1219+G657+G536+G220</f>
        <v>14804.4</v>
      </c>
      <c r="H1314" s="57">
        <f aca="true" t="shared" si="632" ref="H1314:I1314">H1219+H657+H536+H220</f>
        <v>10036.7</v>
      </c>
      <c r="I1314" s="57" t="e">
        <f t="shared" si="632"/>
        <v>#DIV/0!</v>
      </c>
    </row>
    <row r="1315" spans="1:9" ht="15.75">
      <c r="A1315" s="52"/>
      <c r="B1315" s="52"/>
      <c r="C1315" s="56" t="s">
        <v>628</v>
      </c>
      <c r="D1315" s="55"/>
      <c r="E1315" s="55"/>
      <c r="F1315" s="55"/>
      <c r="G1315" s="57">
        <f>G1220+G538+G227+G221-284.7</f>
        <v>11255.8</v>
      </c>
      <c r="H1315" s="57">
        <f aca="true" t="shared" si="633" ref="H1315:I1315">H1220+H538+H227+H221-284.7</f>
        <v>8087.599999999999</v>
      </c>
      <c r="I1315" s="57">
        <f t="shared" si="633"/>
        <v>-154.25091341064092</v>
      </c>
    </row>
    <row r="1316" spans="1:9" ht="15.75">
      <c r="A1316" s="52"/>
      <c r="B1316" s="52"/>
      <c r="C1316" s="56" t="s">
        <v>629</v>
      </c>
      <c r="D1316" s="55"/>
      <c r="E1316" s="55"/>
      <c r="F1316" s="55"/>
      <c r="G1316" s="57">
        <f>G595+G239+G659+284.7</f>
        <v>3548.6</v>
      </c>
      <c r="H1316" s="57">
        <f aca="true" t="shared" si="634" ref="H1316:I1316">H595+H239+H659+284.7</f>
        <v>1949.1</v>
      </c>
      <c r="I1316" s="57" t="e">
        <f t="shared" si="634"/>
        <v>#DIV/0!</v>
      </c>
    </row>
    <row r="1317" spans="1:9" ht="15.75">
      <c r="A1317" s="52"/>
      <c r="B1317" s="52"/>
      <c r="C1317" s="56">
        <v>11</v>
      </c>
      <c r="D1317" s="55"/>
      <c r="E1317" s="55"/>
      <c r="F1317" s="55"/>
      <c r="G1317" s="57">
        <f>G937</f>
        <v>58883.3</v>
      </c>
      <c r="H1317" s="57">
        <f aca="true" t="shared" si="635" ref="H1317:I1317">H937</f>
        <v>42714.49999999999</v>
      </c>
      <c r="I1317" s="57">
        <f t="shared" si="635"/>
        <v>72.54094114969777</v>
      </c>
    </row>
    <row r="1318" spans="1:9" ht="15.75">
      <c r="A1318" s="52"/>
      <c r="B1318" s="52"/>
      <c r="C1318" s="56" t="s">
        <v>628</v>
      </c>
      <c r="D1318" s="55"/>
      <c r="E1318" s="55"/>
      <c r="F1318" s="55"/>
      <c r="G1318" s="57">
        <f>G1317-G1319</f>
        <v>58013.100000000006</v>
      </c>
      <c r="H1318" s="57">
        <f aca="true" t="shared" si="636" ref="H1318:I1318">H1317-H1319</f>
        <v>42127.799999999996</v>
      </c>
      <c r="I1318" s="57">
        <f t="shared" si="636"/>
        <v>5.119658685896354</v>
      </c>
    </row>
    <row r="1319" spans="1:9" ht="15.75">
      <c r="A1319" s="52"/>
      <c r="B1319" s="52"/>
      <c r="C1319" s="56" t="s">
        <v>629</v>
      </c>
      <c r="D1319" s="55"/>
      <c r="E1319" s="55"/>
      <c r="F1319" s="55"/>
      <c r="G1319" s="57">
        <f>G979</f>
        <v>870.2</v>
      </c>
      <c r="H1319" s="57">
        <f aca="true" t="shared" si="637" ref="H1319:I1319">H979</f>
        <v>586.7</v>
      </c>
      <c r="I1319" s="57">
        <f t="shared" si="637"/>
        <v>67.42128246380142</v>
      </c>
    </row>
    <row r="1320" spans="1:9" ht="15.75">
      <c r="A1320" s="52"/>
      <c r="B1320" s="52"/>
      <c r="C1320" s="56">
        <v>12</v>
      </c>
      <c r="D1320" s="55"/>
      <c r="E1320" s="55"/>
      <c r="F1320" s="55"/>
      <c r="G1320" s="57">
        <f>G1275</f>
        <v>7450.900000000001</v>
      </c>
      <c r="H1320" s="57">
        <f aca="true" t="shared" si="638" ref="H1320:I1320">H1275</f>
        <v>6289.5</v>
      </c>
      <c r="I1320" s="57">
        <f t="shared" si="638"/>
        <v>84.41262129407185</v>
      </c>
    </row>
    <row r="1321" spans="1:9" ht="15.75">
      <c r="A1321" s="52"/>
      <c r="B1321" s="52"/>
      <c r="C1321" s="57"/>
      <c r="D1321" s="55"/>
      <c r="E1321" s="55"/>
      <c r="F1321" s="55"/>
      <c r="G1321" s="124">
        <f>G1297+G1300+G1301+G1302+G1305+G1308+G1311+G1314+G1317+G1320</f>
        <v>775315.92</v>
      </c>
      <c r="H1321" s="124">
        <f aca="true" t="shared" si="639" ref="H1321:I1321">H1297+H1300+H1301+H1302+H1305+H1308+H1311+H1314+H1317+H1320</f>
        <v>571611.2999999999</v>
      </c>
      <c r="I1321" s="124" t="e">
        <f t="shared" si="639"/>
        <v>#DIV/0!</v>
      </c>
    </row>
    <row r="1322" spans="1:9" ht="15.75">
      <c r="A1322" s="52"/>
      <c r="B1322" s="52"/>
      <c r="C1322" s="56" t="s">
        <v>628</v>
      </c>
      <c r="D1322" s="55"/>
      <c r="E1322" s="55"/>
      <c r="F1322" s="55"/>
      <c r="G1322" s="124">
        <f>G1298+G1300+G1301+G1303+G1306+G1309+G1312+G1315+G1318+G1320</f>
        <v>496910.29000000004</v>
      </c>
      <c r="H1322" s="124">
        <f aca="true" t="shared" si="640" ref="H1322:I1322">H1298+H1300+H1301+H1303+H1306+H1309+H1312+H1315+H1318+H1320</f>
        <v>337821.99999999994</v>
      </c>
      <c r="I1322" s="124" t="e">
        <f t="shared" si="640"/>
        <v>#DIV/0!</v>
      </c>
    </row>
    <row r="1323" spans="1:9" ht="15.75">
      <c r="A1323" s="52"/>
      <c r="B1323" s="52"/>
      <c r="C1323" s="56" t="s">
        <v>629</v>
      </c>
      <c r="D1323" s="55"/>
      <c r="E1323" s="55"/>
      <c r="F1323" s="55"/>
      <c r="G1323" s="124">
        <f>G1321-G1322</f>
        <v>278405.63</v>
      </c>
      <c r="H1323" s="124">
        <f aca="true" t="shared" si="641" ref="H1323:I1323">H1321-H1322</f>
        <v>233789.3</v>
      </c>
      <c r="I1323" s="124" t="e">
        <f t="shared" si="641"/>
        <v>#DIV/0!</v>
      </c>
    </row>
    <row r="1324" spans="7:9" ht="15">
      <c r="G1324" s="301"/>
      <c r="H1324" s="301"/>
      <c r="I1324" s="301"/>
    </row>
    <row r="1325" spans="4:9" ht="15">
      <c r="D1325" s="300" t="s">
        <v>630</v>
      </c>
      <c r="E1325" s="300">
        <v>50</v>
      </c>
      <c r="G1325" s="301">
        <f>G1043</f>
        <v>5926.9</v>
      </c>
      <c r="H1325" s="301">
        <f aca="true" t="shared" si="642" ref="H1325:I1325">H1043</f>
        <v>815.9</v>
      </c>
      <c r="I1325" s="301">
        <f t="shared" si="642"/>
        <v>13.766049705579647</v>
      </c>
    </row>
    <row r="1326" spans="5:9" ht="15">
      <c r="E1326" s="300">
        <v>51</v>
      </c>
      <c r="G1326" s="301">
        <f>G248+G287+G360+G516+G538</f>
        <v>4007</v>
      </c>
      <c r="H1326" s="301">
        <f aca="true" t="shared" si="643" ref="H1326:I1326">H248+H287+H360+H516+H538</f>
        <v>2220.5</v>
      </c>
      <c r="I1326" s="301">
        <f t="shared" si="643"/>
        <v>228.83515036499048</v>
      </c>
    </row>
    <row r="1327" spans="5:9" ht="15">
      <c r="E1327" s="300">
        <v>52</v>
      </c>
      <c r="G1327" s="301">
        <f>G687+G746+G826+G854</f>
        <v>94382.5</v>
      </c>
      <c r="H1327" s="301">
        <f aca="true" t="shared" si="644" ref="H1327:I1327">H687+H746+H826+H854</f>
        <v>69398.5</v>
      </c>
      <c r="I1327" s="301">
        <f t="shared" si="644"/>
        <v>318.2428096907389</v>
      </c>
    </row>
    <row r="1328" spans="5:9" ht="15">
      <c r="E1328" s="300">
        <v>53</v>
      </c>
      <c r="G1328" s="301">
        <f>G206</f>
        <v>0</v>
      </c>
      <c r="H1328" s="301">
        <f aca="true" t="shared" si="645" ref="H1328:I1328">H206</f>
        <v>0</v>
      </c>
      <c r="I1328" s="301" t="e">
        <f t="shared" si="645"/>
        <v>#DIV/0!</v>
      </c>
    </row>
    <row r="1329" spans="5:9" ht="15">
      <c r="E1329" s="300">
        <v>54</v>
      </c>
      <c r="G1329" s="301">
        <f>G1259+G71</f>
        <v>741</v>
      </c>
      <c r="H1329" s="301">
        <f aca="true" t="shared" si="646" ref="H1329:I1329">H1259+H71</f>
        <v>369.3</v>
      </c>
      <c r="I1329" s="301">
        <f t="shared" si="646"/>
        <v>109.83119513841999</v>
      </c>
    </row>
    <row r="1330" spans="5:9" ht="15">
      <c r="E1330" s="300">
        <v>55</v>
      </c>
      <c r="G1330" s="301">
        <f>G228</f>
        <v>10</v>
      </c>
      <c r="H1330" s="301">
        <f aca="true" t="shared" si="647" ref="H1330:I1330">H228</f>
        <v>0</v>
      </c>
      <c r="I1330" s="301">
        <f t="shared" si="647"/>
        <v>0</v>
      </c>
    </row>
    <row r="1331" spans="5:9" ht="15">
      <c r="E1331" s="300">
        <v>56</v>
      </c>
      <c r="G1331" s="301"/>
      <c r="H1331" s="301"/>
      <c r="I1331" s="301"/>
    </row>
    <row r="1332" spans="5:9" ht="15">
      <c r="E1332" s="300">
        <v>57</v>
      </c>
      <c r="G1332" s="301">
        <f>G939+G991</f>
        <v>47744.6</v>
      </c>
      <c r="H1332" s="301">
        <f aca="true" t="shared" si="648" ref="H1332:I1332">H939+H991</f>
        <v>35112.399999999994</v>
      </c>
      <c r="I1332" s="301">
        <f t="shared" si="648"/>
        <v>153.76989898873313</v>
      </c>
    </row>
    <row r="1333" spans="5:9" ht="15">
      <c r="E1333" s="300">
        <v>58</v>
      </c>
      <c r="G1333" s="301">
        <f>G297+G375+G416</f>
        <v>60847.3</v>
      </c>
      <c r="H1333" s="301">
        <f aca="true" t="shared" si="649" ref="H1333:I1333">H297+H375+H416</f>
        <v>43110.5</v>
      </c>
      <c r="I1333" s="301">
        <f t="shared" si="649"/>
        <v>212.21333831265883</v>
      </c>
    </row>
    <row r="1334" spans="5:9" ht="15">
      <c r="E1334" s="300">
        <v>59</v>
      </c>
      <c r="G1334" s="301">
        <f>G714+G785</f>
        <v>847</v>
      </c>
      <c r="H1334" s="301">
        <f aca="true" t="shared" si="650" ref="H1334:I1334">H714+H785</f>
        <v>150</v>
      </c>
      <c r="I1334" s="301">
        <f t="shared" si="650"/>
        <v>100</v>
      </c>
    </row>
    <row r="1335" spans="5:9" ht="15">
      <c r="E1335" s="300">
        <v>60</v>
      </c>
      <c r="G1335" s="301">
        <f>G1136</f>
        <v>3201.3699999999994</v>
      </c>
      <c r="H1335" s="301">
        <f aca="true" t="shared" si="651" ref="H1335:I1335">H1136</f>
        <v>1768.2</v>
      </c>
      <c r="I1335" s="301">
        <f t="shared" si="651"/>
        <v>55.23260354160876</v>
      </c>
    </row>
    <row r="1336" spans="5:9" ht="15">
      <c r="E1336" s="300">
        <v>61</v>
      </c>
      <c r="G1336" s="301">
        <f>G190</f>
        <v>100</v>
      </c>
      <c r="H1336" s="301">
        <f aca="true" t="shared" si="652" ref="H1336:I1336">H190</f>
        <v>42</v>
      </c>
      <c r="I1336" s="301">
        <f t="shared" si="652"/>
        <v>42</v>
      </c>
    </row>
    <row r="1337" spans="5:9" ht="15">
      <c r="E1337" s="300">
        <v>62</v>
      </c>
      <c r="G1337" s="301">
        <f>G1067</f>
        <v>7797.5</v>
      </c>
      <c r="H1337" s="301">
        <f aca="true" t="shared" si="653" ref="H1337:I1337">H1067</f>
        <v>6954.7</v>
      </c>
      <c r="I1337" s="301">
        <f t="shared" si="653"/>
        <v>89.19140750240462</v>
      </c>
    </row>
    <row r="1338" spans="5:9" ht="15">
      <c r="E1338" s="300">
        <v>63</v>
      </c>
      <c r="G1338" s="301">
        <f>G253+G666</f>
        <v>175</v>
      </c>
      <c r="H1338" s="301">
        <f aca="true" t="shared" si="654" ref="H1338:I1338">H253+H666</f>
        <v>0</v>
      </c>
      <c r="I1338" s="301">
        <f t="shared" si="654"/>
        <v>0</v>
      </c>
    </row>
    <row r="1339" spans="5:9" ht="15">
      <c r="E1339" s="300">
        <v>64</v>
      </c>
      <c r="G1339" s="301">
        <f>G91+G278+G338+G467+G718+G789+G838+G975+G1277</f>
        <v>3292.6</v>
      </c>
      <c r="H1339" s="301">
        <f aca="true" t="shared" si="655" ref="H1339:I1339">H91+H278+H338+H467+H718+H789+H838+H975+H1277</f>
        <v>2417.3</v>
      </c>
      <c r="I1339" s="301">
        <f t="shared" si="655"/>
        <v>555.8055423573189</v>
      </c>
    </row>
    <row r="1340" spans="5:9" ht="15">
      <c r="E1340" s="300">
        <v>65</v>
      </c>
      <c r="G1340" s="301">
        <f>G1169</f>
        <v>2614.5200000000004</v>
      </c>
      <c r="H1340" s="301">
        <f aca="true" t="shared" si="656" ref="H1340:I1340">H1169</f>
        <v>2499</v>
      </c>
      <c r="I1340" s="301">
        <f t="shared" si="656"/>
        <v>95.58159815185961</v>
      </c>
    </row>
    <row r="1341" spans="5:9" ht="15">
      <c r="E1341" s="300">
        <v>66</v>
      </c>
      <c r="G1341" s="301">
        <f>G623</f>
        <v>4932.3</v>
      </c>
      <c r="H1341" s="301">
        <f aca="true" t="shared" si="657" ref="H1341:I1341">H623</f>
        <v>0</v>
      </c>
      <c r="I1341" s="301">
        <f t="shared" si="657"/>
        <v>0</v>
      </c>
    </row>
    <row r="1342" spans="5:9" ht="15">
      <c r="E1342" s="300">
        <v>67</v>
      </c>
      <c r="G1342" s="301">
        <f>G101</f>
        <v>20</v>
      </c>
      <c r="H1342" s="301">
        <f aca="true" t="shared" si="658" ref="H1342:I1342">H101</f>
        <v>0</v>
      </c>
      <c r="I1342" s="301">
        <f t="shared" si="658"/>
        <v>0</v>
      </c>
    </row>
    <row r="1343" spans="5:9" ht="15">
      <c r="E1343" s="300">
        <v>69</v>
      </c>
      <c r="G1343" s="136">
        <f>G166</f>
        <v>60</v>
      </c>
      <c r="H1343" s="136">
        <f aca="true" t="shared" si="659" ref="H1343:I1343">H166</f>
        <v>5</v>
      </c>
      <c r="I1343" s="136">
        <f t="shared" si="659"/>
        <v>8.333333333333332</v>
      </c>
    </row>
    <row r="1344" spans="7:9" ht="15">
      <c r="G1344" s="301">
        <f>SUM(G1325:G1343)</f>
        <v>236699.58999999997</v>
      </c>
      <c r="H1344" s="301">
        <f aca="true" t="shared" si="660" ref="H1344:I1344">SUM(H1325:H1343)</f>
        <v>164863.3</v>
      </c>
      <c r="I1344" s="301" t="e">
        <f t="shared" si="660"/>
        <v>#DIV/0!</v>
      </c>
    </row>
  </sheetData>
  <mergeCells count="4">
    <mergeCell ref="L951:M951"/>
    <mergeCell ref="I966:J966"/>
    <mergeCell ref="A5:F5"/>
    <mergeCell ref="A6:I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2" r:id="rId1"/>
  <rowBreaks count="2" manualBreakCount="2">
    <brk id="626" max="16383" man="1"/>
    <brk id="129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zoomScaleSheetLayoutView="100" workbookViewId="0" topLeftCell="A695">
      <selection activeCell="J840" sqref="J840"/>
    </sheetView>
  </sheetViews>
  <sheetFormatPr defaultColWidth="9.140625" defaultRowHeight="15"/>
  <cols>
    <col min="1" max="1" width="48.421875" style="1" customWidth="1"/>
    <col min="2" max="2" width="9.140625" style="1" customWidth="1"/>
    <col min="3" max="3" width="5.421875" style="1" customWidth="1"/>
    <col min="4" max="4" width="5.57421875" style="1" customWidth="1"/>
    <col min="5" max="5" width="17.140625" style="1" customWidth="1"/>
    <col min="6" max="6" width="9.140625" style="1" customWidth="1"/>
    <col min="7" max="7" width="19.00390625" style="1" customWidth="1"/>
    <col min="8" max="8" width="14.28125" style="1" customWidth="1"/>
    <col min="9" max="9" width="11.28125" style="129" hidden="1" customWidth="1"/>
    <col min="10" max="10" width="9.140625" style="1" customWidth="1"/>
    <col min="11" max="11" width="9.140625" style="1" hidden="1" customWidth="1"/>
    <col min="12" max="12" width="10.57421875" style="1" customWidth="1"/>
    <col min="13" max="16384" width="9.140625" style="1" customWidth="1"/>
  </cols>
  <sheetData>
    <row r="1" spans="1:8" ht="18.75">
      <c r="A1" s="74"/>
      <c r="B1" s="74"/>
      <c r="C1" s="74"/>
      <c r="D1" s="74"/>
      <c r="E1" s="73"/>
      <c r="F1" s="173" t="s">
        <v>147</v>
      </c>
      <c r="G1" s="74"/>
      <c r="H1" s="195"/>
    </row>
    <row r="2" spans="1:8" ht="18.75">
      <c r="A2" s="74"/>
      <c r="B2" s="74"/>
      <c r="C2" s="74"/>
      <c r="D2" s="74"/>
      <c r="E2" s="73"/>
      <c r="F2" s="173" t="s">
        <v>0</v>
      </c>
      <c r="G2" s="74"/>
      <c r="H2" s="195"/>
    </row>
    <row r="3" spans="1:8" ht="18.75">
      <c r="A3" s="74"/>
      <c r="B3" s="74"/>
      <c r="C3" s="74"/>
      <c r="D3" s="74"/>
      <c r="E3" s="73"/>
      <c r="F3" s="173" t="s">
        <v>807</v>
      </c>
      <c r="G3" s="74"/>
      <c r="H3" s="195"/>
    </row>
    <row r="4" spans="1:8" ht="15.75">
      <c r="A4" s="372"/>
      <c r="B4" s="372"/>
      <c r="C4" s="372"/>
      <c r="D4" s="372"/>
      <c r="E4" s="372"/>
      <c r="F4" s="372"/>
      <c r="G4" s="372"/>
      <c r="H4" s="195"/>
    </row>
    <row r="5" spans="1:8" ht="15.75">
      <c r="A5" s="364" t="s">
        <v>148</v>
      </c>
      <c r="B5" s="364"/>
      <c r="C5" s="364"/>
      <c r="D5" s="364"/>
      <c r="E5" s="364"/>
      <c r="F5" s="364"/>
      <c r="G5" s="364"/>
      <c r="H5" s="195"/>
    </row>
    <row r="6" spans="1:8" ht="15.75">
      <c r="A6" s="192"/>
      <c r="B6" s="192"/>
      <c r="C6" s="192"/>
      <c r="D6" s="192"/>
      <c r="E6" s="192"/>
      <c r="F6" s="192"/>
      <c r="G6" s="192"/>
      <c r="H6" s="195"/>
    </row>
    <row r="7" spans="1:8" ht="15.75">
      <c r="A7" s="14"/>
      <c r="B7" s="14"/>
      <c r="C7" s="14"/>
      <c r="D7" s="14"/>
      <c r="E7" s="14"/>
      <c r="F7" s="14"/>
      <c r="G7" s="121" t="s">
        <v>1</v>
      </c>
      <c r="H7" s="195"/>
    </row>
    <row r="8" spans="1:8" ht="47.25">
      <c r="A8" s="15" t="s">
        <v>149</v>
      </c>
      <c r="B8" s="15" t="s">
        <v>150</v>
      </c>
      <c r="C8" s="16" t="s">
        <v>151</v>
      </c>
      <c r="D8" s="16" t="s">
        <v>152</v>
      </c>
      <c r="E8" s="16" t="s">
        <v>153</v>
      </c>
      <c r="F8" s="16" t="s">
        <v>154</v>
      </c>
      <c r="G8" s="15" t="s">
        <v>4</v>
      </c>
      <c r="H8" s="195"/>
    </row>
    <row r="9" spans="1:8" ht="15.7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195"/>
    </row>
    <row r="10" spans="1:9" ht="31.5">
      <c r="A10" s="20" t="s">
        <v>155</v>
      </c>
      <c r="B10" s="20">
        <v>901</v>
      </c>
      <c r="C10" s="21"/>
      <c r="D10" s="21"/>
      <c r="E10" s="21"/>
      <c r="F10" s="21"/>
      <c r="G10" s="22">
        <f>G11</f>
        <v>14164.460000000001</v>
      </c>
      <c r="H10" s="195"/>
      <c r="I10" s="134"/>
    </row>
    <row r="11" spans="1:8" ht="15.75">
      <c r="A11" s="24" t="s">
        <v>156</v>
      </c>
      <c r="B11" s="20">
        <v>901</v>
      </c>
      <c r="C11" s="25" t="s">
        <v>157</v>
      </c>
      <c r="D11" s="21"/>
      <c r="E11" s="21"/>
      <c r="F11" s="21"/>
      <c r="G11" s="22">
        <f>G12+G22</f>
        <v>14164.460000000001</v>
      </c>
      <c r="H11" s="195"/>
    </row>
    <row r="12" spans="1:8" ht="63">
      <c r="A12" s="24" t="s">
        <v>158</v>
      </c>
      <c r="B12" s="20">
        <v>901</v>
      </c>
      <c r="C12" s="25" t="s">
        <v>157</v>
      </c>
      <c r="D12" s="25" t="s">
        <v>159</v>
      </c>
      <c r="E12" s="25"/>
      <c r="F12" s="25"/>
      <c r="G12" s="22">
        <f>G13</f>
        <v>14114.460000000001</v>
      </c>
      <c r="H12" s="195"/>
    </row>
    <row r="13" spans="1:8" ht="15.75">
      <c r="A13" s="26" t="s">
        <v>160</v>
      </c>
      <c r="B13" s="17">
        <v>901</v>
      </c>
      <c r="C13" s="21" t="s">
        <v>157</v>
      </c>
      <c r="D13" s="21" t="s">
        <v>159</v>
      </c>
      <c r="E13" s="21" t="s">
        <v>161</v>
      </c>
      <c r="F13" s="21"/>
      <c r="G13" s="27">
        <f>G14</f>
        <v>14114.460000000001</v>
      </c>
      <c r="H13" s="195"/>
    </row>
    <row r="14" spans="1:8" ht="31.5">
      <c r="A14" s="26" t="s">
        <v>162</v>
      </c>
      <c r="B14" s="17">
        <v>901</v>
      </c>
      <c r="C14" s="21" t="s">
        <v>157</v>
      </c>
      <c r="D14" s="21" t="s">
        <v>159</v>
      </c>
      <c r="E14" s="21" t="s">
        <v>163</v>
      </c>
      <c r="F14" s="21"/>
      <c r="G14" s="27">
        <f>G15</f>
        <v>14114.460000000001</v>
      </c>
      <c r="H14" s="195"/>
    </row>
    <row r="15" spans="1:8" ht="47.25">
      <c r="A15" s="26" t="s">
        <v>164</v>
      </c>
      <c r="B15" s="17">
        <v>901</v>
      </c>
      <c r="C15" s="21" t="s">
        <v>157</v>
      </c>
      <c r="D15" s="21" t="s">
        <v>159</v>
      </c>
      <c r="E15" s="21" t="s">
        <v>165</v>
      </c>
      <c r="F15" s="21"/>
      <c r="G15" s="27">
        <f>G16+G18+G20</f>
        <v>14114.460000000001</v>
      </c>
      <c r="H15" s="195"/>
    </row>
    <row r="16" spans="1:8" ht="94.5">
      <c r="A16" s="26" t="s">
        <v>166</v>
      </c>
      <c r="B16" s="17">
        <v>901</v>
      </c>
      <c r="C16" s="21" t="s">
        <v>157</v>
      </c>
      <c r="D16" s="21" t="s">
        <v>159</v>
      </c>
      <c r="E16" s="21" t="s">
        <v>165</v>
      </c>
      <c r="F16" s="21" t="s">
        <v>167</v>
      </c>
      <c r="G16" s="27">
        <f>G17</f>
        <v>12784.1</v>
      </c>
      <c r="H16" s="195"/>
    </row>
    <row r="17" spans="1:8" ht="31.5">
      <c r="A17" s="26" t="s">
        <v>168</v>
      </c>
      <c r="B17" s="17">
        <v>901</v>
      </c>
      <c r="C17" s="21" t="s">
        <v>157</v>
      </c>
      <c r="D17" s="21" t="s">
        <v>159</v>
      </c>
      <c r="E17" s="21" t="s">
        <v>165</v>
      </c>
      <c r="F17" s="21" t="s">
        <v>169</v>
      </c>
      <c r="G17" s="28">
        <v>12784.1</v>
      </c>
      <c r="H17" s="195"/>
    </row>
    <row r="18" spans="1:8" ht="31.5">
      <c r="A18" s="26" t="s">
        <v>170</v>
      </c>
      <c r="B18" s="17">
        <v>901</v>
      </c>
      <c r="C18" s="21" t="s">
        <v>157</v>
      </c>
      <c r="D18" s="21" t="s">
        <v>159</v>
      </c>
      <c r="E18" s="21" t="s">
        <v>165</v>
      </c>
      <c r="F18" s="21" t="s">
        <v>171</v>
      </c>
      <c r="G18" s="27">
        <f>G19</f>
        <v>1302.36</v>
      </c>
      <c r="H18" s="195"/>
    </row>
    <row r="19" spans="1:8" ht="47.25">
      <c r="A19" s="26" t="s">
        <v>172</v>
      </c>
      <c r="B19" s="17">
        <v>901</v>
      </c>
      <c r="C19" s="21" t="s">
        <v>157</v>
      </c>
      <c r="D19" s="21" t="s">
        <v>159</v>
      </c>
      <c r="E19" s="21" t="s">
        <v>165</v>
      </c>
      <c r="F19" s="21" t="s">
        <v>173</v>
      </c>
      <c r="G19" s="28">
        <v>1302.36</v>
      </c>
      <c r="H19" s="195"/>
    </row>
    <row r="20" spans="1:8" ht="15.75">
      <c r="A20" s="26" t="s">
        <v>174</v>
      </c>
      <c r="B20" s="17">
        <v>901</v>
      </c>
      <c r="C20" s="21" t="s">
        <v>157</v>
      </c>
      <c r="D20" s="21" t="s">
        <v>159</v>
      </c>
      <c r="E20" s="21" t="s">
        <v>165</v>
      </c>
      <c r="F20" s="21" t="s">
        <v>175</v>
      </c>
      <c r="G20" s="27">
        <f>G21</f>
        <v>28</v>
      </c>
      <c r="H20" s="195"/>
    </row>
    <row r="21" spans="1:8" ht="15.75">
      <c r="A21" s="26" t="s">
        <v>608</v>
      </c>
      <c r="B21" s="17">
        <v>901</v>
      </c>
      <c r="C21" s="21" t="s">
        <v>157</v>
      </c>
      <c r="D21" s="21" t="s">
        <v>159</v>
      </c>
      <c r="E21" s="21" t="s">
        <v>165</v>
      </c>
      <c r="F21" s="21" t="s">
        <v>177</v>
      </c>
      <c r="G21" s="27">
        <v>28</v>
      </c>
      <c r="H21" s="195"/>
    </row>
    <row r="22" spans="1:8" ht="31.5" customHeight="1">
      <c r="A22" s="24" t="s">
        <v>178</v>
      </c>
      <c r="B22" s="20">
        <v>901</v>
      </c>
      <c r="C22" s="25" t="s">
        <v>157</v>
      </c>
      <c r="D22" s="25" t="s">
        <v>179</v>
      </c>
      <c r="E22" s="25"/>
      <c r="F22" s="25"/>
      <c r="G22" s="22">
        <f>G23</f>
        <v>50</v>
      </c>
      <c r="H22" s="195"/>
    </row>
    <row r="23" spans="1:8" ht="15.75">
      <c r="A23" s="26" t="s">
        <v>180</v>
      </c>
      <c r="B23" s="17">
        <v>901</v>
      </c>
      <c r="C23" s="21" t="s">
        <v>157</v>
      </c>
      <c r="D23" s="21" t="s">
        <v>179</v>
      </c>
      <c r="E23" s="21" t="s">
        <v>181</v>
      </c>
      <c r="F23" s="21"/>
      <c r="G23" s="27">
        <f>G24</f>
        <v>50</v>
      </c>
      <c r="H23" s="195"/>
    </row>
    <row r="24" spans="1:8" ht="15.75">
      <c r="A24" s="26" t="s">
        <v>182</v>
      </c>
      <c r="B24" s="17">
        <v>901</v>
      </c>
      <c r="C24" s="21" t="s">
        <v>157</v>
      </c>
      <c r="D24" s="21" t="s">
        <v>179</v>
      </c>
      <c r="E24" s="21" t="s">
        <v>183</v>
      </c>
      <c r="F24" s="21"/>
      <c r="G24" s="27">
        <f>G25</f>
        <v>50</v>
      </c>
      <c r="H24" s="195"/>
    </row>
    <row r="25" spans="1:8" ht="15.75">
      <c r="A25" s="26" t="s">
        <v>174</v>
      </c>
      <c r="B25" s="17">
        <v>901</v>
      </c>
      <c r="C25" s="21" t="s">
        <v>157</v>
      </c>
      <c r="D25" s="21" t="s">
        <v>179</v>
      </c>
      <c r="E25" s="21" t="s">
        <v>183</v>
      </c>
      <c r="F25" s="21" t="s">
        <v>184</v>
      </c>
      <c r="G25" s="27">
        <f>G26</f>
        <v>50</v>
      </c>
      <c r="H25" s="195"/>
    </row>
    <row r="26" spans="1:8" ht="15.75">
      <c r="A26" s="26" t="s">
        <v>185</v>
      </c>
      <c r="B26" s="17">
        <v>901</v>
      </c>
      <c r="C26" s="21" t="s">
        <v>157</v>
      </c>
      <c r="D26" s="21" t="s">
        <v>179</v>
      </c>
      <c r="E26" s="21" t="s">
        <v>183</v>
      </c>
      <c r="F26" s="21" t="s">
        <v>186</v>
      </c>
      <c r="G26" s="27">
        <v>50</v>
      </c>
      <c r="H26" s="195"/>
    </row>
    <row r="27" spans="1:8" ht="31.5">
      <c r="A27" s="20" t="s">
        <v>187</v>
      </c>
      <c r="B27" s="20">
        <v>902</v>
      </c>
      <c r="C27" s="21"/>
      <c r="D27" s="21"/>
      <c r="E27" s="21"/>
      <c r="F27" s="21"/>
      <c r="G27" s="22">
        <f>G28+G159+G177+G195</f>
        <v>87268.39999999998</v>
      </c>
      <c r="H27" s="195"/>
    </row>
    <row r="28" spans="1:8" ht="15.75">
      <c r="A28" s="24" t="s">
        <v>156</v>
      </c>
      <c r="B28" s="20">
        <v>902</v>
      </c>
      <c r="C28" s="25" t="s">
        <v>157</v>
      </c>
      <c r="D28" s="21"/>
      <c r="E28" s="21"/>
      <c r="F28" s="21"/>
      <c r="G28" s="22">
        <f>G29+G48+G56</f>
        <v>66062.7</v>
      </c>
      <c r="H28" s="195"/>
    </row>
    <row r="29" spans="1:8" ht="78.75">
      <c r="A29" s="24" t="s">
        <v>188</v>
      </c>
      <c r="B29" s="20">
        <v>902</v>
      </c>
      <c r="C29" s="25" t="s">
        <v>157</v>
      </c>
      <c r="D29" s="25" t="s">
        <v>189</v>
      </c>
      <c r="E29" s="25"/>
      <c r="F29" s="25"/>
      <c r="G29" s="22">
        <f>G30</f>
        <v>51508.2</v>
      </c>
      <c r="H29" s="195"/>
    </row>
    <row r="30" spans="1:8" ht="15.75">
      <c r="A30" s="26" t="s">
        <v>160</v>
      </c>
      <c r="B30" s="17">
        <v>902</v>
      </c>
      <c r="C30" s="21" t="s">
        <v>157</v>
      </c>
      <c r="D30" s="21" t="s">
        <v>189</v>
      </c>
      <c r="E30" s="21" t="s">
        <v>161</v>
      </c>
      <c r="F30" s="21"/>
      <c r="G30" s="28">
        <f>G31+G42</f>
        <v>51508.2</v>
      </c>
      <c r="H30" s="195"/>
    </row>
    <row r="31" spans="1:8" ht="31.5">
      <c r="A31" s="26" t="s">
        <v>162</v>
      </c>
      <c r="B31" s="17">
        <v>902</v>
      </c>
      <c r="C31" s="21" t="s">
        <v>157</v>
      </c>
      <c r="D31" s="21" t="s">
        <v>189</v>
      </c>
      <c r="E31" s="21" t="s">
        <v>163</v>
      </c>
      <c r="F31" s="21"/>
      <c r="G31" s="28">
        <f>G32+G39</f>
        <v>43489.2</v>
      </c>
      <c r="H31" s="195"/>
    </row>
    <row r="32" spans="1:8" ht="47.25">
      <c r="A32" s="26" t="s">
        <v>164</v>
      </c>
      <c r="B32" s="17">
        <v>902</v>
      </c>
      <c r="C32" s="21" t="s">
        <v>157</v>
      </c>
      <c r="D32" s="21" t="s">
        <v>189</v>
      </c>
      <c r="E32" s="21" t="s">
        <v>165</v>
      </c>
      <c r="F32" s="21"/>
      <c r="G32" s="27">
        <f>G33+G35+G37</f>
        <v>39943.6</v>
      </c>
      <c r="H32" s="195"/>
    </row>
    <row r="33" spans="1:8" ht="94.5">
      <c r="A33" s="26" t="s">
        <v>166</v>
      </c>
      <c r="B33" s="17">
        <v>902</v>
      </c>
      <c r="C33" s="21" t="s">
        <v>157</v>
      </c>
      <c r="D33" s="21" t="s">
        <v>189</v>
      </c>
      <c r="E33" s="21" t="s">
        <v>165</v>
      </c>
      <c r="F33" s="21" t="s">
        <v>167</v>
      </c>
      <c r="G33" s="27">
        <f>G34</f>
        <v>34230.5</v>
      </c>
      <c r="H33" s="195"/>
    </row>
    <row r="34" spans="1:10" ht="31.5">
      <c r="A34" s="26" t="s">
        <v>168</v>
      </c>
      <c r="B34" s="17">
        <v>902</v>
      </c>
      <c r="C34" s="21" t="s">
        <v>157</v>
      </c>
      <c r="D34" s="21" t="s">
        <v>189</v>
      </c>
      <c r="E34" s="21" t="s">
        <v>165</v>
      </c>
      <c r="F34" s="21" t="s">
        <v>169</v>
      </c>
      <c r="G34" s="174">
        <f>36517.7-553.5-1733.7</f>
        <v>34230.5</v>
      </c>
      <c r="H34" s="175" t="s">
        <v>785</v>
      </c>
      <c r="J34" s="190" t="s">
        <v>829</v>
      </c>
    </row>
    <row r="35" spans="1:8" ht="31.5">
      <c r="A35" s="26" t="s">
        <v>170</v>
      </c>
      <c r="B35" s="17">
        <v>902</v>
      </c>
      <c r="C35" s="21" t="s">
        <v>157</v>
      </c>
      <c r="D35" s="21" t="s">
        <v>189</v>
      </c>
      <c r="E35" s="21" t="s">
        <v>165</v>
      </c>
      <c r="F35" s="21" t="s">
        <v>171</v>
      </c>
      <c r="G35" s="27">
        <f>G36</f>
        <v>5592.4</v>
      </c>
      <c r="H35" s="195"/>
    </row>
    <row r="36" spans="1:9" ht="47.25">
      <c r="A36" s="26" t="s">
        <v>172</v>
      </c>
      <c r="B36" s="17">
        <v>902</v>
      </c>
      <c r="C36" s="21" t="s">
        <v>157</v>
      </c>
      <c r="D36" s="21" t="s">
        <v>189</v>
      </c>
      <c r="E36" s="21" t="s">
        <v>165</v>
      </c>
      <c r="F36" s="21" t="s">
        <v>173</v>
      </c>
      <c r="G36" s="28">
        <f>3962.7+1800-140.3-30</f>
        <v>5592.4</v>
      </c>
      <c r="H36" s="126"/>
      <c r="I36" s="145"/>
    </row>
    <row r="37" spans="1:8" ht="15.75">
      <c r="A37" s="26" t="s">
        <v>174</v>
      </c>
      <c r="B37" s="17">
        <v>902</v>
      </c>
      <c r="C37" s="21" t="s">
        <v>157</v>
      </c>
      <c r="D37" s="21" t="s">
        <v>189</v>
      </c>
      <c r="E37" s="21" t="s">
        <v>165</v>
      </c>
      <c r="F37" s="21" t="s">
        <v>184</v>
      </c>
      <c r="G37" s="27">
        <f>G38</f>
        <v>120.7</v>
      </c>
      <c r="H37" s="195"/>
    </row>
    <row r="38" spans="1:9" ht="15.75">
      <c r="A38" s="26" t="s">
        <v>608</v>
      </c>
      <c r="B38" s="17">
        <v>902</v>
      </c>
      <c r="C38" s="21" t="s">
        <v>157</v>
      </c>
      <c r="D38" s="21" t="s">
        <v>189</v>
      </c>
      <c r="E38" s="21" t="s">
        <v>165</v>
      </c>
      <c r="F38" s="21" t="s">
        <v>177</v>
      </c>
      <c r="G38" s="28">
        <f>90.7+30</f>
        <v>120.7</v>
      </c>
      <c r="H38" s="126"/>
      <c r="I38" s="144"/>
    </row>
    <row r="39" spans="1:8" ht="31.5">
      <c r="A39" s="26" t="s">
        <v>190</v>
      </c>
      <c r="B39" s="17">
        <v>902</v>
      </c>
      <c r="C39" s="21" t="s">
        <v>157</v>
      </c>
      <c r="D39" s="21" t="s">
        <v>189</v>
      </c>
      <c r="E39" s="21" t="s">
        <v>191</v>
      </c>
      <c r="F39" s="21"/>
      <c r="G39" s="27">
        <f>G40</f>
        <v>3545.6</v>
      </c>
      <c r="H39" s="195"/>
    </row>
    <row r="40" spans="1:8" ht="94.5">
      <c r="A40" s="26" t="s">
        <v>166</v>
      </c>
      <c r="B40" s="17">
        <v>902</v>
      </c>
      <c r="C40" s="21" t="s">
        <v>157</v>
      </c>
      <c r="D40" s="21" t="s">
        <v>189</v>
      </c>
      <c r="E40" s="21" t="s">
        <v>191</v>
      </c>
      <c r="F40" s="21" t="s">
        <v>167</v>
      </c>
      <c r="G40" s="27">
        <f>G41</f>
        <v>3545.6</v>
      </c>
      <c r="H40" s="195"/>
    </row>
    <row r="41" spans="1:8" ht="31.5">
      <c r="A41" s="26" t="s">
        <v>168</v>
      </c>
      <c r="B41" s="17">
        <v>902</v>
      </c>
      <c r="C41" s="21" t="s">
        <v>157</v>
      </c>
      <c r="D41" s="21" t="s">
        <v>189</v>
      </c>
      <c r="E41" s="21" t="s">
        <v>191</v>
      </c>
      <c r="F41" s="21" t="s">
        <v>169</v>
      </c>
      <c r="G41" s="28">
        <v>3545.6</v>
      </c>
      <c r="H41" s="195"/>
    </row>
    <row r="42" spans="1:8" ht="15.75">
      <c r="A42" s="26" t="s">
        <v>180</v>
      </c>
      <c r="B42" s="17">
        <v>902</v>
      </c>
      <c r="C42" s="21" t="s">
        <v>157</v>
      </c>
      <c r="D42" s="21" t="s">
        <v>189</v>
      </c>
      <c r="E42" s="21" t="s">
        <v>181</v>
      </c>
      <c r="F42" s="21"/>
      <c r="G42" s="30">
        <f>G43</f>
        <v>8019</v>
      </c>
      <c r="H42" s="195"/>
    </row>
    <row r="43" spans="1:8" ht="31.5">
      <c r="A43" s="26" t="s">
        <v>192</v>
      </c>
      <c r="B43" s="17">
        <v>902</v>
      </c>
      <c r="C43" s="21" t="s">
        <v>157</v>
      </c>
      <c r="D43" s="21" t="s">
        <v>189</v>
      </c>
      <c r="E43" s="21" t="s">
        <v>193</v>
      </c>
      <c r="F43" s="21"/>
      <c r="G43" s="27">
        <f>G44+G46</f>
        <v>8019</v>
      </c>
      <c r="H43" s="195"/>
    </row>
    <row r="44" spans="1:8" ht="94.5">
      <c r="A44" s="26" t="s">
        <v>166</v>
      </c>
      <c r="B44" s="17">
        <v>902</v>
      </c>
      <c r="C44" s="21" t="s">
        <v>157</v>
      </c>
      <c r="D44" s="21" t="s">
        <v>189</v>
      </c>
      <c r="E44" s="21" t="s">
        <v>193</v>
      </c>
      <c r="F44" s="21" t="s">
        <v>167</v>
      </c>
      <c r="G44" s="27">
        <f>G45</f>
        <v>5761.2</v>
      </c>
      <c r="H44" s="195"/>
    </row>
    <row r="45" spans="1:10" ht="31.5">
      <c r="A45" s="26" t="s">
        <v>168</v>
      </c>
      <c r="B45" s="17">
        <v>902</v>
      </c>
      <c r="C45" s="21" t="s">
        <v>157</v>
      </c>
      <c r="D45" s="21" t="s">
        <v>189</v>
      </c>
      <c r="E45" s="21" t="s">
        <v>193</v>
      </c>
      <c r="F45" s="21" t="s">
        <v>169</v>
      </c>
      <c r="G45" s="174">
        <f>6958.6+88.4-2398.3+1112.5</f>
        <v>5761.2</v>
      </c>
      <c r="H45" s="126" t="s">
        <v>786</v>
      </c>
      <c r="I45" s="144"/>
      <c r="J45" s="189" t="s">
        <v>830</v>
      </c>
    </row>
    <row r="46" spans="1:8" ht="31.5">
      <c r="A46" s="26" t="s">
        <v>170</v>
      </c>
      <c r="B46" s="17">
        <v>902</v>
      </c>
      <c r="C46" s="21" t="s">
        <v>157</v>
      </c>
      <c r="D46" s="21" t="s">
        <v>189</v>
      </c>
      <c r="E46" s="21" t="s">
        <v>193</v>
      </c>
      <c r="F46" s="21" t="s">
        <v>171</v>
      </c>
      <c r="G46" s="27">
        <f>G47</f>
        <v>2257.8</v>
      </c>
      <c r="H46" s="195"/>
    </row>
    <row r="47" spans="1:9" ht="47.25">
      <c r="A47" s="26" t="s">
        <v>172</v>
      </c>
      <c r="B47" s="17">
        <v>902</v>
      </c>
      <c r="C47" s="21" t="s">
        <v>157</v>
      </c>
      <c r="D47" s="21" t="s">
        <v>189</v>
      </c>
      <c r="E47" s="21" t="s">
        <v>193</v>
      </c>
      <c r="F47" s="21" t="s">
        <v>173</v>
      </c>
      <c r="G47" s="174">
        <f>2109.3+129.9+835.5-1438.1+621.2</f>
        <v>2257.8</v>
      </c>
      <c r="H47" s="126" t="s">
        <v>787</v>
      </c>
      <c r="I47" s="145"/>
    </row>
    <row r="48" spans="1:8" ht="63">
      <c r="A48" s="24" t="s">
        <v>158</v>
      </c>
      <c r="B48" s="20">
        <v>902</v>
      </c>
      <c r="C48" s="25" t="s">
        <v>157</v>
      </c>
      <c r="D48" s="25" t="s">
        <v>159</v>
      </c>
      <c r="E48" s="25"/>
      <c r="F48" s="21"/>
      <c r="G48" s="22">
        <f>G49</f>
        <v>1081.7</v>
      </c>
      <c r="H48" s="195"/>
    </row>
    <row r="49" spans="1:8" ht="21" customHeight="1">
      <c r="A49" s="26" t="s">
        <v>160</v>
      </c>
      <c r="B49" s="17">
        <v>902</v>
      </c>
      <c r="C49" s="21" t="s">
        <v>157</v>
      </c>
      <c r="D49" s="21" t="s">
        <v>159</v>
      </c>
      <c r="E49" s="21" t="s">
        <v>161</v>
      </c>
      <c r="F49" s="21"/>
      <c r="G49" s="27">
        <f>G50</f>
        <v>1081.7</v>
      </c>
      <c r="H49" s="195"/>
    </row>
    <row r="50" spans="1:11" ht="31.5">
      <c r="A50" s="26" t="s">
        <v>162</v>
      </c>
      <c r="B50" s="17">
        <v>902</v>
      </c>
      <c r="C50" s="21" t="s">
        <v>157</v>
      </c>
      <c r="D50" s="21" t="s">
        <v>159</v>
      </c>
      <c r="E50" s="21" t="s">
        <v>163</v>
      </c>
      <c r="F50" s="21"/>
      <c r="G50" s="27">
        <f>G51</f>
        <v>1081.7</v>
      </c>
      <c r="H50" s="195"/>
      <c r="K50" s="27"/>
    </row>
    <row r="51" spans="1:11" ht="47.25">
      <c r="A51" s="26" t="s">
        <v>164</v>
      </c>
      <c r="B51" s="17">
        <v>902</v>
      </c>
      <c r="C51" s="21" t="s">
        <v>157</v>
      </c>
      <c r="D51" s="21" t="s">
        <v>159</v>
      </c>
      <c r="E51" s="21" t="s">
        <v>165</v>
      </c>
      <c r="F51" s="21"/>
      <c r="G51" s="27">
        <f>G52+G54</f>
        <v>1081.7</v>
      </c>
      <c r="H51" s="195"/>
      <c r="K51" s="27"/>
    </row>
    <row r="52" spans="1:11" ht="94.5">
      <c r="A52" s="26" t="s">
        <v>166</v>
      </c>
      <c r="B52" s="17">
        <v>902</v>
      </c>
      <c r="C52" s="21" t="s">
        <v>157</v>
      </c>
      <c r="D52" s="21" t="s">
        <v>159</v>
      </c>
      <c r="E52" s="21" t="s">
        <v>165</v>
      </c>
      <c r="F52" s="21" t="s">
        <v>167</v>
      </c>
      <c r="G52" s="27">
        <f>G53</f>
        <v>1081.7</v>
      </c>
      <c r="H52" s="195"/>
      <c r="K52" s="28"/>
    </row>
    <row r="53" spans="1:11" ht="31.5">
      <c r="A53" s="26" t="s">
        <v>168</v>
      </c>
      <c r="B53" s="17">
        <v>902</v>
      </c>
      <c r="C53" s="21" t="s">
        <v>157</v>
      </c>
      <c r="D53" s="21" t="s">
        <v>159</v>
      </c>
      <c r="E53" s="21" t="s">
        <v>165</v>
      </c>
      <c r="F53" s="21" t="s">
        <v>169</v>
      </c>
      <c r="G53" s="28">
        <f>1081.7</f>
        <v>1081.7</v>
      </c>
      <c r="H53" s="195"/>
      <c r="I53" s="135"/>
      <c r="K53" s="27"/>
    </row>
    <row r="54" spans="1:11" ht="31.5" hidden="1">
      <c r="A54" s="26" t="s">
        <v>170</v>
      </c>
      <c r="B54" s="17">
        <v>902</v>
      </c>
      <c r="C54" s="21" t="s">
        <v>157</v>
      </c>
      <c r="D54" s="21" t="s">
        <v>159</v>
      </c>
      <c r="E54" s="21" t="s">
        <v>165</v>
      </c>
      <c r="F54" s="21" t="s">
        <v>171</v>
      </c>
      <c r="G54" s="28">
        <f>G55</f>
        <v>0</v>
      </c>
      <c r="H54" s="195"/>
      <c r="K54" s="27"/>
    </row>
    <row r="55" spans="1:11" ht="47.25" hidden="1">
      <c r="A55" s="26" t="s">
        <v>172</v>
      </c>
      <c r="B55" s="17">
        <v>902</v>
      </c>
      <c r="C55" s="21" t="s">
        <v>157</v>
      </c>
      <c r="D55" s="21" t="s">
        <v>159</v>
      </c>
      <c r="E55" s="21" t="s">
        <v>165</v>
      </c>
      <c r="F55" s="21" t="s">
        <v>173</v>
      </c>
      <c r="G55" s="28"/>
      <c r="H55" s="195"/>
      <c r="I55" s="135"/>
      <c r="K55" s="27"/>
    </row>
    <row r="56" spans="1:11" ht="15.75">
      <c r="A56" s="24" t="s">
        <v>178</v>
      </c>
      <c r="B56" s="20">
        <v>902</v>
      </c>
      <c r="C56" s="25" t="s">
        <v>157</v>
      </c>
      <c r="D56" s="25" t="s">
        <v>179</v>
      </c>
      <c r="E56" s="25"/>
      <c r="F56" s="25"/>
      <c r="G56" s="22">
        <f>G57+G61+G73+G86+G97+G90</f>
        <v>13472.8</v>
      </c>
      <c r="H56" s="195"/>
      <c r="I56" s="134"/>
      <c r="K56" s="27"/>
    </row>
    <row r="57" spans="1:8" ht="63">
      <c r="A57" s="26" t="s">
        <v>194</v>
      </c>
      <c r="B57" s="17">
        <v>902</v>
      </c>
      <c r="C57" s="21" t="s">
        <v>157</v>
      </c>
      <c r="D57" s="21" t="s">
        <v>179</v>
      </c>
      <c r="E57" s="21" t="s">
        <v>195</v>
      </c>
      <c r="F57" s="21"/>
      <c r="G57" s="27">
        <f>G58</f>
        <v>250</v>
      </c>
      <c r="H57" s="195"/>
    </row>
    <row r="58" spans="1:8" ht="31.5">
      <c r="A58" s="26" t="s">
        <v>196</v>
      </c>
      <c r="B58" s="17">
        <v>902</v>
      </c>
      <c r="C58" s="21" t="s">
        <v>157</v>
      </c>
      <c r="D58" s="21" t="s">
        <v>179</v>
      </c>
      <c r="E58" s="21" t="s">
        <v>197</v>
      </c>
      <c r="F58" s="21"/>
      <c r="G58" s="27">
        <f>G59</f>
        <v>250</v>
      </c>
      <c r="H58" s="195"/>
    </row>
    <row r="59" spans="1:8" ht="15.75">
      <c r="A59" s="26" t="s">
        <v>174</v>
      </c>
      <c r="B59" s="17">
        <v>902</v>
      </c>
      <c r="C59" s="21" t="s">
        <v>157</v>
      </c>
      <c r="D59" s="21" t="s">
        <v>179</v>
      </c>
      <c r="E59" s="21" t="s">
        <v>197</v>
      </c>
      <c r="F59" s="21" t="s">
        <v>184</v>
      </c>
      <c r="G59" s="27">
        <f>G60</f>
        <v>250</v>
      </c>
      <c r="H59" s="195"/>
    </row>
    <row r="60" spans="1:9" ht="78.75">
      <c r="A60" s="26" t="s">
        <v>198</v>
      </c>
      <c r="B60" s="17">
        <v>902</v>
      </c>
      <c r="C60" s="21" t="s">
        <v>157</v>
      </c>
      <c r="D60" s="21" t="s">
        <v>179</v>
      </c>
      <c r="E60" s="21" t="s">
        <v>197</v>
      </c>
      <c r="F60" s="21" t="s">
        <v>199</v>
      </c>
      <c r="G60" s="27">
        <f>100+150</f>
        <v>250</v>
      </c>
      <c r="H60" s="195"/>
      <c r="I60" s="135"/>
    </row>
    <row r="61" spans="1:8" ht="47.25">
      <c r="A61" s="26" t="s">
        <v>200</v>
      </c>
      <c r="B61" s="17">
        <v>902</v>
      </c>
      <c r="C61" s="21" t="s">
        <v>157</v>
      </c>
      <c r="D61" s="21" t="s">
        <v>179</v>
      </c>
      <c r="E61" s="21" t="s">
        <v>201</v>
      </c>
      <c r="F61" s="21"/>
      <c r="G61" s="27">
        <f>G62+G65+G70</f>
        <v>653.5</v>
      </c>
      <c r="H61" s="195"/>
    </row>
    <row r="62" spans="1:8" ht="31.5">
      <c r="A62" s="31" t="s">
        <v>202</v>
      </c>
      <c r="B62" s="17">
        <v>902</v>
      </c>
      <c r="C62" s="21" t="s">
        <v>157</v>
      </c>
      <c r="D62" s="21" t="s">
        <v>179</v>
      </c>
      <c r="E62" s="42" t="s">
        <v>203</v>
      </c>
      <c r="F62" s="21"/>
      <c r="G62" s="27">
        <f>G63</f>
        <v>428.1</v>
      </c>
      <c r="H62" s="195"/>
    </row>
    <row r="63" spans="1:8" ht="31.5">
      <c r="A63" s="26" t="s">
        <v>170</v>
      </c>
      <c r="B63" s="17">
        <v>902</v>
      </c>
      <c r="C63" s="21" t="s">
        <v>157</v>
      </c>
      <c r="D63" s="21" t="s">
        <v>179</v>
      </c>
      <c r="E63" s="42" t="s">
        <v>203</v>
      </c>
      <c r="F63" s="21" t="s">
        <v>171</v>
      </c>
      <c r="G63" s="27">
        <f>G64</f>
        <v>428.1</v>
      </c>
      <c r="H63" s="195"/>
    </row>
    <row r="64" spans="1:8" ht="47.25">
      <c r="A64" s="26" t="s">
        <v>172</v>
      </c>
      <c r="B64" s="17">
        <v>902</v>
      </c>
      <c r="C64" s="21" t="s">
        <v>157</v>
      </c>
      <c r="D64" s="21" t="s">
        <v>179</v>
      </c>
      <c r="E64" s="42" t="s">
        <v>203</v>
      </c>
      <c r="F64" s="21" t="s">
        <v>173</v>
      </c>
      <c r="G64" s="27">
        <f>494.3-66.2</f>
        <v>428.1</v>
      </c>
      <c r="H64" s="195"/>
    </row>
    <row r="65" spans="1:8" ht="63">
      <c r="A65" s="196" t="s">
        <v>204</v>
      </c>
      <c r="B65" s="17">
        <v>902</v>
      </c>
      <c r="C65" s="21" t="s">
        <v>157</v>
      </c>
      <c r="D65" s="21" t="s">
        <v>179</v>
      </c>
      <c r="E65" s="42" t="s">
        <v>205</v>
      </c>
      <c r="F65" s="21"/>
      <c r="G65" s="27">
        <f>G66+G68</f>
        <v>224.89999999999998</v>
      </c>
      <c r="H65" s="195"/>
    </row>
    <row r="66" spans="1:8" ht="94.5">
      <c r="A66" s="26" t="s">
        <v>166</v>
      </c>
      <c r="B66" s="17">
        <v>902</v>
      </c>
      <c r="C66" s="21" t="s">
        <v>157</v>
      </c>
      <c r="D66" s="21" t="s">
        <v>179</v>
      </c>
      <c r="E66" s="42" t="s">
        <v>205</v>
      </c>
      <c r="F66" s="21" t="s">
        <v>167</v>
      </c>
      <c r="G66" s="27">
        <f>G67</f>
        <v>159.7</v>
      </c>
      <c r="H66" s="195"/>
    </row>
    <row r="67" spans="1:8" ht="31.5">
      <c r="A67" s="26" t="s">
        <v>168</v>
      </c>
      <c r="B67" s="17">
        <v>902</v>
      </c>
      <c r="C67" s="21" t="s">
        <v>157</v>
      </c>
      <c r="D67" s="21" t="s">
        <v>179</v>
      </c>
      <c r="E67" s="42" t="s">
        <v>205</v>
      </c>
      <c r="F67" s="21" t="s">
        <v>169</v>
      </c>
      <c r="G67" s="27">
        <v>159.7</v>
      </c>
      <c r="H67" s="195"/>
    </row>
    <row r="68" spans="1:8" ht="31.5">
      <c r="A68" s="26" t="s">
        <v>170</v>
      </c>
      <c r="B68" s="17">
        <v>902</v>
      </c>
      <c r="C68" s="21" t="s">
        <v>157</v>
      </c>
      <c r="D68" s="21" t="s">
        <v>179</v>
      </c>
      <c r="E68" s="42" t="s">
        <v>205</v>
      </c>
      <c r="F68" s="21" t="s">
        <v>171</v>
      </c>
      <c r="G68" s="27">
        <f>G69</f>
        <v>65.2</v>
      </c>
      <c r="H68" s="195"/>
    </row>
    <row r="69" spans="1:8" ht="47.25">
      <c r="A69" s="26" t="s">
        <v>172</v>
      </c>
      <c r="B69" s="17">
        <v>902</v>
      </c>
      <c r="C69" s="21" t="s">
        <v>157</v>
      </c>
      <c r="D69" s="21" t="s">
        <v>179</v>
      </c>
      <c r="E69" s="42" t="s">
        <v>205</v>
      </c>
      <c r="F69" s="21" t="s">
        <v>173</v>
      </c>
      <c r="G69" s="27">
        <f>66.2-0.5-0.5</f>
        <v>65.2</v>
      </c>
      <c r="H69" s="126"/>
    </row>
    <row r="70" spans="1:8" ht="47.25">
      <c r="A70" s="35" t="s">
        <v>230</v>
      </c>
      <c r="B70" s="17">
        <v>902</v>
      </c>
      <c r="C70" s="21" t="s">
        <v>157</v>
      </c>
      <c r="D70" s="21" t="s">
        <v>179</v>
      </c>
      <c r="E70" s="42" t="s">
        <v>743</v>
      </c>
      <c r="F70" s="21"/>
      <c r="G70" s="27">
        <f>G71</f>
        <v>0.5</v>
      </c>
      <c r="H70" s="128"/>
    </row>
    <row r="71" spans="1:8" ht="31.5">
      <c r="A71" s="26" t="s">
        <v>170</v>
      </c>
      <c r="B71" s="17">
        <v>902</v>
      </c>
      <c r="C71" s="21" t="s">
        <v>157</v>
      </c>
      <c r="D71" s="21" t="s">
        <v>179</v>
      </c>
      <c r="E71" s="42" t="s">
        <v>743</v>
      </c>
      <c r="F71" s="21" t="s">
        <v>171</v>
      </c>
      <c r="G71" s="27">
        <f>G72</f>
        <v>0.5</v>
      </c>
      <c r="H71" s="195"/>
    </row>
    <row r="72" spans="1:8" ht="47.25">
      <c r="A72" s="26" t="s">
        <v>172</v>
      </c>
      <c r="B72" s="17">
        <v>902</v>
      </c>
      <c r="C72" s="21" t="s">
        <v>157</v>
      </c>
      <c r="D72" s="21" t="s">
        <v>179</v>
      </c>
      <c r="E72" s="42" t="s">
        <v>743</v>
      </c>
      <c r="F72" s="21" t="s">
        <v>173</v>
      </c>
      <c r="G72" s="27">
        <v>0.5</v>
      </c>
      <c r="H72" s="126"/>
    </row>
    <row r="73" spans="1:8" ht="94.5">
      <c r="A73" s="31" t="s">
        <v>206</v>
      </c>
      <c r="B73" s="17">
        <v>902</v>
      </c>
      <c r="C73" s="10" t="s">
        <v>157</v>
      </c>
      <c r="D73" s="10" t="s">
        <v>179</v>
      </c>
      <c r="E73" s="6" t="s">
        <v>207</v>
      </c>
      <c r="F73" s="10"/>
      <c r="G73" s="27">
        <f>G74+G78+G82</f>
        <v>80</v>
      </c>
      <c r="H73" s="195"/>
    </row>
    <row r="74" spans="1:8" ht="78.75">
      <c r="A74" s="31" t="s">
        <v>208</v>
      </c>
      <c r="B74" s="17">
        <v>902</v>
      </c>
      <c r="C74" s="10" t="s">
        <v>157</v>
      </c>
      <c r="D74" s="10" t="s">
        <v>179</v>
      </c>
      <c r="E74" s="32" t="s">
        <v>209</v>
      </c>
      <c r="F74" s="10"/>
      <c r="G74" s="27">
        <f>G75</f>
        <v>15</v>
      </c>
      <c r="H74" s="195"/>
    </row>
    <row r="75" spans="1:8" ht="31.5">
      <c r="A75" s="196" t="s">
        <v>210</v>
      </c>
      <c r="B75" s="17">
        <v>902</v>
      </c>
      <c r="C75" s="10" t="s">
        <v>157</v>
      </c>
      <c r="D75" s="10" t="s">
        <v>179</v>
      </c>
      <c r="E75" s="6" t="s">
        <v>211</v>
      </c>
      <c r="F75" s="10"/>
      <c r="G75" s="27">
        <f>G76</f>
        <v>15</v>
      </c>
      <c r="H75" s="195"/>
    </row>
    <row r="76" spans="1:8" ht="31.5">
      <c r="A76" s="26" t="s">
        <v>170</v>
      </c>
      <c r="B76" s="17">
        <v>902</v>
      </c>
      <c r="C76" s="10" t="s">
        <v>157</v>
      </c>
      <c r="D76" s="10" t="s">
        <v>179</v>
      </c>
      <c r="E76" s="6" t="s">
        <v>211</v>
      </c>
      <c r="F76" s="10" t="s">
        <v>171</v>
      </c>
      <c r="G76" s="27">
        <f>G77</f>
        <v>15</v>
      </c>
      <c r="H76" s="195"/>
    </row>
    <row r="77" spans="1:8" ht="47.25">
      <c r="A77" s="26" t="s">
        <v>172</v>
      </c>
      <c r="B77" s="17">
        <v>902</v>
      </c>
      <c r="C77" s="10" t="s">
        <v>157</v>
      </c>
      <c r="D77" s="10" t="s">
        <v>179</v>
      </c>
      <c r="E77" s="6" t="s">
        <v>211</v>
      </c>
      <c r="F77" s="10" t="s">
        <v>173</v>
      </c>
      <c r="G77" s="27">
        <v>15</v>
      </c>
      <c r="H77" s="195"/>
    </row>
    <row r="78" spans="1:8" ht="63">
      <c r="A78" s="31" t="s">
        <v>212</v>
      </c>
      <c r="B78" s="17">
        <v>902</v>
      </c>
      <c r="C78" s="10" t="s">
        <v>157</v>
      </c>
      <c r="D78" s="10" t="s">
        <v>179</v>
      </c>
      <c r="E78" s="32" t="s">
        <v>213</v>
      </c>
      <c r="F78" s="10"/>
      <c r="G78" s="27">
        <f>G79</f>
        <v>50</v>
      </c>
      <c r="H78" s="195"/>
    </row>
    <row r="79" spans="1:8" ht="31.5">
      <c r="A79" s="47" t="s">
        <v>214</v>
      </c>
      <c r="B79" s="17">
        <v>902</v>
      </c>
      <c r="C79" s="10" t="s">
        <v>157</v>
      </c>
      <c r="D79" s="10" t="s">
        <v>179</v>
      </c>
      <c r="E79" s="6" t="s">
        <v>215</v>
      </c>
      <c r="F79" s="10"/>
      <c r="G79" s="27">
        <f>G80</f>
        <v>50</v>
      </c>
      <c r="H79" s="195"/>
    </row>
    <row r="80" spans="1:8" ht="31.5">
      <c r="A80" s="26" t="s">
        <v>170</v>
      </c>
      <c r="B80" s="17">
        <v>902</v>
      </c>
      <c r="C80" s="10" t="s">
        <v>157</v>
      </c>
      <c r="D80" s="10" t="s">
        <v>179</v>
      </c>
      <c r="E80" s="6" t="s">
        <v>215</v>
      </c>
      <c r="F80" s="10" t="s">
        <v>171</v>
      </c>
      <c r="G80" s="27">
        <f>G81</f>
        <v>50</v>
      </c>
      <c r="H80" s="195"/>
    </row>
    <row r="81" spans="1:8" ht="47.25">
      <c r="A81" s="26" t="s">
        <v>172</v>
      </c>
      <c r="B81" s="17">
        <v>902</v>
      </c>
      <c r="C81" s="10" t="s">
        <v>157</v>
      </c>
      <c r="D81" s="10" t="s">
        <v>179</v>
      </c>
      <c r="E81" s="6" t="s">
        <v>215</v>
      </c>
      <c r="F81" s="10" t="s">
        <v>173</v>
      </c>
      <c r="G81" s="27">
        <v>50</v>
      </c>
      <c r="H81" s="195"/>
    </row>
    <row r="82" spans="1:8" ht="47.25">
      <c r="A82" s="26" t="s">
        <v>216</v>
      </c>
      <c r="B82" s="17">
        <v>902</v>
      </c>
      <c r="C82" s="10" t="s">
        <v>157</v>
      </c>
      <c r="D82" s="10" t="s">
        <v>179</v>
      </c>
      <c r="E82" s="6" t="s">
        <v>217</v>
      </c>
      <c r="F82" s="10"/>
      <c r="G82" s="27">
        <f>G83</f>
        <v>15</v>
      </c>
      <c r="H82" s="195"/>
    </row>
    <row r="83" spans="1:8" ht="15.75">
      <c r="A83" s="47" t="s">
        <v>218</v>
      </c>
      <c r="B83" s="17">
        <v>902</v>
      </c>
      <c r="C83" s="10" t="s">
        <v>157</v>
      </c>
      <c r="D83" s="10" t="s">
        <v>179</v>
      </c>
      <c r="E83" s="6" t="s">
        <v>219</v>
      </c>
      <c r="F83" s="10"/>
      <c r="G83" s="27">
        <f>G84</f>
        <v>15</v>
      </c>
      <c r="H83" s="195"/>
    </row>
    <row r="84" spans="1:8" ht="31.5">
      <c r="A84" s="26" t="s">
        <v>170</v>
      </c>
      <c r="B84" s="17">
        <v>902</v>
      </c>
      <c r="C84" s="10" t="s">
        <v>157</v>
      </c>
      <c r="D84" s="10" t="s">
        <v>179</v>
      </c>
      <c r="E84" s="6" t="s">
        <v>219</v>
      </c>
      <c r="F84" s="10" t="s">
        <v>171</v>
      </c>
      <c r="G84" s="27">
        <f>G85</f>
        <v>15</v>
      </c>
      <c r="H84" s="195"/>
    </row>
    <row r="85" spans="1:8" ht="47.25">
      <c r="A85" s="26" t="s">
        <v>172</v>
      </c>
      <c r="B85" s="17">
        <v>902</v>
      </c>
      <c r="C85" s="10" t="s">
        <v>157</v>
      </c>
      <c r="D85" s="10" t="s">
        <v>179</v>
      </c>
      <c r="E85" s="6" t="s">
        <v>219</v>
      </c>
      <c r="F85" s="10" t="s">
        <v>173</v>
      </c>
      <c r="G85" s="27">
        <v>15</v>
      </c>
      <c r="H85" s="195"/>
    </row>
    <row r="86" spans="1:8" ht="47.25">
      <c r="A86" s="33" t="s">
        <v>220</v>
      </c>
      <c r="B86" s="17">
        <v>902</v>
      </c>
      <c r="C86" s="21" t="s">
        <v>157</v>
      </c>
      <c r="D86" s="21" t="s">
        <v>179</v>
      </c>
      <c r="E86" s="32" t="s">
        <v>221</v>
      </c>
      <c r="F86" s="34"/>
      <c r="G86" s="27">
        <f>G87</f>
        <v>120</v>
      </c>
      <c r="H86" s="195"/>
    </row>
    <row r="87" spans="1:8" ht="31.5">
      <c r="A87" s="26" t="s">
        <v>196</v>
      </c>
      <c r="B87" s="17">
        <v>902</v>
      </c>
      <c r="C87" s="21" t="s">
        <v>157</v>
      </c>
      <c r="D87" s="21" t="s">
        <v>179</v>
      </c>
      <c r="E87" s="21" t="s">
        <v>222</v>
      </c>
      <c r="F87" s="34"/>
      <c r="G87" s="27">
        <f>G88</f>
        <v>120</v>
      </c>
      <c r="H87" s="195"/>
    </row>
    <row r="88" spans="1:8" ht="15.75">
      <c r="A88" s="31" t="s">
        <v>174</v>
      </c>
      <c r="B88" s="17">
        <v>902</v>
      </c>
      <c r="C88" s="21" t="s">
        <v>157</v>
      </c>
      <c r="D88" s="21" t="s">
        <v>179</v>
      </c>
      <c r="E88" s="21" t="s">
        <v>222</v>
      </c>
      <c r="F88" s="34" t="s">
        <v>184</v>
      </c>
      <c r="G88" s="27">
        <f>G89</f>
        <v>120</v>
      </c>
      <c r="H88" s="195"/>
    </row>
    <row r="89" spans="1:9" ht="63">
      <c r="A89" s="31" t="s">
        <v>223</v>
      </c>
      <c r="B89" s="17">
        <v>902</v>
      </c>
      <c r="C89" s="21" t="s">
        <v>157</v>
      </c>
      <c r="D89" s="21" t="s">
        <v>179</v>
      </c>
      <c r="E89" s="21" t="s">
        <v>222</v>
      </c>
      <c r="F89" s="34" t="s">
        <v>199</v>
      </c>
      <c r="G89" s="27">
        <f>100+20</f>
        <v>120</v>
      </c>
      <c r="H89" s="126"/>
      <c r="I89" s="146"/>
    </row>
    <row r="90" spans="1:8" ht="63">
      <c r="A90" s="31" t="s">
        <v>777</v>
      </c>
      <c r="B90" s="17">
        <v>902</v>
      </c>
      <c r="C90" s="21" t="s">
        <v>157</v>
      </c>
      <c r="D90" s="21" t="s">
        <v>179</v>
      </c>
      <c r="E90" s="21" t="s">
        <v>775</v>
      </c>
      <c r="F90" s="34"/>
      <c r="G90" s="27">
        <f>G91</f>
        <v>29</v>
      </c>
      <c r="H90" s="128"/>
    </row>
    <row r="91" spans="1:8" ht="31.5">
      <c r="A91" s="33" t="s">
        <v>196</v>
      </c>
      <c r="B91" s="17">
        <v>902</v>
      </c>
      <c r="C91" s="21" t="s">
        <v>157</v>
      </c>
      <c r="D91" s="21" t="s">
        <v>179</v>
      </c>
      <c r="E91" s="21" t="s">
        <v>783</v>
      </c>
      <c r="F91" s="34"/>
      <c r="G91" s="27">
        <f>G92</f>
        <v>29</v>
      </c>
      <c r="H91" s="128"/>
    </row>
    <row r="92" spans="1:8" ht="31.5">
      <c r="A92" s="26" t="s">
        <v>170</v>
      </c>
      <c r="B92" s="17">
        <v>902</v>
      </c>
      <c r="C92" s="21" t="s">
        <v>157</v>
      </c>
      <c r="D92" s="21" t="s">
        <v>179</v>
      </c>
      <c r="E92" s="21" t="s">
        <v>783</v>
      </c>
      <c r="F92" s="34" t="s">
        <v>171</v>
      </c>
      <c r="G92" s="27">
        <f>G93</f>
        <v>29</v>
      </c>
      <c r="H92" s="128"/>
    </row>
    <row r="93" spans="1:9" ht="47.25">
      <c r="A93" s="26" t="s">
        <v>172</v>
      </c>
      <c r="B93" s="17">
        <v>902</v>
      </c>
      <c r="C93" s="21" t="s">
        <v>157</v>
      </c>
      <c r="D93" s="21" t="s">
        <v>179</v>
      </c>
      <c r="E93" s="21" t="s">
        <v>783</v>
      </c>
      <c r="F93" s="34" t="s">
        <v>173</v>
      </c>
      <c r="G93" s="27">
        <v>29</v>
      </c>
      <c r="H93" s="128"/>
      <c r="I93" s="144"/>
    </row>
    <row r="94" spans="1:8" ht="15.75" hidden="1">
      <c r="A94" s="31"/>
      <c r="B94" s="17"/>
      <c r="C94" s="21"/>
      <c r="D94" s="21"/>
      <c r="E94" s="21"/>
      <c r="F94" s="34"/>
      <c r="G94" s="27"/>
      <c r="H94" s="128"/>
    </row>
    <row r="95" spans="1:8" ht="15.75" hidden="1">
      <c r="A95" s="26"/>
      <c r="B95" s="17"/>
      <c r="C95" s="21"/>
      <c r="D95" s="21"/>
      <c r="E95" s="21"/>
      <c r="F95" s="34"/>
      <c r="G95" s="27"/>
      <c r="H95" s="128"/>
    </row>
    <row r="96" spans="1:9" ht="15.75" hidden="1">
      <c r="A96" s="26"/>
      <c r="B96" s="17"/>
      <c r="C96" s="21"/>
      <c r="D96" s="21"/>
      <c r="E96" s="21"/>
      <c r="F96" s="34"/>
      <c r="G96" s="27"/>
      <c r="H96" s="128"/>
      <c r="I96" s="144"/>
    </row>
    <row r="97" spans="1:8" ht="15.75">
      <c r="A97" s="26" t="s">
        <v>160</v>
      </c>
      <c r="B97" s="17">
        <v>902</v>
      </c>
      <c r="C97" s="21" t="s">
        <v>157</v>
      </c>
      <c r="D97" s="21" t="s">
        <v>179</v>
      </c>
      <c r="E97" s="21" t="s">
        <v>161</v>
      </c>
      <c r="F97" s="21"/>
      <c r="G97" s="27">
        <f>G98+G121</f>
        <v>12340.3</v>
      </c>
      <c r="H97" s="195"/>
    </row>
    <row r="98" spans="1:8" ht="31.5">
      <c r="A98" s="26" t="s">
        <v>224</v>
      </c>
      <c r="B98" s="17">
        <v>902</v>
      </c>
      <c r="C98" s="21" t="s">
        <v>157</v>
      </c>
      <c r="D98" s="21" t="s">
        <v>179</v>
      </c>
      <c r="E98" s="21" t="s">
        <v>225</v>
      </c>
      <c r="F98" s="21"/>
      <c r="G98" s="27">
        <f>G104+G107+G113+G116</f>
        <v>3600.8999999999996</v>
      </c>
      <c r="H98" s="195"/>
    </row>
    <row r="99" spans="1:8" ht="47.25" hidden="1">
      <c r="A99" s="26" t="s">
        <v>226</v>
      </c>
      <c r="B99" s="17">
        <v>902</v>
      </c>
      <c r="C99" s="21" t="s">
        <v>157</v>
      </c>
      <c r="D99" s="21" t="s">
        <v>179</v>
      </c>
      <c r="E99" s="21" t="s">
        <v>227</v>
      </c>
      <c r="F99" s="25"/>
      <c r="G99" s="27">
        <f>G100+G102</f>
        <v>0</v>
      </c>
      <c r="H99" s="195"/>
    </row>
    <row r="100" spans="1:8" ht="94.5" hidden="1">
      <c r="A100" s="26" t="s">
        <v>166</v>
      </c>
      <c r="B100" s="17">
        <v>902</v>
      </c>
      <c r="C100" s="21" t="s">
        <v>157</v>
      </c>
      <c r="D100" s="21" t="s">
        <v>179</v>
      </c>
      <c r="E100" s="21" t="s">
        <v>227</v>
      </c>
      <c r="F100" s="21" t="s">
        <v>167</v>
      </c>
      <c r="G100" s="27">
        <f>G101</f>
        <v>0</v>
      </c>
      <c r="H100" s="195"/>
    </row>
    <row r="101" spans="1:8" ht="31.5" hidden="1">
      <c r="A101" s="26" t="s">
        <v>168</v>
      </c>
      <c r="B101" s="17">
        <v>902</v>
      </c>
      <c r="C101" s="21" t="s">
        <v>157</v>
      </c>
      <c r="D101" s="21" t="s">
        <v>179</v>
      </c>
      <c r="E101" s="21" t="s">
        <v>227</v>
      </c>
      <c r="F101" s="21" t="s">
        <v>169</v>
      </c>
      <c r="G101" s="27">
        <v>0</v>
      </c>
      <c r="H101" s="195"/>
    </row>
    <row r="102" spans="1:8" ht="31.5" hidden="1">
      <c r="A102" s="26" t="s">
        <v>170</v>
      </c>
      <c r="B102" s="17">
        <v>902</v>
      </c>
      <c r="C102" s="21" t="s">
        <v>157</v>
      </c>
      <c r="D102" s="21" t="s">
        <v>179</v>
      </c>
      <c r="E102" s="21" t="s">
        <v>227</v>
      </c>
      <c r="F102" s="21" t="s">
        <v>171</v>
      </c>
      <c r="G102" s="27">
        <f>G103</f>
        <v>0</v>
      </c>
      <c r="H102" s="195"/>
    </row>
    <row r="103" spans="1:8" ht="47.25" hidden="1">
      <c r="A103" s="26" t="s">
        <v>172</v>
      </c>
      <c r="B103" s="17">
        <v>902</v>
      </c>
      <c r="C103" s="21" t="s">
        <v>157</v>
      </c>
      <c r="D103" s="21" t="s">
        <v>179</v>
      </c>
      <c r="E103" s="21" t="s">
        <v>227</v>
      </c>
      <c r="F103" s="21" t="s">
        <v>173</v>
      </c>
      <c r="G103" s="27">
        <v>0</v>
      </c>
      <c r="H103" s="195"/>
    </row>
    <row r="104" spans="1:8" ht="47.25">
      <c r="A104" s="33" t="s">
        <v>228</v>
      </c>
      <c r="B104" s="17">
        <v>902</v>
      </c>
      <c r="C104" s="21" t="s">
        <v>157</v>
      </c>
      <c r="D104" s="21" t="s">
        <v>179</v>
      </c>
      <c r="E104" s="21" t="s">
        <v>229</v>
      </c>
      <c r="F104" s="21"/>
      <c r="G104" s="27">
        <f>G105</f>
        <v>701.8</v>
      </c>
      <c r="H104" s="195"/>
    </row>
    <row r="105" spans="1:8" ht="94.5">
      <c r="A105" s="26" t="s">
        <v>166</v>
      </c>
      <c r="B105" s="17">
        <v>902</v>
      </c>
      <c r="C105" s="21" t="s">
        <v>157</v>
      </c>
      <c r="D105" s="21" t="s">
        <v>179</v>
      </c>
      <c r="E105" s="21" t="s">
        <v>229</v>
      </c>
      <c r="F105" s="21" t="s">
        <v>167</v>
      </c>
      <c r="G105" s="27">
        <f>G106</f>
        <v>701.8</v>
      </c>
      <c r="H105" s="195"/>
    </row>
    <row r="106" spans="1:9" ht="31.5">
      <c r="A106" s="26" t="s">
        <v>168</v>
      </c>
      <c r="B106" s="17">
        <v>902</v>
      </c>
      <c r="C106" s="21" t="s">
        <v>157</v>
      </c>
      <c r="D106" s="21" t="s">
        <v>179</v>
      </c>
      <c r="E106" s="21" t="s">
        <v>229</v>
      </c>
      <c r="F106" s="21" t="s">
        <v>169</v>
      </c>
      <c r="G106" s="27">
        <v>701.8</v>
      </c>
      <c r="H106" s="195"/>
      <c r="I106" s="135"/>
    </row>
    <row r="107" spans="1:8" ht="47.25">
      <c r="A107" s="35" t="s">
        <v>230</v>
      </c>
      <c r="B107" s="17">
        <v>902</v>
      </c>
      <c r="C107" s="21" t="s">
        <v>157</v>
      </c>
      <c r="D107" s="21" t="s">
        <v>179</v>
      </c>
      <c r="E107" s="21" t="s">
        <v>231</v>
      </c>
      <c r="F107" s="21"/>
      <c r="G107" s="27">
        <f>G108</f>
        <v>40</v>
      </c>
      <c r="H107" s="195"/>
    </row>
    <row r="108" spans="1:8" ht="31.5">
      <c r="A108" s="26" t="s">
        <v>170</v>
      </c>
      <c r="B108" s="17">
        <v>902</v>
      </c>
      <c r="C108" s="21" t="s">
        <v>157</v>
      </c>
      <c r="D108" s="21" t="s">
        <v>179</v>
      </c>
      <c r="E108" s="21" t="s">
        <v>231</v>
      </c>
      <c r="F108" s="21" t="s">
        <v>171</v>
      </c>
      <c r="G108" s="27">
        <f>G109</f>
        <v>40</v>
      </c>
      <c r="H108" s="195"/>
    </row>
    <row r="109" spans="1:9" ht="47.25">
      <c r="A109" s="26" t="s">
        <v>172</v>
      </c>
      <c r="B109" s="17">
        <v>902</v>
      </c>
      <c r="C109" s="21" t="s">
        <v>157</v>
      </c>
      <c r="D109" s="21" t="s">
        <v>179</v>
      </c>
      <c r="E109" s="21" t="s">
        <v>231</v>
      </c>
      <c r="F109" s="21" t="s">
        <v>173</v>
      </c>
      <c r="G109" s="27">
        <f>36+4</f>
        <v>40</v>
      </c>
      <c r="H109" s="195"/>
      <c r="I109" s="135"/>
    </row>
    <row r="110" spans="1:8" ht="31.5" hidden="1">
      <c r="A110" s="33" t="s">
        <v>232</v>
      </c>
      <c r="B110" s="17">
        <v>902</v>
      </c>
      <c r="C110" s="21" t="s">
        <v>157</v>
      </c>
      <c r="D110" s="21" t="s">
        <v>179</v>
      </c>
      <c r="E110" s="21" t="s">
        <v>231</v>
      </c>
      <c r="F110" s="21"/>
      <c r="G110" s="27">
        <f>G111</f>
        <v>0</v>
      </c>
      <c r="H110" s="195"/>
    </row>
    <row r="111" spans="1:8" ht="31.5" hidden="1">
      <c r="A111" s="26" t="s">
        <v>170</v>
      </c>
      <c r="B111" s="17">
        <v>902</v>
      </c>
      <c r="C111" s="21" t="s">
        <v>157</v>
      </c>
      <c r="D111" s="21" t="s">
        <v>179</v>
      </c>
      <c r="E111" s="21" t="s">
        <v>231</v>
      </c>
      <c r="F111" s="21" t="s">
        <v>171</v>
      </c>
      <c r="G111" s="27">
        <f>G112</f>
        <v>0</v>
      </c>
      <c r="H111" s="195"/>
    </row>
    <row r="112" spans="1:8" ht="47.25" hidden="1">
      <c r="A112" s="26" t="s">
        <v>172</v>
      </c>
      <c r="B112" s="17">
        <v>902</v>
      </c>
      <c r="C112" s="21" t="s">
        <v>157</v>
      </c>
      <c r="D112" s="21" t="s">
        <v>179</v>
      </c>
      <c r="E112" s="21" t="s">
        <v>231</v>
      </c>
      <c r="F112" s="21" t="s">
        <v>173</v>
      </c>
      <c r="G112" s="27"/>
      <c r="H112" s="195"/>
    </row>
    <row r="113" spans="1:8" ht="63">
      <c r="A113" s="33" t="s">
        <v>233</v>
      </c>
      <c r="B113" s="17">
        <v>902</v>
      </c>
      <c r="C113" s="21" t="s">
        <v>157</v>
      </c>
      <c r="D113" s="21" t="s">
        <v>179</v>
      </c>
      <c r="E113" s="21" t="s">
        <v>234</v>
      </c>
      <c r="F113" s="21"/>
      <c r="G113" s="27">
        <f>G114</f>
        <v>1752.9</v>
      </c>
      <c r="H113" s="195"/>
    </row>
    <row r="114" spans="1:8" ht="94.5">
      <c r="A114" s="26" t="s">
        <v>166</v>
      </c>
      <c r="B114" s="17">
        <v>902</v>
      </c>
      <c r="C114" s="21" t="s">
        <v>157</v>
      </c>
      <c r="D114" s="21" t="s">
        <v>179</v>
      </c>
      <c r="E114" s="21" t="s">
        <v>234</v>
      </c>
      <c r="F114" s="21" t="s">
        <v>167</v>
      </c>
      <c r="G114" s="27">
        <f>G115</f>
        <v>1752.9</v>
      </c>
      <c r="H114" s="195"/>
    </row>
    <row r="115" spans="1:8" ht="31.5">
      <c r="A115" s="26" t="s">
        <v>168</v>
      </c>
      <c r="B115" s="17">
        <v>902</v>
      </c>
      <c r="C115" s="21" t="s">
        <v>157</v>
      </c>
      <c r="D115" s="21" t="s">
        <v>179</v>
      </c>
      <c r="E115" s="21" t="s">
        <v>234</v>
      </c>
      <c r="F115" s="21" t="s">
        <v>169</v>
      </c>
      <c r="G115" s="27">
        <v>1752.9</v>
      </c>
      <c r="H115" s="195"/>
    </row>
    <row r="116" spans="1:8" ht="47.25">
      <c r="A116" s="33" t="s">
        <v>235</v>
      </c>
      <c r="B116" s="17">
        <v>902</v>
      </c>
      <c r="C116" s="21" t="s">
        <v>157</v>
      </c>
      <c r="D116" s="21" t="s">
        <v>179</v>
      </c>
      <c r="E116" s="21" t="s">
        <v>236</v>
      </c>
      <c r="F116" s="21"/>
      <c r="G116" s="27">
        <f>G117+G119</f>
        <v>1106.1999999999998</v>
      </c>
      <c r="H116" s="195"/>
    </row>
    <row r="117" spans="1:8" ht="94.5">
      <c r="A117" s="26" t="s">
        <v>166</v>
      </c>
      <c r="B117" s="17">
        <v>902</v>
      </c>
      <c r="C117" s="21" t="s">
        <v>157</v>
      </c>
      <c r="D117" s="21" t="s">
        <v>179</v>
      </c>
      <c r="E117" s="21" t="s">
        <v>236</v>
      </c>
      <c r="F117" s="21" t="s">
        <v>167</v>
      </c>
      <c r="G117" s="27">
        <f>G118</f>
        <v>1073.1</v>
      </c>
      <c r="H117" s="195"/>
    </row>
    <row r="118" spans="1:9" ht="31.5">
      <c r="A118" s="26" t="s">
        <v>168</v>
      </c>
      <c r="B118" s="17">
        <v>902</v>
      </c>
      <c r="C118" s="21" t="s">
        <v>157</v>
      </c>
      <c r="D118" s="21" t="s">
        <v>179</v>
      </c>
      <c r="E118" s="21" t="s">
        <v>236</v>
      </c>
      <c r="F118" s="21" t="s">
        <v>169</v>
      </c>
      <c r="G118" s="27">
        <f>1537-463.9</f>
        <v>1073.1</v>
      </c>
      <c r="H118" s="195"/>
      <c r="I118" s="135"/>
    </row>
    <row r="119" spans="1:8" ht="47.25">
      <c r="A119" s="26" t="s">
        <v>237</v>
      </c>
      <c r="B119" s="17">
        <v>902</v>
      </c>
      <c r="C119" s="21" t="s">
        <v>157</v>
      </c>
      <c r="D119" s="21" t="s">
        <v>179</v>
      </c>
      <c r="E119" s="21" t="s">
        <v>236</v>
      </c>
      <c r="F119" s="21" t="s">
        <v>171</v>
      </c>
      <c r="G119" s="27">
        <f>G120</f>
        <v>33.1</v>
      </c>
      <c r="H119" s="195"/>
    </row>
    <row r="120" spans="1:8" ht="47.25">
      <c r="A120" s="26" t="s">
        <v>172</v>
      </c>
      <c r="B120" s="17">
        <v>902</v>
      </c>
      <c r="C120" s="21" t="s">
        <v>157</v>
      </c>
      <c r="D120" s="21" t="s">
        <v>179</v>
      </c>
      <c r="E120" s="21" t="s">
        <v>236</v>
      </c>
      <c r="F120" s="21" t="s">
        <v>173</v>
      </c>
      <c r="G120" s="27">
        <v>33.1</v>
      </c>
      <c r="H120" s="195"/>
    </row>
    <row r="121" spans="1:8" ht="15.75">
      <c r="A121" s="26" t="s">
        <v>180</v>
      </c>
      <c r="B121" s="17">
        <v>902</v>
      </c>
      <c r="C121" s="21" t="s">
        <v>157</v>
      </c>
      <c r="D121" s="21" t="s">
        <v>179</v>
      </c>
      <c r="E121" s="21" t="s">
        <v>181</v>
      </c>
      <c r="F121" s="21"/>
      <c r="G121" s="27">
        <f>G134+G139+G144</f>
        <v>8739.4</v>
      </c>
      <c r="H121" s="195"/>
    </row>
    <row r="122" spans="1:8" ht="15.75" hidden="1">
      <c r="A122" s="26" t="s">
        <v>238</v>
      </c>
      <c r="B122" s="17">
        <v>902</v>
      </c>
      <c r="C122" s="21" t="s">
        <v>157</v>
      </c>
      <c r="D122" s="21" t="s">
        <v>179</v>
      </c>
      <c r="E122" s="21" t="s">
        <v>239</v>
      </c>
      <c r="F122" s="21"/>
      <c r="G122" s="27">
        <f>G123</f>
        <v>0</v>
      </c>
      <c r="H122" s="195"/>
    </row>
    <row r="123" spans="1:8" ht="33" customHeight="1" hidden="1">
      <c r="A123" s="26" t="s">
        <v>237</v>
      </c>
      <c r="B123" s="17">
        <v>902</v>
      </c>
      <c r="C123" s="21" t="s">
        <v>157</v>
      </c>
      <c r="D123" s="21" t="s">
        <v>179</v>
      </c>
      <c r="E123" s="21" t="s">
        <v>239</v>
      </c>
      <c r="F123" s="21" t="s">
        <v>171</v>
      </c>
      <c r="G123" s="27">
        <f>G124</f>
        <v>0</v>
      </c>
      <c r="H123" s="195"/>
    </row>
    <row r="124" spans="1:8" ht="47.25" hidden="1">
      <c r="A124" s="26" t="s">
        <v>172</v>
      </c>
      <c r="B124" s="17">
        <v>902</v>
      </c>
      <c r="C124" s="21" t="s">
        <v>157</v>
      </c>
      <c r="D124" s="21" t="s">
        <v>179</v>
      </c>
      <c r="E124" s="21" t="s">
        <v>239</v>
      </c>
      <c r="F124" s="21" t="s">
        <v>173</v>
      </c>
      <c r="G124" s="27">
        <v>0</v>
      </c>
      <c r="H124" s="195"/>
    </row>
    <row r="125" spans="1:8" ht="15.75" hidden="1">
      <c r="A125" s="26" t="s">
        <v>240</v>
      </c>
      <c r="B125" s="17">
        <v>902</v>
      </c>
      <c r="C125" s="21" t="s">
        <v>157</v>
      </c>
      <c r="D125" s="21" t="s">
        <v>179</v>
      </c>
      <c r="E125" s="21" t="s">
        <v>241</v>
      </c>
      <c r="F125" s="25"/>
      <c r="G125" s="27">
        <f>G126</f>
        <v>0</v>
      </c>
      <c r="H125" s="195"/>
    </row>
    <row r="126" spans="1:8" ht="47.25" hidden="1">
      <c r="A126" s="26" t="s">
        <v>237</v>
      </c>
      <c r="B126" s="17">
        <v>902</v>
      </c>
      <c r="C126" s="21" t="s">
        <v>157</v>
      </c>
      <c r="D126" s="21" t="s">
        <v>179</v>
      </c>
      <c r="E126" s="21" t="s">
        <v>241</v>
      </c>
      <c r="F126" s="21" t="s">
        <v>171</v>
      </c>
      <c r="G126" s="27">
        <f>G127</f>
        <v>0</v>
      </c>
      <c r="H126" s="195"/>
    </row>
    <row r="127" spans="1:8" ht="47.25" hidden="1">
      <c r="A127" s="26" t="s">
        <v>172</v>
      </c>
      <c r="B127" s="17">
        <v>902</v>
      </c>
      <c r="C127" s="21" t="s">
        <v>157</v>
      </c>
      <c r="D127" s="21" t="s">
        <v>179</v>
      </c>
      <c r="E127" s="21" t="s">
        <v>241</v>
      </c>
      <c r="F127" s="21" t="s">
        <v>173</v>
      </c>
      <c r="G127" s="27">
        <v>0</v>
      </c>
      <c r="H127" s="195"/>
    </row>
    <row r="128" spans="1:8" ht="31.5" hidden="1">
      <c r="A128" s="26" t="s">
        <v>242</v>
      </c>
      <c r="B128" s="17">
        <v>902</v>
      </c>
      <c r="C128" s="21" t="s">
        <v>157</v>
      </c>
      <c r="D128" s="21" t="s">
        <v>179</v>
      </c>
      <c r="E128" s="21" t="s">
        <v>243</v>
      </c>
      <c r="F128" s="21"/>
      <c r="G128" s="27">
        <f>G129</f>
        <v>0</v>
      </c>
      <c r="H128" s="195"/>
    </row>
    <row r="129" spans="1:8" ht="47.25" hidden="1">
      <c r="A129" s="26" t="s">
        <v>237</v>
      </c>
      <c r="B129" s="17">
        <v>902</v>
      </c>
      <c r="C129" s="21" t="s">
        <v>157</v>
      </c>
      <c r="D129" s="21" t="s">
        <v>179</v>
      </c>
      <c r="E129" s="21" t="s">
        <v>243</v>
      </c>
      <c r="F129" s="21" t="s">
        <v>171</v>
      </c>
      <c r="G129" s="27">
        <f>G130</f>
        <v>0</v>
      </c>
      <c r="H129" s="195"/>
    </row>
    <row r="130" spans="1:8" ht="47.25" hidden="1">
      <c r="A130" s="26" t="s">
        <v>172</v>
      </c>
      <c r="B130" s="17">
        <v>902</v>
      </c>
      <c r="C130" s="21" t="s">
        <v>157</v>
      </c>
      <c r="D130" s="21" t="s">
        <v>179</v>
      </c>
      <c r="E130" s="21" t="s">
        <v>243</v>
      </c>
      <c r="F130" s="21" t="s">
        <v>173</v>
      </c>
      <c r="G130" s="27">
        <v>0</v>
      </c>
      <c r="H130" s="195"/>
    </row>
    <row r="131" spans="1:8" ht="15.75" hidden="1">
      <c r="A131" s="26" t="s">
        <v>218</v>
      </c>
      <c r="B131" s="17">
        <v>902</v>
      </c>
      <c r="C131" s="21" t="s">
        <v>157</v>
      </c>
      <c r="D131" s="21" t="s">
        <v>179</v>
      </c>
      <c r="E131" s="21" t="s">
        <v>244</v>
      </c>
      <c r="F131" s="21"/>
      <c r="G131" s="27">
        <f>G132</f>
        <v>0</v>
      </c>
      <c r="H131" s="195"/>
    </row>
    <row r="132" spans="1:8" ht="47.25" hidden="1">
      <c r="A132" s="26" t="s">
        <v>237</v>
      </c>
      <c r="B132" s="17">
        <v>902</v>
      </c>
      <c r="C132" s="21" t="s">
        <v>157</v>
      </c>
      <c r="D132" s="21" t="s">
        <v>179</v>
      </c>
      <c r="E132" s="21" t="s">
        <v>244</v>
      </c>
      <c r="F132" s="21" t="s">
        <v>171</v>
      </c>
      <c r="G132" s="27">
        <f>G133</f>
        <v>0</v>
      </c>
      <c r="H132" s="195"/>
    </row>
    <row r="133" spans="1:8" ht="47.25" hidden="1">
      <c r="A133" s="26" t="s">
        <v>172</v>
      </c>
      <c r="B133" s="17">
        <v>902</v>
      </c>
      <c r="C133" s="21" t="s">
        <v>157</v>
      </c>
      <c r="D133" s="21" t="s">
        <v>179</v>
      </c>
      <c r="E133" s="21" t="s">
        <v>244</v>
      </c>
      <c r="F133" s="21" t="s">
        <v>173</v>
      </c>
      <c r="G133" s="27">
        <v>0</v>
      </c>
      <c r="H133" s="195"/>
    </row>
    <row r="134" spans="1:8" ht="31.5">
      <c r="A134" s="26" t="s">
        <v>245</v>
      </c>
      <c r="B134" s="17">
        <v>902</v>
      </c>
      <c r="C134" s="21" t="s">
        <v>157</v>
      </c>
      <c r="D134" s="21" t="s">
        <v>179</v>
      </c>
      <c r="E134" s="21" t="s">
        <v>246</v>
      </c>
      <c r="F134" s="21"/>
      <c r="G134" s="27">
        <f>G135+G137</f>
        <v>6126.7</v>
      </c>
      <c r="H134" s="195"/>
    </row>
    <row r="135" spans="1:8" ht="94.5">
      <c r="A135" s="26" t="s">
        <v>166</v>
      </c>
      <c r="B135" s="17">
        <v>902</v>
      </c>
      <c r="C135" s="21" t="s">
        <v>157</v>
      </c>
      <c r="D135" s="21" t="s">
        <v>179</v>
      </c>
      <c r="E135" s="21" t="s">
        <v>246</v>
      </c>
      <c r="F135" s="21" t="s">
        <v>167</v>
      </c>
      <c r="G135" s="27">
        <f>G136</f>
        <v>4952</v>
      </c>
      <c r="H135" s="195"/>
    </row>
    <row r="136" spans="1:8" ht="31.5">
      <c r="A136" s="26" t="s">
        <v>247</v>
      </c>
      <c r="B136" s="17">
        <v>902</v>
      </c>
      <c r="C136" s="21" t="s">
        <v>157</v>
      </c>
      <c r="D136" s="21" t="s">
        <v>179</v>
      </c>
      <c r="E136" s="21" t="s">
        <v>246</v>
      </c>
      <c r="F136" s="21" t="s">
        <v>248</v>
      </c>
      <c r="G136" s="28">
        <f>5174.7-222.7</f>
        <v>4952</v>
      </c>
      <c r="H136" s="195"/>
    </row>
    <row r="137" spans="1:8" ht="47.25">
      <c r="A137" s="26" t="s">
        <v>237</v>
      </c>
      <c r="B137" s="17">
        <v>902</v>
      </c>
      <c r="C137" s="21" t="s">
        <v>157</v>
      </c>
      <c r="D137" s="21" t="s">
        <v>179</v>
      </c>
      <c r="E137" s="21" t="s">
        <v>246</v>
      </c>
      <c r="F137" s="21" t="s">
        <v>171</v>
      </c>
      <c r="G137" s="27">
        <f>G138</f>
        <v>1174.7</v>
      </c>
      <c r="H137" s="195"/>
    </row>
    <row r="138" spans="1:9" ht="47.25">
      <c r="A138" s="26" t="s">
        <v>172</v>
      </c>
      <c r="B138" s="17">
        <v>902</v>
      </c>
      <c r="C138" s="21" t="s">
        <v>157</v>
      </c>
      <c r="D138" s="21" t="s">
        <v>179</v>
      </c>
      <c r="E138" s="21" t="s">
        <v>246</v>
      </c>
      <c r="F138" s="21" t="s">
        <v>173</v>
      </c>
      <c r="G138" s="28">
        <f>724.7+450</f>
        <v>1174.7</v>
      </c>
      <c r="H138" s="195"/>
      <c r="I138" s="135"/>
    </row>
    <row r="139" spans="1:8" ht="47.25">
      <c r="A139" s="26" t="s">
        <v>249</v>
      </c>
      <c r="B139" s="17">
        <v>902</v>
      </c>
      <c r="C139" s="21" t="s">
        <v>157</v>
      </c>
      <c r="D139" s="21" t="s">
        <v>179</v>
      </c>
      <c r="E139" s="21" t="s">
        <v>250</v>
      </c>
      <c r="F139" s="21"/>
      <c r="G139" s="27">
        <f>G140+G142</f>
        <v>2520.4</v>
      </c>
      <c r="H139" s="195"/>
    </row>
    <row r="140" spans="1:8" ht="94.5">
      <c r="A140" s="26" t="s">
        <v>166</v>
      </c>
      <c r="B140" s="17">
        <v>902</v>
      </c>
      <c r="C140" s="21" t="s">
        <v>157</v>
      </c>
      <c r="D140" s="21" t="s">
        <v>179</v>
      </c>
      <c r="E140" s="21" t="s">
        <v>250</v>
      </c>
      <c r="F140" s="21" t="s">
        <v>167</v>
      </c>
      <c r="G140" s="27">
        <f>G141</f>
        <v>1895</v>
      </c>
      <c r="H140" s="195"/>
    </row>
    <row r="141" spans="1:9" ht="31.5">
      <c r="A141" s="26" t="s">
        <v>168</v>
      </c>
      <c r="B141" s="17">
        <v>902</v>
      </c>
      <c r="C141" s="21" t="s">
        <v>157</v>
      </c>
      <c r="D141" s="21" t="s">
        <v>179</v>
      </c>
      <c r="E141" s="21" t="s">
        <v>250</v>
      </c>
      <c r="F141" s="21" t="s">
        <v>169</v>
      </c>
      <c r="G141" s="28">
        <f>1952.2-57.2</f>
        <v>1895</v>
      </c>
      <c r="H141" s="195"/>
      <c r="I141" s="135"/>
    </row>
    <row r="142" spans="1:8" ht="47.25">
      <c r="A142" s="26" t="s">
        <v>237</v>
      </c>
      <c r="B142" s="17">
        <v>902</v>
      </c>
      <c r="C142" s="21" t="s">
        <v>157</v>
      </c>
      <c r="D142" s="21" t="s">
        <v>179</v>
      </c>
      <c r="E142" s="21" t="s">
        <v>250</v>
      </c>
      <c r="F142" s="21" t="s">
        <v>171</v>
      </c>
      <c r="G142" s="27">
        <f>G143</f>
        <v>625.4</v>
      </c>
      <c r="H142" s="195"/>
    </row>
    <row r="143" spans="1:8" ht="47.25">
      <c r="A143" s="26" t="s">
        <v>172</v>
      </c>
      <c r="B143" s="17">
        <v>902</v>
      </c>
      <c r="C143" s="21" t="s">
        <v>157</v>
      </c>
      <c r="D143" s="21" t="s">
        <v>179</v>
      </c>
      <c r="E143" s="21" t="s">
        <v>250</v>
      </c>
      <c r="F143" s="21" t="s">
        <v>173</v>
      </c>
      <c r="G143" s="27">
        <f>821.9-196.5</f>
        <v>625.4</v>
      </c>
      <c r="H143" s="195"/>
    </row>
    <row r="144" spans="1:8" ht="15.75">
      <c r="A144" s="47" t="s">
        <v>182</v>
      </c>
      <c r="B144" s="17">
        <v>902</v>
      </c>
      <c r="C144" s="21" t="s">
        <v>157</v>
      </c>
      <c r="D144" s="21" t="s">
        <v>179</v>
      </c>
      <c r="E144" s="21" t="s">
        <v>183</v>
      </c>
      <c r="F144" s="21"/>
      <c r="G144" s="27">
        <f>G145</f>
        <v>92.3</v>
      </c>
      <c r="H144" s="195"/>
    </row>
    <row r="145" spans="1:8" ht="15.75">
      <c r="A145" s="26" t="s">
        <v>174</v>
      </c>
      <c r="B145" s="17">
        <v>902</v>
      </c>
      <c r="C145" s="21" t="s">
        <v>157</v>
      </c>
      <c r="D145" s="21" t="s">
        <v>179</v>
      </c>
      <c r="E145" s="21" t="s">
        <v>183</v>
      </c>
      <c r="F145" s="21" t="s">
        <v>184</v>
      </c>
      <c r="G145" s="27">
        <f>G146</f>
        <v>92.3</v>
      </c>
      <c r="H145" s="195"/>
    </row>
    <row r="146" spans="1:8" ht="15.75">
      <c r="A146" s="26" t="s">
        <v>185</v>
      </c>
      <c r="B146" s="17">
        <v>902</v>
      </c>
      <c r="C146" s="21" t="s">
        <v>157</v>
      </c>
      <c r="D146" s="21" t="s">
        <v>179</v>
      </c>
      <c r="E146" s="21" t="s">
        <v>183</v>
      </c>
      <c r="F146" s="21" t="s">
        <v>186</v>
      </c>
      <c r="G146" s="27">
        <v>92.3</v>
      </c>
      <c r="H146" s="126"/>
    </row>
    <row r="147" spans="1:8" ht="15.75" hidden="1">
      <c r="A147" s="24" t="s">
        <v>251</v>
      </c>
      <c r="B147" s="20">
        <v>902</v>
      </c>
      <c r="C147" s="25" t="s">
        <v>252</v>
      </c>
      <c r="D147" s="25"/>
      <c r="E147" s="25"/>
      <c r="F147" s="25"/>
      <c r="G147" s="22">
        <f>G148+G154</f>
        <v>0</v>
      </c>
      <c r="H147" s="195"/>
    </row>
    <row r="148" spans="1:8" ht="31.5" hidden="1">
      <c r="A148" s="24" t="s">
        <v>253</v>
      </c>
      <c r="B148" s="20">
        <v>902</v>
      </c>
      <c r="C148" s="25" t="s">
        <v>252</v>
      </c>
      <c r="D148" s="25" t="s">
        <v>254</v>
      </c>
      <c r="E148" s="25"/>
      <c r="F148" s="25"/>
      <c r="G148" s="22">
        <f>G149</f>
        <v>0</v>
      </c>
      <c r="H148" s="195"/>
    </row>
    <row r="149" spans="1:8" ht="15.75" hidden="1">
      <c r="A149" s="26" t="s">
        <v>160</v>
      </c>
      <c r="B149" s="17">
        <v>902</v>
      </c>
      <c r="C149" s="21" t="s">
        <v>252</v>
      </c>
      <c r="D149" s="21" t="s">
        <v>254</v>
      </c>
      <c r="E149" s="21" t="s">
        <v>161</v>
      </c>
      <c r="F149" s="21"/>
      <c r="G149" s="27">
        <f>G150</f>
        <v>0</v>
      </c>
      <c r="H149" s="195"/>
    </row>
    <row r="150" spans="1:8" ht="31.5" hidden="1">
      <c r="A150" s="26" t="s">
        <v>224</v>
      </c>
      <c r="B150" s="17">
        <v>902</v>
      </c>
      <c r="C150" s="21" t="s">
        <v>252</v>
      </c>
      <c r="D150" s="21" t="s">
        <v>254</v>
      </c>
      <c r="E150" s="21" t="s">
        <v>225</v>
      </c>
      <c r="F150" s="21"/>
      <c r="G150" s="27">
        <f>G151</f>
        <v>0</v>
      </c>
      <c r="H150" s="195"/>
    </row>
    <row r="151" spans="1:8" ht="47.25" hidden="1">
      <c r="A151" s="26" t="s">
        <v>255</v>
      </c>
      <c r="B151" s="17">
        <v>902</v>
      </c>
      <c r="C151" s="21" t="s">
        <v>252</v>
      </c>
      <c r="D151" s="21" t="s">
        <v>254</v>
      </c>
      <c r="E151" s="21" t="s">
        <v>256</v>
      </c>
      <c r="F151" s="21"/>
      <c r="G151" s="27">
        <f>G152</f>
        <v>0</v>
      </c>
      <c r="H151" s="195"/>
    </row>
    <row r="152" spans="1:8" ht="94.5" hidden="1">
      <c r="A152" s="26" t="s">
        <v>166</v>
      </c>
      <c r="B152" s="17">
        <v>902</v>
      </c>
      <c r="C152" s="21" t="s">
        <v>252</v>
      </c>
      <c r="D152" s="21" t="s">
        <v>254</v>
      </c>
      <c r="E152" s="21" t="s">
        <v>256</v>
      </c>
      <c r="F152" s="21" t="s">
        <v>167</v>
      </c>
      <c r="G152" s="27">
        <f>G153</f>
        <v>0</v>
      </c>
      <c r="H152" s="195"/>
    </row>
    <row r="153" spans="1:8" ht="31.5" hidden="1">
      <c r="A153" s="26" t="s">
        <v>168</v>
      </c>
      <c r="B153" s="17">
        <v>902</v>
      </c>
      <c r="C153" s="21" t="s">
        <v>252</v>
      </c>
      <c r="D153" s="21" t="s">
        <v>254</v>
      </c>
      <c r="E153" s="21" t="s">
        <v>256</v>
      </c>
      <c r="F153" s="21" t="s">
        <v>169</v>
      </c>
      <c r="G153" s="28"/>
      <c r="H153" s="195"/>
    </row>
    <row r="154" spans="1:8" ht="31.5" hidden="1">
      <c r="A154" s="24" t="s">
        <v>257</v>
      </c>
      <c r="B154" s="20">
        <v>902</v>
      </c>
      <c r="C154" s="25" t="s">
        <v>252</v>
      </c>
      <c r="D154" s="25" t="s">
        <v>258</v>
      </c>
      <c r="E154" s="25"/>
      <c r="F154" s="25"/>
      <c r="G154" s="27">
        <f>G155</f>
        <v>0</v>
      </c>
      <c r="H154" s="195"/>
    </row>
    <row r="155" spans="1:8" ht="15.75" hidden="1">
      <c r="A155" s="26" t="s">
        <v>160</v>
      </c>
      <c r="B155" s="17">
        <v>902</v>
      </c>
      <c r="C155" s="21" t="s">
        <v>252</v>
      </c>
      <c r="D155" s="21" t="s">
        <v>258</v>
      </c>
      <c r="E155" s="21" t="s">
        <v>161</v>
      </c>
      <c r="F155" s="21"/>
      <c r="G155" s="27">
        <f>G156</f>
        <v>0</v>
      </c>
      <c r="H155" s="195"/>
    </row>
    <row r="156" spans="1:8" ht="31.5" hidden="1">
      <c r="A156" s="26" t="s">
        <v>259</v>
      </c>
      <c r="B156" s="17">
        <v>902</v>
      </c>
      <c r="C156" s="21" t="s">
        <v>252</v>
      </c>
      <c r="D156" s="21" t="s">
        <v>258</v>
      </c>
      <c r="E156" s="21" t="s">
        <v>260</v>
      </c>
      <c r="F156" s="21"/>
      <c r="G156" s="27">
        <f>G157</f>
        <v>0</v>
      </c>
      <c r="H156" s="195"/>
    </row>
    <row r="157" spans="1:8" ht="47.25" hidden="1">
      <c r="A157" s="26" t="s">
        <v>237</v>
      </c>
      <c r="B157" s="17">
        <v>902</v>
      </c>
      <c r="C157" s="21" t="s">
        <v>252</v>
      </c>
      <c r="D157" s="21" t="s">
        <v>258</v>
      </c>
      <c r="E157" s="21" t="s">
        <v>260</v>
      </c>
      <c r="F157" s="21" t="s">
        <v>171</v>
      </c>
      <c r="G157" s="27">
        <f>G158</f>
        <v>0</v>
      </c>
      <c r="H157" s="195"/>
    </row>
    <row r="158" spans="1:8" ht="47.25" hidden="1">
      <c r="A158" s="26" t="s">
        <v>172</v>
      </c>
      <c r="B158" s="17">
        <v>902</v>
      </c>
      <c r="C158" s="21" t="s">
        <v>252</v>
      </c>
      <c r="D158" s="21" t="s">
        <v>258</v>
      </c>
      <c r="E158" s="21" t="s">
        <v>260</v>
      </c>
      <c r="F158" s="21" t="s">
        <v>173</v>
      </c>
      <c r="G158" s="27">
        <v>0</v>
      </c>
      <c r="H158" s="195"/>
    </row>
    <row r="159" spans="1:8" ht="31.5">
      <c r="A159" s="24" t="s">
        <v>261</v>
      </c>
      <c r="B159" s="20">
        <v>902</v>
      </c>
      <c r="C159" s="25" t="s">
        <v>254</v>
      </c>
      <c r="D159" s="25"/>
      <c r="E159" s="25"/>
      <c r="F159" s="25"/>
      <c r="G159" s="22">
        <f>G160</f>
        <v>7159.400000000001</v>
      </c>
      <c r="H159" s="195"/>
    </row>
    <row r="160" spans="1:8" ht="63">
      <c r="A160" s="24" t="s">
        <v>262</v>
      </c>
      <c r="B160" s="20">
        <v>902</v>
      </c>
      <c r="C160" s="25" t="s">
        <v>254</v>
      </c>
      <c r="D160" s="25" t="s">
        <v>258</v>
      </c>
      <c r="E160" s="21"/>
      <c r="F160" s="21"/>
      <c r="G160" s="22">
        <f>G161</f>
        <v>7159.400000000001</v>
      </c>
      <c r="H160" s="195"/>
    </row>
    <row r="161" spans="1:8" ht="15.75">
      <c r="A161" s="26" t="s">
        <v>160</v>
      </c>
      <c r="B161" s="17">
        <v>902</v>
      </c>
      <c r="C161" s="21" t="s">
        <v>254</v>
      </c>
      <c r="D161" s="21" t="s">
        <v>258</v>
      </c>
      <c r="E161" s="21" t="s">
        <v>161</v>
      </c>
      <c r="F161" s="21"/>
      <c r="G161" s="27">
        <f>G162</f>
        <v>7159.400000000001</v>
      </c>
      <c r="H161" s="195"/>
    </row>
    <row r="162" spans="1:8" ht="15.75">
      <c r="A162" s="26" t="s">
        <v>180</v>
      </c>
      <c r="B162" s="17">
        <v>902</v>
      </c>
      <c r="C162" s="21" t="s">
        <v>254</v>
      </c>
      <c r="D162" s="21" t="s">
        <v>258</v>
      </c>
      <c r="E162" s="21" t="s">
        <v>181</v>
      </c>
      <c r="F162" s="21"/>
      <c r="G162" s="27">
        <f>G163+G169+G174</f>
        <v>7159.400000000001</v>
      </c>
      <c r="H162" s="195"/>
    </row>
    <row r="163" spans="1:8" ht="47.25">
      <c r="A163" s="26" t="s">
        <v>263</v>
      </c>
      <c r="B163" s="17">
        <v>902</v>
      </c>
      <c r="C163" s="21" t="s">
        <v>254</v>
      </c>
      <c r="D163" s="21" t="s">
        <v>258</v>
      </c>
      <c r="E163" s="21" t="s">
        <v>264</v>
      </c>
      <c r="F163" s="21"/>
      <c r="G163" s="27">
        <f>G164</f>
        <v>2064.1</v>
      </c>
      <c r="H163" s="195"/>
    </row>
    <row r="164" spans="1:8" ht="47.25">
      <c r="A164" s="26" t="s">
        <v>237</v>
      </c>
      <c r="B164" s="17">
        <v>902</v>
      </c>
      <c r="C164" s="21" t="s">
        <v>254</v>
      </c>
      <c r="D164" s="21" t="s">
        <v>258</v>
      </c>
      <c r="E164" s="21" t="s">
        <v>264</v>
      </c>
      <c r="F164" s="21" t="s">
        <v>171</v>
      </c>
      <c r="G164" s="27">
        <f>G165</f>
        <v>2064.1</v>
      </c>
      <c r="H164" s="195"/>
    </row>
    <row r="165" spans="1:9" ht="47.25">
      <c r="A165" s="26" t="s">
        <v>172</v>
      </c>
      <c r="B165" s="17">
        <v>902</v>
      </c>
      <c r="C165" s="21" t="s">
        <v>254</v>
      </c>
      <c r="D165" s="21" t="s">
        <v>258</v>
      </c>
      <c r="E165" s="21" t="s">
        <v>264</v>
      </c>
      <c r="F165" s="21" t="s">
        <v>173</v>
      </c>
      <c r="G165" s="177">
        <f>1908.4+354-98.3-100</f>
        <v>2064.1</v>
      </c>
      <c r="H165" s="126" t="s">
        <v>789</v>
      </c>
      <c r="I165" s="145"/>
    </row>
    <row r="166" spans="1:8" ht="15.75" hidden="1">
      <c r="A166" s="26" t="s">
        <v>265</v>
      </c>
      <c r="B166" s="17">
        <v>902</v>
      </c>
      <c r="C166" s="21" t="s">
        <v>254</v>
      </c>
      <c r="D166" s="21" t="s">
        <v>258</v>
      </c>
      <c r="E166" s="21" t="s">
        <v>266</v>
      </c>
      <c r="F166" s="21"/>
      <c r="G166" s="27">
        <f>G167</f>
        <v>0</v>
      </c>
      <c r="H166" s="195"/>
    </row>
    <row r="167" spans="1:8" ht="47.25" hidden="1">
      <c r="A167" s="26" t="s">
        <v>237</v>
      </c>
      <c r="B167" s="17">
        <v>902</v>
      </c>
      <c r="C167" s="21" t="s">
        <v>254</v>
      </c>
      <c r="D167" s="21" t="s">
        <v>258</v>
      </c>
      <c r="E167" s="21" t="s">
        <v>266</v>
      </c>
      <c r="F167" s="21" t="s">
        <v>171</v>
      </c>
      <c r="G167" s="27">
        <f>G168</f>
        <v>0</v>
      </c>
      <c r="H167" s="195"/>
    </row>
    <row r="168" spans="1:8" ht="47.25" hidden="1">
      <c r="A168" s="26" t="s">
        <v>172</v>
      </c>
      <c r="B168" s="17">
        <v>902</v>
      </c>
      <c r="C168" s="21" t="s">
        <v>254</v>
      </c>
      <c r="D168" s="21" t="s">
        <v>258</v>
      </c>
      <c r="E168" s="21" t="s">
        <v>266</v>
      </c>
      <c r="F168" s="21" t="s">
        <v>173</v>
      </c>
      <c r="G168" s="27">
        <v>0</v>
      </c>
      <c r="H168" s="195"/>
    </row>
    <row r="169" spans="1:8" ht="31.5">
      <c r="A169" s="26" t="s">
        <v>267</v>
      </c>
      <c r="B169" s="17">
        <v>902</v>
      </c>
      <c r="C169" s="21" t="s">
        <v>254</v>
      </c>
      <c r="D169" s="21" t="s">
        <v>258</v>
      </c>
      <c r="E169" s="21" t="s">
        <v>268</v>
      </c>
      <c r="F169" s="21"/>
      <c r="G169" s="27">
        <f>G170+G172</f>
        <v>4997</v>
      </c>
      <c r="H169" s="195"/>
    </row>
    <row r="170" spans="1:8" ht="94.5">
      <c r="A170" s="26" t="s">
        <v>166</v>
      </c>
      <c r="B170" s="17">
        <v>902</v>
      </c>
      <c r="C170" s="21" t="s">
        <v>254</v>
      </c>
      <c r="D170" s="21" t="s">
        <v>258</v>
      </c>
      <c r="E170" s="21" t="s">
        <v>268</v>
      </c>
      <c r="F170" s="21" t="s">
        <v>167</v>
      </c>
      <c r="G170" s="27">
        <f>G171</f>
        <v>4692.3</v>
      </c>
      <c r="H170" s="195"/>
    </row>
    <row r="171" spans="1:8" ht="31.5">
      <c r="A171" s="26" t="s">
        <v>247</v>
      </c>
      <c r="B171" s="17">
        <v>902</v>
      </c>
      <c r="C171" s="21" t="s">
        <v>254</v>
      </c>
      <c r="D171" s="21" t="s">
        <v>258</v>
      </c>
      <c r="E171" s="21" t="s">
        <v>268</v>
      </c>
      <c r="F171" s="21" t="s">
        <v>248</v>
      </c>
      <c r="G171" s="28">
        <f>4586.3+106</f>
        <v>4692.3</v>
      </c>
      <c r="H171" s="195"/>
    </row>
    <row r="172" spans="1:8" ht="47.25">
      <c r="A172" s="26" t="s">
        <v>237</v>
      </c>
      <c r="B172" s="17">
        <v>902</v>
      </c>
      <c r="C172" s="21" t="s">
        <v>254</v>
      </c>
      <c r="D172" s="21" t="s">
        <v>258</v>
      </c>
      <c r="E172" s="21" t="s">
        <v>268</v>
      </c>
      <c r="F172" s="21" t="s">
        <v>171</v>
      </c>
      <c r="G172" s="27">
        <f>G173</f>
        <v>304.7</v>
      </c>
      <c r="H172" s="195"/>
    </row>
    <row r="173" spans="1:8" ht="47.25">
      <c r="A173" s="26" t="s">
        <v>172</v>
      </c>
      <c r="B173" s="17">
        <v>902</v>
      </c>
      <c r="C173" s="21" t="s">
        <v>254</v>
      </c>
      <c r="D173" s="21" t="s">
        <v>258</v>
      </c>
      <c r="E173" s="21" t="s">
        <v>268</v>
      </c>
      <c r="F173" s="21" t="s">
        <v>173</v>
      </c>
      <c r="G173" s="174">
        <f>204.7+100</f>
        <v>304.7</v>
      </c>
      <c r="H173" s="175" t="s">
        <v>790</v>
      </c>
    </row>
    <row r="174" spans="1:8" ht="15.75">
      <c r="A174" s="26" t="s">
        <v>269</v>
      </c>
      <c r="B174" s="17">
        <v>902</v>
      </c>
      <c r="C174" s="21" t="s">
        <v>254</v>
      </c>
      <c r="D174" s="21" t="s">
        <v>258</v>
      </c>
      <c r="E174" s="21" t="s">
        <v>270</v>
      </c>
      <c r="F174" s="21"/>
      <c r="G174" s="28">
        <f>G175</f>
        <v>98.3</v>
      </c>
      <c r="H174" s="195"/>
    </row>
    <row r="175" spans="1:8" ht="47.25">
      <c r="A175" s="26" t="s">
        <v>237</v>
      </c>
      <c r="B175" s="17">
        <v>902</v>
      </c>
      <c r="C175" s="21" t="s">
        <v>254</v>
      </c>
      <c r="D175" s="21" t="s">
        <v>258</v>
      </c>
      <c r="E175" s="21" t="s">
        <v>270</v>
      </c>
      <c r="F175" s="21" t="s">
        <v>171</v>
      </c>
      <c r="G175" s="28">
        <f>G176</f>
        <v>98.3</v>
      </c>
      <c r="H175" s="195"/>
    </row>
    <row r="176" spans="1:9" ht="47.25">
      <c r="A176" s="26" t="s">
        <v>172</v>
      </c>
      <c r="B176" s="17">
        <v>902</v>
      </c>
      <c r="C176" s="21" t="s">
        <v>254</v>
      </c>
      <c r="D176" s="21" t="s">
        <v>258</v>
      </c>
      <c r="E176" s="21" t="s">
        <v>270</v>
      </c>
      <c r="F176" s="21" t="s">
        <v>173</v>
      </c>
      <c r="G176" s="28">
        <v>98.3</v>
      </c>
      <c r="H176" s="126"/>
      <c r="I176" s="144"/>
    </row>
    <row r="177" spans="1:8" ht="15.75">
      <c r="A177" s="24" t="s">
        <v>271</v>
      </c>
      <c r="B177" s="20">
        <v>902</v>
      </c>
      <c r="C177" s="25" t="s">
        <v>189</v>
      </c>
      <c r="D177" s="25"/>
      <c r="E177" s="25"/>
      <c r="F177" s="21"/>
      <c r="G177" s="22">
        <f>G184+G178</f>
        <v>1821.3999999999999</v>
      </c>
      <c r="H177" s="195"/>
    </row>
    <row r="178" spans="1:8" ht="15.75">
      <c r="A178" s="24" t="s">
        <v>272</v>
      </c>
      <c r="B178" s="20">
        <v>902</v>
      </c>
      <c r="C178" s="25" t="s">
        <v>189</v>
      </c>
      <c r="D178" s="25" t="s">
        <v>273</v>
      </c>
      <c r="E178" s="25"/>
      <c r="F178" s="21"/>
      <c r="G178" s="22">
        <f>G179</f>
        <v>450</v>
      </c>
      <c r="H178" s="195"/>
    </row>
    <row r="179" spans="1:8" ht="15.75">
      <c r="A179" s="26" t="s">
        <v>160</v>
      </c>
      <c r="B179" s="17">
        <v>902</v>
      </c>
      <c r="C179" s="21" t="s">
        <v>189</v>
      </c>
      <c r="D179" s="21" t="s">
        <v>273</v>
      </c>
      <c r="E179" s="21" t="s">
        <v>161</v>
      </c>
      <c r="F179" s="21"/>
      <c r="G179" s="27">
        <f>G180</f>
        <v>450</v>
      </c>
      <c r="H179" s="195"/>
    </row>
    <row r="180" spans="1:8" ht="31.5">
      <c r="A180" s="26" t="s">
        <v>224</v>
      </c>
      <c r="B180" s="17">
        <v>902</v>
      </c>
      <c r="C180" s="21" t="s">
        <v>189</v>
      </c>
      <c r="D180" s="21" t="s">
        <v>273</v>
      </c>
      <c r="E180" s="21" t="s">
        <v>225</v>
      </c>
      <c r="F180" s="21"/>
      <c r="G180" s="27">
        <f>G181</f>
        <v>450</v>
      </c>
      <c r="H180" s="195"/>
    </row>
    <row r="181" spans="1:8" ht="31.5">
      <c r="A181" s="26" t="s">
        <v>274</v>
      </c>
      <c r="B181" s="17">
        <v>902</v>
      </c>
      <c r="C181" s="21" t="s">
        <v>189</v>
      </c>
      <c r="D181" s="21" t="s">
        <v>273</v>
      </c>
      <c r="E181" s="21" t="s">
        <v>275</v>
      </c>
      <c r="F181" s="21"/>
      <c r="G181" s="27">
        <f>G182</f>
        <v>450</v>
      </c>
      <c r="H181" s="195"/>
    </row>
    <row r="182" spans="1:8" ht="15.75">
      <c r="A182" s="26" t="s">
        <v>174</v>
      </c>
      <c r="B182" s="17">
        <v>902</v>
      </c>
      <c r="C182" s="21" t="s">
        <v>189</v>
      </c>
      <c r="D182" s="21" t="s">
        <v>273</v>
      </c>
      <c r="E182" s="21" t="s">
        <v>275</v>
      </c>
      <c r="F182" s="21" t="s">
        <v>184</v>
      </c>
      <c r="G182" s="27">
        <f>G183</f>
        <v>450</v>
      </c>
      <c r="H182" s="195"/>
    </row>
    <row r="183" spans="1:9" ht="63">
      <c r="A183" s="26" t="s">
        <v>223</v>
      </c>
      <c r="B183" s="17">
        <v>902</v>
      </c>
      <c r="C183" s="21" t="s">
        <v>189</v>
      </c>
      <c r="D183" s="21" t="s">
        <v>273</v>
      </c>
      <c r="E183" s="21" t="s">
        <v>275</v>
      </c>
      <c r="F183" s="21" t="s">
        <v>199</v>
      </c>
      <c r="G183" s="176">
        <f>310+140</f>
        <v>450</v>
      </c>
      <c r="H183" s="175" t="s">
        <v>788</v>
      </c>
      <c r="I183" s="135"/>
    </row>
    <row r="184" spans="1:8" ht="31.5">
      <c r="A184" s="24" t="s">
        <v>276</v>
      </c>
      <c r="B184" s="20">
        <v>902</v>
      </c>
      <c r="C184" s="25" t="s">
        <v>189</v>
      </c>
      <c r="D184" s="25" t="s">
        <v>277</v>
      </c>
      <c r="E184" s="25"/>
      <c r="F184" s="25"/>
      <c r="G184" s="22">
        <f>G185</f>
        <v>1371.3999999999999</v>
      </c>
      <c r="H184" s="195"/>
    </row>
    <row r="185" spans="1:8" ht="15.75">
      <c r="A185" s="26" t="s">
        <v>160</v>
      </c>
      <c r="B185" s="17">
        <v>902</v>
      </c>
      <c r="C185" s="21" t="s">
        <v>189</v>
      </c>
      <c r="D185" s="21" t="s">
        <v>277</v>
      </c>
      <c r="E185" s="21" t="s">
        <v>161</v>
      </c>
      <c r="F185" s="25"/>
      <c r="G185" s="27">
        <f>G186</f>
        <v>1371.3999999999999</v>
      </c>
      <c r="H185" s="195"/>
    </row>
    <row r="186" spans="1:8" ht="31.5">
      <c r="A186" s="26" t="s">
        <v>224</v>
      </c>
      <c r="B186" s="17">
        <v>902</v>
      </c>
      <c r="C186" s="21" t="s">
        <v>189</v>
      </c>
      <c r="D186" s="21" t="s">
        <v>277</v>
      </c>
      <c r="E186" s="21" t="s">
        <v>225</v>
      </c>
      <c r="F186" s="25"/>
      <c r="G186" s="27">
        <f>G190+G187</f>
        <v>1371.3999999999999</v>
      </c>
      <c r="H186" s="195"/>
    </row>
    <row r="187" spans="1:8" ht="31.5">
      <c r="A187" s="26" t="s">
        <v>278</v>
      </c>
      <c r="B187" s="17">
        <v>902</v>
      </c>
      <c r="C187" s="21" t="s">
        <v>189</v>
      </c>
      <c r="D187" s="21" t="s">
        <v>277</v>
      </c>
      <c r="E187" s="21" t="s">
        <v>279</v>
      </c>
      <c r="F187" s="25"/>
      <c r="G187" s="27">
        <f>G188</f>
        <v>90</v>
      </c>
      <c r="H187" s="195"/>
    </row>
    <row r="188" spans="1:8" ht="15.75">
      <c r="A188" s="26" t="s">
        <v>174</v>
      </c>
      <c r="B188" s="17">
        <v>902</v>
      </c>
      <c r="C188" s="21" t="s">
        <v>189</v>
      </c>
      <c r="D188" s="21" t="s">
        <v>277</v>
      </c>
      <c r="E188" s="21" t="s">
        <v>279</v>
      </c>
      <c r="F188" s="21" t="s">
        <v>184</v>
      </c>
      <c r="G188" s="27">
        <f>G189</f>
        <v>90</v>
      </c>
      <c r="H188" s="195"/>
    </row>
    <row r="189" spans="1:8" ht="63">
      <c r="A189" s="26" t="s">
        <v>223</v>
      </c>
      <c r="B189" s="17">
        <v>902</v>
      </c>
      <c r="C189" s="21" t="s">
        <v>189</v>
      </c>
      <c r="D189" s="21" t="s">
        <v>277</v>
      </c>
      <c r="E189" s="21" t="s">
        <v>279</v>
      </c>
      <c r="F189" s="21" t="s">
        <v>199</v>
      </c>
      <c r="G189" s="180">
        <v>90</v>
      </c>
      <c r="H189" s="175" t="s">
        <v>797</v>
      </c>
    </row>
    <row r="190" spans="1:8" ht="63">
      <c r="A190" s="33" t="s">
        <v>280</v>
      </c>
      <c r="B190" s="17">
        <v>902</v>
      </c>
      <c r="C190" s="21" t="s">
        <v>189</v>
      </c>
      <c r="D190" s="21" t="s">
        <v>277</v>
      </c>
      <c r="E190" s="21" t="s">
        <v>281</v>
      </c>
      <c r="F190" s="21"/>
      <c r="G190" s="27">
        <f>G191+G193</f>
        <v>1281.3999999999999</v>
      </c>
      <c r="H190" s="195"/>
    </row>
    <row r="191" spans="1:8" ht="94.5">
      <c r="A191" s="26" t="s">
        <v>166</v>
      </c>
      <c r="B191" s="17">
        <v>902</v>
      </c>
      <c r="C191" s="21" t="s">
        <v>189</v>
      </c>
      <c r="D191" s="21" t="s">
        <v>277</v>
      </c>
      <c r="E191" s="21" t="s">
        <v>281</v>
      </c>
      <c r="F191" s="21" t="s">
        <v>167</v>
      </c>
      <c r="G191" s="27">
        <f>G192</f>
        <v>1116.3999999999999</v>
      </c>
      <c r="H191" s="195"/>
    </row>
    <row r="192" spans="1:9" ht="31.5">
      <c r="A192" s="26" t="s">
        <v>168</v>
      </c>
      <c r="B192" s="17">
        <v>902</v>
      </c>
      <c r="C192" s="21" t="s">
        <v>189</v>
      </c>
      <c r="D192" s="21" t="s">
        <v>277</v>
      </c>
      <c r="E192" s="21" t="s">
        <v>281</v>
      </c>
      <c r="F192" s="21" t="s">
        <v>169</v>
      </c>
      <c r="G192" s="27">
        <f>1302-123.4-62.2</f>
        <v>1116.3999999999999</v>
      </c>
      <c r="H192" s="195"/>
      <c r="I192" s="135"/>
    </row>
    <row r="193" spans="1:8" ht="31.5">
      <c r="A193" s="26" t="s">
        <v>170</v>
      </c>
      <c r="B193" s="17">
        <v>902</v>
      </c>
      <c r="C193" s="21" t="s">
        <v>189</v>
      </c>
      <c r="D193" s="21" t="s">
        <v>277</v>
      </c>
      <c r="E193" s="21" t="s">
        <v>281</v>
      </c>
      <c r="F193" s="21" t="s">
        <v>171</v>
      </c>
      <c r="G193" s="27">
        <f>G194</f>
        <v>165</v>
      </c>
      <c r="H193" s="195"/>
    </row>
    <row r="194" spans="1:8" ht="47.25">
      <c r="A194" s="26" t="s">
        <v>172</v>
      </c>
      <c r="B194" s="17">
        <v>902</v>
      </c>
      <c r="C194" s="21" t="s">
        <v>189</v>
      </c>
      <c r="D194" s="21" t="s">
        <v>277</v>
      </c>
      <c r="E194" s="21" t="s">
        <v>281</v>
      </c>
      <c r="F194" s="21" t="s">
        <v>173</v>
      </c>
      <c r="G194" s="27">
        <f>102.8+62.2</f>
        <v>165</v>
      </c>
      <c r="H194" s="195"/>
    </row>
    <row r="195" spans="1:8" ht="16.5" customHeight="1">
      <c r="A195" s="24" t="s">
        <v>282</v>
      </c>
      <c r="B195" s="20">
        <v>902</v>
      </c>
      <c r="C195" s="25" t="s">
        <v>283</v>
      </c>
      <c r="D195" s="25"/>
      <c r="E195" s="25"/>
      <c r="F195" s="25"/>
      <c r="G195" s="22">
        <f>G196+G202+G212</f>
        <v>12224.9</v>
      </c>
      <c r="H195" s="195"/>
    </row>
    <row r="196" spans="1:8" ht="15.75">
      <c r="A196" s="24" t="s">
        <v>284</v>
      </c>
      <c r="B196" s="20">
        <v>902</v>
      </c>
      <c r="C196" s="25" t="s">
        <v>283</v>
      </c>
      <c r="D196" s="25" t="s">
        <v>157</v>
      </c>
      <c r="E196" s="25"/>
      <c r="F196" s="25"/>
      <c r="G196" s="22">
        <f>G197</f>
        <v>9066.4</v>
      </c>
      <c r="H196" s="195"/>
    </row>
    <row r="197" spans="1:8" ht="15.75">
      <c r="A197" s="26" t="s">
        <v>160</v>
      </c>
      <c r="B197" s="17">
        <v>902</v>
      </c>
      <c r="C197" s="21" t="s">
        <v>283</v>
      </c>
      <c r="D197" s="21" t="s">
        <v>157</v>
      </c>
      <c r="E197" s="21" t="s">
        <v>161</v>
      </c>
      <c r="F197" s="21"/>
      <c r="G197" s="27">
        <f>G198</f>
        <v>9066.4</v>
      </c>
      <c r="H197" s="195"/>
    </row>
    <row r="198" spans="1:8" ht="15.75">
      <c r="A198" s="26" t="s">
        <v>180</v>
      </c>
      <c r="B198" s="17">
        <v>902</v>
      </c>
      <c r="C198" s="21" t="s">
        <v>283</v>
      </c>
      <c r="D198" s="21" t="s">
        <v>157</v>
      </c>
      <c r="E198" s="21" t="s">
        <v>181</v>
      </c>
      <c r="F198" s="21"/>
      <c r="G198" s="27">
        <f>G199</f>
        <v>9066.4</v>
      </c>
      <c r="H198" s="195"/>
    </row>
    <row r="199" spans="1:8" ht="15.75">
      <c r="A199" s="26" t="s">
        <v>285</v>
      </c>
      <c r="B199" s="17">
        <v>902</v>
      </c>
      <c r="C199" s="21" t="s">
        <v>283</v>
      </c>
      <c r="D199" s="21" t="s">
        <v>157</v>
      </c>
      <c r="E199" s="21" t="s">
        <v>286</v>
      </c>
      <c r="F199" s="21"/>
      <c r="G199" s="27">
        <f>G200</f>
        <v>9066.4</v>
      </c>
      <c r="H199" s="195"/>
    </row>
    <row r="200" spans="1:8" ht="31.5">
      <c r="A200" s="26" t="s">
        <v>287</v>
      </c>
      <c r="B200" s="17">
        <v>902</v>
      </c>
      <c r="C200" s="21" t="s">
        <v>283</v>
      </c>
      <c r="D200" s="21" t="s">
        <v>157</v>
      </c>
      <c r="E200" s="21" t="s">
        <v>286</v>
      </c>
      <c r="F200" s="21" t="s">
        <v>288</v>
      </c>
      <c r="G200" s="27">
        <f>G201</f>
        <v>9066.4</v>
      </c>
      <c r="H200" s="195"/>
    </row>
    <row r="201" spans="1:8" ht="31.5">
      <c r="A201" s="26" t="s">
        <v>289</v>
      </c>
      <c r="B201" s="17">
        <v>902</v>
      </c>
      <c r="C201" s="21" t="s">
        <v>283</v>
      </c>
      <c r="D201" s="21" t="s">
        <v>157</v>
      </c>
      <c r="E201" s="21" t="s">
        <v>286</v>
      </c>
      <c r="F201" s="21" t="s">
        <v>290</v>
      </c>
      <c r="G201" s="28">
        <v>9066.4</v>
      </c>
      <c r="H201" s="195"/>
    </row>
    <row r="202" spans="1:8" ht="15.75">
      <c r="A202" s="24" t="s">
        <v>291</v>
      </c>
      <c r="B202" s="20">
        <v>902</v>
      </c>
      <c r="C202" s="25" t="s">
        <v>283</v>
      </c>
      <c r="D202" s="25" t="s">
        <v>254</v>
      </c>
      <c r="E202" s="21"/>
      <c r="F202" s="21"/>
      <c r="G202" s="22">
        <f>G203+G207</f>
        <v>10</v>
      </c>
      <c r="H202" s="195"/>
    </row>
    <row r="203" spans="1:8" ht="78.75">
      <c r="A203" s="26" t="s">
        <v>292</v>
      </c>
      <c r="B203" s="17">
        <v>902</v>
      </c>
      <c r="C203" s="21" t="s">
        <v>283</v>
      </c>
      <c r="D203" s="21" t="s">
        <v>254</v>
      </c>
      <c r="E203" s="21" t="s">
        <v>293</v>
      </c>
      <c r="F203" s="21"/>
      <c r="G203" s="27">
        <f>G204</f>
        <v>10</v>
      </c>
      <c r="H203" s="195"/>
    </row>
    <row r="204" spans="1:8" ht="31.5">
      <c r="A204" s="26" t="s">
        <v>196</v>
      </c>
      <c r="B204" s="17">
        <v>902</v>
      </c>
      <c r="C204" s="21" t="s">
        <v>283</v>
      </c>
      <c r="D204" s="21" t="s">
        <v>254</v>
      </c>
      <c r="E204" s="21" t="s">
        <v>294</v>
      </c>
      <c r="F204" s="21"/>
      <c r="G204" s="27">
        <f>G205</f>
        <v>10</v>
      </c>
      <c r="H204" s="195"/>
    </row>
    <row r="205" spans="1:8" ht="31.5">
      <c r="A205" s="26" t="s">
        <v>287</v>
      </c>
      <c r="B205" s="17">
        <v>902</v>
      </c>
      <c r="C205" s="21" t="s">
        <v>283</v>
      </c>
      <c r="D205" s="21" t="s">
        <v>254</v>
      </c>
      <c r="E205" s="21" t="s">
        <v>294</v>
      </c>
      <c r="F205" s="21" t="s">
        <v>288</v>
      </c>
      <c r="G205" s="27">
        <f>G206</f>
        <v>10</v>
      </c>
      <c r="H205" s="195"/>
    </row>
    <row r="206" spans="1:8" ht="31.5">
      <c r="A206" s="26" t="s">
        <v>289</v>
      </c>
      <c r="B206" s="17">
        <v>902</v>
      </c>
      <c r="C206" s="21" t="s">
        <v>283</v>
      </c>
      <c r="D206" s="21" t="s">
        <v>254</v>
      </c>
      <c r="E206" s="21" t="s">
        <v>294</v>
      </c>
      <c r="F206" s="21" t="s">
        <v>290</v>
      </c>
      <c r="G206" s="27">
        <v>10</v>
      </c>
      <c r="H206" s="195"/>
    </row>
    <row r="207" spans="1:8" ht="15.75" hidden="1">
      <c r="A207" s="26" t="s">
        <v>160</v>
      </c>
      <c r="B207" s="17">
        <v>902</v>
      </c>
      <c r="C207" s="21" t="s">
        <v>283</v>
      </c>
      <c r="D207" s="21" t="s">
        <v>254</v>
      </c>
      <c r="E207" s="21" t="s">
        <v>161</v>
      </c>
      <c r="F207" s="21"/>
      <c r="G207" s="27">
        <f>G208</f>
        <v>0</v>
      </c>
      <c r="H207" s="195"/>
    </row>
    <row r="208" spans="1:8" ht="31.5" hidden="1">
      <c r="A208" s="26" t="s">
        <v>224</v>
      </c>
      <c r="B208" s="17">
        <v>902</v>
      </c>
      <c r="C208" s="21" t="s">
        <v>283</v>
      </c>
      <c r="D208" s="21" t="s">
        <v>254</v>
      </c>
      <c r="E208" s="21" t="s">
        <v>225</v>
      </c>
      <c r="F208" s="21"/>
      <c r="G208" s="27">
        <f>G209</f>
        <v>0</v>
      </c>
      <c r="H208" s="195"/>
    </row>
    <row r="209" spans="1:8" ht="47.25" hidden="1">
      <c r="A209" s="33" t="s">
        <v>295</v>
      </c>
      <c r="B209" s="17">
        <v>902</v>
      </c>
      <c r="C209" s="21" t="s">
        <v>283</v>
      </c>
      <c r="D209" s="21" t="s">
        <v>254</v>
      </c>
      <c r="E209" s="21" t="s">
        <v>296</v>
      </c>
      <c r="F209" s="21"/>
      <c r="G209" s="27">
        <f>G210</f>
        <v>0</v>
      </c>
      <c r="H209" s="195"/>
    </row>
    <row r="210" spans="1:8" ht="31.5" hidden="1">
      <c r="A210" s="26" t="s">
        <v>287</v>
      </c>
      <c r="B210" s="17">
        <v>902</v>
      </c>
      <c r="C210" s="21" t="s">
        <v>283</v>
      </c>
      <c r="D210" s="21" t="s">
        <v>254</v>
      </c>
      <c r="E210" s="21" t="s">
        <v>296</v>
      </c>
      <c r="F210" s="21" t="s">
        <v>288</v>
      </c>
      <c r="G210" s="27">
        <f>G211</f>
        <v>0</v>
      </c>
      <c r="H210" s="195"/>
    </row>
    <row r="211" spans="1:9" ht="31.5" hidden="1">
      <c r="A211" s="26" t="s">
        <v>289</v>
      </c>
      <c r="B211" s="17">
        <v>902</v>
      </c>
      <c r="C211" s="21" t="s">
        <v>283</v>
      </c>
      <c r="D211" s="21" t="s">
        <v>254</v>
      </c>
      <c r="E211" s="21" t="s">
        <v>296</v>
      </c>
      <c r="F211" s="21" t="s">
        <v>290</v>
      </c>
      <c r="G211" s="27">
        <f>6250-6250</f>
        <v>0</v>
      </c>
      <c r="H211" s="126"/>
      <c r="I211" s="135"/>
    </row>
    <row r="212" spans="1:8" ht="31.5">
      <c r="A212" s="24" t="s">
        <v>297</v>
      </c>
      <c r="B212" s="20">
        <v>902</v>
      </c>
      <c r="C212" s="25" t="s">
        <v>283</v>
      </c>
      <c r="D212" s="25" t="s">
        <v>159</v>
      </c>
      <c r="E212" s="25"/>
      <c r="F212" s="25"/>
      <c r="G212" s="22">
        <f>G213</f>
        <v>3148.5000000000005</v>
      </c>
      <c r="H212" s="195"/>
    </row>
    <row r="213" spans="1:8" ht="15.75">
      <c r="A213" s="26" t="s">
        <v>160</v>
      </c>
      <c r="B213" s="17">
        <v>902</v>
      </c>
      <c r="C213" s="21" t="s">
        <v>283</v>
      </c>
      <c r="D213" s="21" t="s">
        <v>159</v>
      </c>
      <c r="E213" s="21" t="s">
        <v>161</v>
      </c>
      <c r="F213" s="25"/>
      <c r="G213" s="27">
        <f>G214</f>
        <v>3148.5000000000005</v>
      </c>
      <c r="H213" s="195"/>
    </row>
    <row r="214" spans="1:8" ht="31.5">
      <c r="A214" s="26" t="s">
        <v>224</v>
      </c>
      <c r="B214" s="17">
        <v>902</v>
      </c>
      <c r="C214" s="21" t="s">
        <v>283</v>
      </c>
      <c r="D214" s="21" t="s">
        <v>159</v>
      </c>
      <c r="E214" s="21" t="s">
        <v>225</v>
      </c>
      <c r="F214" s="21"/>
      <c r="G214" s="27">
        <f>G215</f>
        <v>3148.5000000000005</v>
      </c>
      <c r="H214" s="195"/>
    </row>
    <row r="215" spans="1:8" ht="47.25">
      <c r="A215" s="33" t="s">
        <v>298</v>
      </c>
      <c r="B215" s="17">
        <v>902</v>
      </c>
      <c r="C215" s="21" t="s">
        <v>283</v>
      </c>
      <c r="D215" s="21" t="s">
        <v>159</v>
      </c>
      <c r="E215" s="21" t="s">
        <v>299</v>
      </c>
      <c r="F215" s="21"/>
      <c r="G215" s="27">
        <f>G216+G218</f>
        <v>3148.5000000000005</v>
      </c>
      <c r="H215" s="195"/>
    </row>
    <row r="216" spans="1:8" ht="94.5">
      <c r="A216" s="26" t="s">
        <v>166</v>
      </c>
      <c r="B216" s="17">
        <v>902</v>
      </c>
      <c r="C216" s="21" t="s">
        <v>283</v>
      </c>
      <c r="D216" s="21" t="s">
        <v>159</v>
      </c>
      <c r="E216" s="21" t="s">
        <v>299</v>
      </c>
      <c r="F216" s="21" t="s">
        <v>167</v>
      </c>
      <c r="G216" s="27">
        <f>G217</f>
        <v>2884.1000000000004</v>
      </c>
      <c r="H216" s="195"/>
    </row>
    <row r="217" spans="1:8" ht="31.5">
      <c r="A217" s="26" t="s">
        <v>168</v>
      </c>
      <c r="B217" s="17">
        <v>902</v>
      </c>
      <c r="C217" s="21" t="s">
        <v>283</v>
      </c>
      <c r="D217" s="21" t="s">
        <v>159</v>
      </c>
      <c r="E217" s="21" t="s">
        <v>299</v>
      </c>
      <c r="F217" s="21" t="s">
        <v>169</v>
      </c>
      <c r="G217" s="28">
        <f>2826.8+14.8+42.5</f>
        <v>2884.1000000000004</v>
      </c>
      <c r="H217" s="126"/>
    </row>
    <row r="218" spans="1:8" ht="31.5">
      <c r="A218" s="26" t="s">
        <v>170</v>
      </c>
      <c r="B218" s="17">
        <v>902</v>
      </c>
      <c r="C218" s="21" t="s">
        <v>283</v>
      </c>
      <c r="D218" s="21" t="s">
        <v>159</v>
      </c>
      <c r="E218" s="21" t="s">
        <v>299</v>
      </c>
      <c r="F218" s="21" t="s">
        <v>171</v>
      </c>
      <c r="G218" s="27">
        <f>G219</f>
        <v>264.4</v>
      </c>
      <c r="H218" s="195"/>
    </row>
    <row r="219" spans="1:9" ht="47.25">
      <c r="A219" s="26" t="s">
        <v>172</v>
      </c>
      <c r="B219" s="17">
        <v>902</v>
      </c>
      <c r="C219" s="21" t="s">
        <v>283</v>
      </c>
      <c r="D219" s="21" t="s">
        <v>159</v>
      </c>
      <c r="E219" s="21" t="s">
        <v>299</v>
      </c>
      <c r="F219" s="21" t="s">
        <v>173</v>
      </c>
      <c r="G219" s="28">
        <f>433.9-112.2-14.8-42.5</f>
        <v>264.4</v>
      </c>
      <c r="H219" s="126"/>
      <c r="I219" s="135"/>
    </row>
    <row r="220" spans="1:12" ht="47.25">
      <c r="A220" s="20" t="s">
        <v>300</v>
      </c>
      <c r="B220" s="20">
        <v>903</v>
      </c>
      <c r="C220" s="21"/>
      <c r="D220" s="21"/>
      <c r="E220" s="21"/>
      <c r="F220" s="21"/>
      <c r="G220" s="22">
        <f>G235+G277+G388+G221+G228</f>
        <v>83896.2</v>
      </c>
      <c r="H220" s="195"/>
      <c r="L220" s="136"/>
    </row>
    <row r="221" spans="1:8" ht="15.75" hidden="1">
      <c r="A221" s="24" t="s">
        <v>156</v>
      </c>
      <c r="B221" s="20">
        <v>903</v>
      </c>
      <c r="C221" s="25" t="s">
        <v>157</v>
      </c>
      <c r="D221" s="25"/>
      <c r="E221" s="25"/>
      <c r="F221" s="25"/>
      <c r="G221" s="22">
        <f aca="true" t="shared" si="0" ref="G221:G226">G222</f>
        <v>0</v>
      </c>
      <c r="H221" s="195"/>
    </row>
    <row r="222" spans="1:8" ht="15.75" hidden="1">
      <c r="A222" s="36" t="s">
        <v>178</v>
      </c>
      <c r="B222" s="20">
        <v>903</v>
      </c>
      <c r="C222" s="25" t="s">
        <v>157</v>
      </c>
      <c r="D222" s="25" t="s">
        <v>179</v>
      </c>
      <c r="E222" s="25"/>
      <c r="F222" s="25"/>
      <c r="G222" s="22">
        <f t="shared" si="0"/>
        <v>0</v>
      </c>
      <c r="H222" s="195"/>
    </row>
    <row r="223" spans="1:8" ht="15.75" hidden="1">
      <c r="A223" s="33" t="s">
        <v>160</v>
      </c>
      <c r="B223" s="17">
        <v>903</v>
      </c>
      <c r="C223" s="21" t="s">
        <v>157</v>
      </c>
      <c r="D223" s="21" t="s">
        <v>179</v>
      </c>
      <c r="E223" s="21" t="s">
        <v>161</v>
      </c>
      <c r="F223" s="21"/>
      <c r="G223" s="27">
        <f t="shared" si="0"/>
        <v>0</v>
      </c>
      <c r="H223" s="195"/>
    </row>
    <row r="224" spans="1:8" ht="15.75" hidden="1">
      <c r="A224" s="33" t="s">
        <v>180</v>
      </c>
      <c r="B224" s="17">
        <v>903</v>
      </c>
      <c r="C224" s="21" t="s">
        <v>157</v>
      </c>
      <c r="D224" s="21" t="s">
        <v>179</v>
      </c>
      <c r="E224" s="21" t="s">
        <v>181</v>
      </c>
      <c r="F224" s="21"/>
      <c r="G224" s="27">
        <f t="shared" si="0"/>
        <v>0</v>
      </c>
      <c r="H224" s="195"/>
    </row>
    <row r="225" spans="1:8" ht="15.75" hidden="1">
      <c r="A225" s="26" t="s">
        <v>218</v>
      </c>
      <c r="B225" s="17">
        <v>903</v>
      </c>
      <c r="C225" s="21" t="s">
        <v>157</v>
      </c>
      <c r="D225" s="21" t="s">
        <v>179</v>
      </c>
      <c r="E225" s="21" t="s">
        <v>301</v>
      </c>
      <c r="F225" s="21"/>
      <c r="G225" s="27">
        <f t="shared" si="0"/>
        <v>0</v>
      </c>
      <c r="H225" s="195"/>
    </row>
    <row r="226" spans="1:8" ht="31.5" hidden="1">
      <c r="A226" s="26" t="s">
        <v>170</v>
      </c>
      <c r="B226" s="17">
        <v>903</v>
      </c>
      <c r="C226" s="21" t="s">
        <v>157</v>
      </c>
      <c r="D226" s="21" t="s">
        <v>179</v>
      </c>
      <c r="E226" s="21" t="s">
        <v>301</v>
      </c>
      <c r="F226" s="21" t="s">
        <v>171</v>
      </c>
      <c r="G226" s="27">
        <f t="shared" si="0"/>
        <v>0</v>
      </c>
      <c r="H226" s="195"/>
    </row>
    <row r="227" spans="1:8" ht="47.25" hidden="1">
      <c r="A227" s="26" t="s">
        <v>172</v>
      </c>
      <c r="B227" s="17">
        <v>903</v>
      </c>
      <c r="C227" s="21" t="s">
        <v>157</v>
      </c>
      <c r="D227" s="21" t="s">
        <v>179</v>
      </c>
      <c r="E227" s="21" t="s">
        <v>301</v>
      </c>
      <c r="F227" s="21" t="s">
        <v>173</v>
      </c>
      <c r="G227" s="27"/>
      <c r="H227" s="195"/>
    </row>
    <row r="228" spans="1:8" ht="15.75">
      <c r="A228" s="24" t="s">
        <v>156</v>
      </c>
      <c r="B228" s="20">
        <v>903</v>
      </c>
      <c r="C228" s="25" t="s">
        <v>157</v>
      </c>
      <c r="D228" s="21"/>
      <c r="E228" s="21"/>
      <c r="F228" s="21"/>
      <c r="G228" s="27">
        <f aca="true" t="shared" si="1" ref="G228:G233">G229</f>
        <v>88.7</v>
      </c>
      <c r="H228" s="195"/>
    </row>
    <row r="229" spans="1:8" ht="15.75">
      <c r="A229" s="24" t="s">
        <v>178</v>
      </c>
      <c r="B229" s="20">
        <v>903</v>
      </c>
      <c r="C229" s="25" t="s">
        <v>157</v>
      </c>
      <c r="D229" s="25" t="s">
        <v>179</v>
      </c>
      <c r="E229" s="21"/>
      <c r="F229" s="21"/>
      <c r="G229" s="27">
        <f t="shared" si="1"/>
        <v>88.7</v>
      </c>
      <c r="H229" s="195"/>
    </row>
    <row r="230" spans="1:8" ht="15.75">
      <c r="A230" s="26" t="s">
        <v>160</v>
      </c>
      <c r="B230" s="17">
        <v>903</v>
      </c>
      <c r="C230" s="21" t="s">
        <v>157</v>
      </c>
      <c r="D230" s="21" t="s">
        <v>179</v>
      </c>
      <c r="E230" s="21" t="s">
        <v>161</v>
      </c>
      <c r="F230" s="21"/>
      <c r="G230" s="27">
        <f t="shared" si="1"/>
        <v>88.7</v>
      </c>
      <c r="H230" s="195"/>
    </row>
    <row r="231" spans="1:8" ht="31.5">
      <c r="A231" s="26" t="s">
        <v>224</v>
      </c>
      <c r="B231" s="17">
        <v>903</v>
      </c>
      <c r="C231" s="21" t="s">
        <v>157</v>
      </c>
      <c r="D231" s="21" t="s">
        <v>179</v>
      </c>
      <c r="E231" s="21" t="s">
        <v>225</v>
      </c>
      <c r="F231" s="21"/>
      <c r="G231" s="27">
        <f t="shared" si="1"/>
        <v>88.7</v>
      </c>
      <c r="H231" s="195"/>
    </row>
    <row r="232" spans="1:8" ht="47.25">
      <c r="A232" s="37" t="s">
        <v>805</v>
      </c>
      <c r="B232" s="17">
        <v>903</v>
      </c>
      <c r="C232" s="21" t="s">
        <v>157</v>
      </c>
      <c r="D232" s="21" t="s">
        <v>179</v>
      </c>
      <c r="E232" s="21" t="s">
        <v>804</v>
      </c>
      <c r="F232" s="25"/>
      <c r="G232" s="27">
        <f t="shared" si="1"/>
        <v>88.7</v>
      </c>
      <c r="H232" s="195"/>
    </row>
    <row r="233" spans="1:8" ht="31.5">
      <c r="A233" s="26" t="s">
        <v>170</v>
      </c>
      <c r="B233" s="17">
        <v>903</v>
      </c>
      <c r="C233" s="21" t="s">
        <v>157</v>
      </c>
      <c r="D233" s="21" t="s">
        <v>179</v>
      </c>
      <c r="E233" s="21" t="s">
        <v>804</v>
      </c>
      <c r="F233" s="21" t="s">
        <v>171</v>
      </c>
      <c r="G233" s="27">
        <f t="shared" si="1"/>
        <v>88.7</v>
      </c>
      <c r="H233" s="195"/>
    </row>
    <row r="234" spans="1:8" ht="53.25" customHeight="1">
      <c r="A234" s="26" t="s">
        <v>172</v>
      </c>
      <c r="B234" s="17">
        <v>903</v>
      </c>
      <c r="C234" s="21" t="s">
        <v>157</v>
      </c>
      <c r="D234" s="21" t="s">
        <v>179</v>
      </c>
      <c r="E234" s="21" t="s">
        <v>804</v>
      </c>
      <c r="F234" s="21" t="s">
        <v>173</v>
      </c>
      <c r="G234" s="180">
        <v>88.7</v>
      </c>
      <c r="H234" s="175" t="s">
        <v>799</v>
      </c>
    </row>
    <row r="235" spans="1:8" ht="15.75">
      <c r="A235" s="24" t="s">
        <v>302</v>
      </c>
      <c r="B235" s="20">
        <v>903</v>
      </c>
      <c r="C235" s="25" t="s">
        <v>303</v>
      </c>
      <c r="D235" s="21"/>
      <c r="E235" s="21"/>
      <c r="F235" s="21"/>
      <c r="G235" s="22">
        <f>G236+G271</f>
        <v>17482.699999999997</v>
      </c>
      <c r="H235" s="195"/>
    </row>
    <row r="236" spans="1:8" ht="15.75">
      <c r="A236" s="24" t="s">
        <v>304</v>
      </c>
      <c r="B236" s="20">
        <v>903</v>
      </c>
      <c r="C236" s="25" t="s">
        <v>303</v>
      </c>
      <c r="D236" s="25" t="s">
        <v>254</v>
      </c>
      <c r="E236" s="25"/>
      <c r="F236" s="25"/>
      <c r="G236" s="22">
        <f>G237+G260</f>
        <v>17482.699999999997</v>
      </c>
      <c r="H236" s="195"/>
    </row>
    <row r="237" spans="1:8" ht="47.25">
      <c r="A237" s="26" t="s">
        <v>305</v>
      </c>
      <c r="B237" s="17">
        <v>903</v>
      </c>
      <c r="C237" s="21" t="s">
        <v>303</v>
      </c>
      <c r="D237" s="21" t="s">
        <v>254</v>
      </c>
      <c r="E237" s="21" t="s">
        <v>306</v>
      </c>
      <c r="F237" s="21"/>
      <c r="G237" s="27">
        <f>G238</f>
        <v>16445.6</v>
      </c>
      <c r="H237" s="195"/>
    </row>
    <row r="238" spans="1:8" ht="63">
      <c r="A238" s="26" t="s">
        <v>307</v>
      </c>
      <c r="B238" s="17">
        <v>903</v>
      </c>
      <c r="C238" s="21" t="s">
        <v>303</v>
      </c>
      <c r="D238" s="21" t="s">
        <v>254</v>
      </c>
      <c r="E238" s="21" t="s">
        <v>308</v>
      </c>
      <c r="F238" s="21"/>
      <c r="G238" s="27">
        <f>G239+G251</f>
        <v>16445.6</v>
      </c>
      <c r="H238" s="195"/>
    </row>
    <row r="239" spans="1:8" ht="47.25">
      <c r="A239" s="26" t="s">
        <v>309</v>
      </c>
      <c r="B239" s="17">
        <v>903</v>
      </c>
      <c r="C239" s="21" t="s">
        <v>303</v>
      </c>
      <c r="D239" s="21" t="s">
        <v>254</v>
      </c>
      <c r="E239" s="21" t="s">
        <v>310</v>
      </c>
      <c r="F239" s="21"/>
      <c r="G239" s="27">
        <f>G240</f>
        <v>16395.6</v>
      </c>
      <c r="H239" s="195"/>
    </row>
    <row r="240" spans="1:8" ht="47.25">
      <c r="A240" s="26" t="s">
        <v>311</v>
      </c>
      <c r="B240" s="17">
        <v>903</v>
      </c>
      <c r="C240" s="21" t="s">
        <v>303</v>
      </c>
      <c r="D240" s="21" t="s">
        <v>254</v>
      </c>
      <c r="E240" s="21" t="s">
        <v>310</v>
      </c>
      <c r="F240" s="21" t="s">
        <v>312</v>
      </c>
      <c r="G240" s="27">
        <f>G241</f>
        <v>16395.6</v>
      </c>
      <c r="H240" s="195"/>
    </row>
    <row r="241" spans="1:9" ht="15.75">
      <c r="A241" s="26" t="s">
        <v>313</v>
      </c>
      <c r="B241" s="17">
        <v>903</v>
      </c>
      <c r="C241" s="21" t="s">
        <v>303</v>
      </c>
      <c r="D241" s="21" t="s">
        <v>254</v>
      </c>
      <c r="E241" s="21" t="s">
        <v>310</v>
      </c>
      <c r="F241" s="21" t="s">
        <v>314</v>
      </c>
      <c r="G241" s="28">
        <f>15572+756.3+67.3</f>
        <v>16395.6</v>
      </c>
      <c r="H241" s="126"/>
      <c r="I241" s="145"/>
    </row>
    <row r="242" spans="1:8" ht="47.25" hidden="1">
      <c r="A242" s="26" t="s">
        <v>315</v>
      </c>
      <c r="B242" s="17">
        <v>903</v>
      </c>
      <c r="C242" s="21" t="s">
        <v>303</v>
      </c>
      <c r="D242" s="21" t="s">
        <v>254</v>
      </c>
      <c r="E242" s="21" t="s">
        <v>316</v>
      </c>
      <c r="F242" s="21"/>
      <c r="G242" s="27">
        <f>G243</f>
        <v>0</v>
      </c>
      <c r="H242" s="195"/>
    </row>
    <row r="243" spans="1:8" ht="47.25" hidden="1">
      <c r="A243" s="26" t="s">
        <v>311</v>
      </c>
      <c r="B243" s="17">
        <v>903</v>
      </c>
      <c r="C243" s="21" t="s">
        <v>303</v>
      </c>
      <c r="D243" s="21" t="s">
        <v>254</v>
      </c>
      <c r="E243" s="21" t="s">
        <v>316</v>
      </c>
      <c r="F243" s="21" t="s">
        <v>312</v>
      </c>
      <c r="G243" s="27">
        <f>G244</f>
        <v>0</v>
      </c>
      <c r="H243" s="195"/>
    </row>
    <row r="244" spans="1:8" ht="15.75" hidden="1">
      <c r="A244" s="26" t="s">
        <v>313</v>
      </c>
      <c r="B244" s="17">
        <v>903</v>
      </c>
      <c r="C244" s="21" t="s">
        <v>303</v>
      </c>
      <c r="D244" s="21" t="s">
        <v>254</v>
      </c>
      <c r="E244" s="21" t="s">
        <v>316</v>
      </c>
      <c r="F244" s="21" t="s">
        <v>314</v>
      </c>
      <c r="G244" s="27">
        <v>0</v>
      </c>
      <c r="H244" s="195"/>
    </row>
    <row r="245" spans="1:8" ht="47.25" hidden="1">
      <c r="A245" s="26" t="s">
        <v>317</v>
      </c>
      <c r="B245" s="17">
        <v>903</v>
      </c>
      <c r="C245" s="21" t="s">
        <v>303</v>
      </c>
      <c r="D245" s="21" t="s">
        <v>254</v>
      </c>
      <c r="E245" s="21" t="s">
        <v>318</v>
      </c>
      <c r="F245" s="21"/>
      <c r="G245" s="27">
        <f>G246</f>
        <v>0</v>
      </c>
      <c r="H245" s="195"/>
    </row>
    <row r="246" spans="1:8" ht="47.25" hidden="1">
      <c r="A246" s="26" t="s">
        <v>311</v>
      </c>
      <c r="B246" s="17">
        <v>903</v>
      </c>
      <c r="C246" s="21" t="s">
        <v>303</v>
      </c>
      <c r="D246" s="21" t="s">
        <v>254</v>
      </c>
      <c r="E246" s="21" t="s">
        <v>318</v>
      </c>
      <c r="F246" s="21" t="s">
        <v>312</v>
      </c>
      <c r="G246" s="27">
        <f>G247</f>
        <v>0</v>
      </c>
      <c r="H246" s="195"/>
    </row>
    <row r="247" spans="1:8" ht="15.75" hidden="1">
      <c r="A247" s="26" t="s">
        <v>313</v>
      </c>
      <c r="B247" s="17">
        <v>903</v>
      </c>
      <c r="C247" s="21" t="s">
        <v>303</v>
      </c>
      <c r="D247" s="21" t="s">
        <v>254</v>
      </c>
      <c r="E247" s="21" t="s">
        <v>318</v>
      </c>
      <c r="F247" s="21" t="s">
        <v>314</v>
      </c>
      <c r="G247" s="27">
        <v>0</v>
      </c>
      <c r="H247" s="195"/>
    </row>
    <row r="248" spans="1:8" ht="31.5" hidden="1">
      <c r="A248" s="26" t="s">
        <v>319</v>
      </c>
      <c r="B248" s="17">
        <v>903</v>
      </c>
      <c r="C248" s="21" t="s">
        <v>303</v>
      </c>
      <c r="D248" s="21" t="s">
        <v>254</v>
      </c>
      <c r="E248" s="21" t="s">
        <v>320</v>
      </c>
      <c r="F248" s="21"/>
      <c r="G248" s="27">
        <f>G249</f>
        <v>0</v>
      </c>
      <c r="H248" s="195"/>
    </row>
    <row r="249" spans="1:8" ht="47.25" hidden="1">
      <c r="A249" s="26" t="s">
        <v>311</v>
      </c>
      <c r="B249" s="17">
        <v>903</v>
      </c>
      <c r="C249" s="21" t="s">
        <v>303</v>
      </c>
      <c r="D249" s="21" t="s">
        <v>254</v>
      </c>
      <c r="E249" s="21" t="s">
        <v>320</v>
      </c>
      <c r="F249" s="21" t="s">
        <v>312</v>
      </c>
      <c r="G249" s="27">
        <f>G250</f>
        <v>0</v>
      </c>
      <c r="H249" s="195"/>
    </row>
    <row r="250" spans="1:8" ht="15.75" hidden="1">
      <c r="A250" s="26" t="s">
        <v>313</v>
      </c>
      <c r="B250" s="17">
        <v>903</v>
      </c>
      <c r="C250" s="21" t="s">
        <v>303</v>
      </c>
      <c r="D250" s="21" t="s">
        <v>254</v>
      </c>
      <c r="E250" s="21" t="s">
        <v>320</v>
      </c>
      <c r="F250" s="21" t="s">
        <v>314</v>
      </c>
      <c r="G250" s="27">
        <v>0</v>
      </c>
      <c r="H250" s="195"/>
    </row>
    <row r="251" spans="1:8" ht="47.25">
      <c r="A251" s="26" t="s">
        <v>321</v>
      </c>
      <c r="B251" s="17">
        <v>903</v>
      </c>
      <c r="C251" s="21" t="s">
        <v>303</v>
      </c>
      <c r="D251" s="21" t="s">
        <v>254</v>
      </c>
      <c r="E251" s="21" t="s">
        <v>322</v>
      </c>
      <c r="F251" s="21"/>
      <c r="G251" s="27">
        <f>G252</f>
        <v>50</v>
      </c>
      <c r="H251" s="195"/>
    </row>
    <row r="252" spans="1:8" ht="47.25">
      <c r="A252" s="26" t="s">
        <v>311</v>
      </c>
      <c r="B252" s="17">
        <v>903</v>
      </c>
      <c r="C252" s="21" t="s">
        <v>303</v>
      </c>
      <c r="D252" s="21" t="s">
        <v>254</v>
      </c>
      <c r="E252" s="21" t="s">
        <v>322</v>
      </c>
      <c r="F252" s="21" t="s">
        <v>312</v>
      </c>
      <c r="G252" s="27">
        <f>G253</f>
        <v>50</v>
      </c>
      <c r="H252" s="195"/>
    </row>
    <row r="253" spans="1:8" ht="15.75">
      <c r="A253" s="26" t="s">
        <v>313</v>
      </c>
      <c r="B253" s="17">
        <v>903</v>
      </c>
      <c r="C253" s="21" t="s">
        <v>303</v>
      </c>
      <c r="D253" s="21" t="s">
        <v>254</v>
      </c>
      <c r="E253" s="21" t="s">
        <v>322</v>
      </c>
      <c r="F253" s="21" t="s">
        <v>314</v>
      </c>
      <c r="G253" s="27">
        <v>50</v>
      </c>
      <c r="H253" s="195"/>
    </row>
    <row r="254" spans="1:8" ht="31.5" hidden="1">
      <c r="A254" s="26" t="s">
        <v>323</v>
      </c>
      <c r="B254" s="17">
        <v>903</v>
      </c>
      <c r="C254" s="21" t="s">
        <v>303</v>
      </c>
      <c r="D254" s="21" t="s">
        <v>254</v>
      </c>
      <c r="E254" s="21" t="s">
        <v>324</v>
      </c>
      <c r="F254" s="21"/>
      <c r="G254" s="27">
        <f>G255</f>
        <v>0</v>
      </c>
      <c r="H254" s="195"/>
    </row>
    <row r="255" spans="1:8" ht="47.25" hidden="1">
      <c r="A255" s="26" t="s">
        <v>311</v>
      </c>
      <c r="B255" s="17">
        <v>903</v>
      </c>
      <c r="C255" s="21" t="s">
        <v>303</v>
      </c>
      <c r="D255" s="21" t="s">
        <v>254</v>
      </c>
      <c r="E255" s="21" t="s">
        <v>325</v>
      </c>
      <c r="F255" s="21" t="s">
        <v>312</v>
      </c>
      <c r="G255" s="27">
        <f>G256</f>
        <v>0</v>
      </c>
      <c r="H255" s="195"/>
    </row>
    <row r="256" spans="1:8" ht="15.75" hidden="1">
      <c r="A256" s="26" t="s">
        <v>313</v>
      </c>
      <c r="B256" s="17">
        <v>903</v>
      </c>
      <c r="C256" s="21" t="s">
        <v>303</v>
      </c>
      <c r="D256" s="21" t="s">
        <v>254</v>
      </c>
      <c r="E256" s="21" t="s">
        <v>325</v>
      </c>
      <c r="F256" s="21" t="s">
        <v>314</v>
      </c>
      <c r="G256" s="27">
        <v>0</v>
      </c>
      <c r="H256" s="195"/>
    </row>
    <row r="257" spans="1:8" ht="47.25" hidden="1">
      <c r="A257" s="37" t="s">
        <v>326</v>
      </c>
      <c r="B257" s="17">
        <v>903</v>
      </c>
      <c r="C257" s="21" t="s">
        <v>303</v>
      </c>
      <c r="D257" s="21" t="s">
        <v>254</v>
      </c>
      <c r="E257" s="21" t="s">
        <v>327</v>
      </c>
      <c r="F257" s="21"/>
      <c r="G257" s="27">
        <f>G258</f>
        <v>0</v>
      </c>
      <c r="H257" s="195"/>
    </row>
    <row r="258" spans="1:8" ht="47.25" hidden="1">
      <c r="A258" s="26" t="s">
        <v>311</v>
      </c>
      <c r="B258" s="17">
        <v>903</v>
      </c>
      <c r="C258" s="21" t="s">
        <v>303</v>
      </c>
      <c r="D258" s="21" t="s">
        <v>254</v>
      </c>
      <c r="E258" s="21" t="s">
        <v>327</v>
      </c>
      <c r="F258" s="21" t="s">
        <v>312</v>
      </c>
      <c r="G258" s="27">
        <f>G259</f>
        <v>0</v>
      </c>
      <c r="H258" s="195"/>
    </row>
    <row r="259" spans="1:8" ht="15.75" hidden="1">
      <c r="A259" s="26" t="s">
        <v>313</v>
      </c>
      <c r="B259" s="17">
        <v>903</v>
      </c>
      <c r="C259" s="21" t="s">
        <v>303</v>
      </c>
      <c r="D259" s="21" t="s">
        <v>254</v>
      </c>
      <c r="E259" s="21" t="s">
        <v>327</v>
      </c>
      <c r="F259" s="21" t="s">
        <v>314</v>
      </c>
      <c r="G259" s="27">
        <v>0</v>
      </c>
      <c r="H259" s="195"/>
    </row>
    <row r="260" spans="1:8" ht="15.75">
      <c r="A260" s="26" t="s">
        <v>160</v>
      </c>
      <c r="B260" s="17">
        <v>903</v>
      </c>
      <c r="C260" s="21" t="s">
        <v>303</v>
      </c>
      <c r="D260" s="21" t="s">
        <v>254</v>
      </c>
      <c r="E260" s="21" t="s">
        <v>161</v>
      </c>
      <c r="F260" s="21"/>
      <c r="G260" s="27">
        <f>G261</f>
        <v>1037.1000000000001</v>
      </c>
      <c r="H260" s="195"/>
    </row>
    <row r="261" spans="1:8" ht="31.5">
      <c r="A261" s="26" t="s">
        <v>224</v>
      </c>
      <c r="B261" s="17">
        <v>903</v>
      </c>
      <c r="C261" s="21" t="s">
        <v>303</v>
      </c>
      <c r="D261" s="21" t="s">
        <v>254</v>
      </c>
      <c r="E261" s="21" t="s">
        <v>225</v>
      </c>
      <c r="F261" s="21"/>
      <c r="G261" s="27">
        <f>G262+G265+G268</f>
        <v>1037.1000000000001</v>
      </c>
      <c r="H261" s="195"/>
    </row>
    <row r="262" spans="1:8" ht="63">
      <c r="A262" s="33" t="s">
        <v>328</v>
      </c>
      <c r="B262" s="17">
        <v>903</v>
      </c>
      <c r="C262" s="21" t="s">
        <v>303</v>
      </c>
      <c r="D262" s="21" t="s">
        <v>254</v>
      </c>
      <c r="E262" s="21" t="s">
        <v>329</v>
      </c>
      <c r="F262" s="21"/>
      <c r="G262" s="27">
        <f>G263</f>
        <v>126.69999999999999</v>
      </c>
      <c r="H262" s="195"/>
    </row>
    <row r="263" spans="1:8" ht="47.25">
      <c r="A263" s="26" t="s">
        <v>311</v>
      </c>
      <c r="B263" s="17">
        <v>903</v>
      </c>
      <c r="C263" s="21" t="s">
        <v>303</v>
      </c>
      <c r="D263" s="21" t="s">
        <v>254</v>
      </c>
      <c r="E263" s="21" t="s">
        <v>329</v>
      </c>
      <c r="F263" s="21" t="s">
        <v>312</v>
      </c>
      <c r="G263" s="27">
        <f>G264</f>
        <v>126.69999999999999</v>
      </c>
      <c r="H263" s="195"/>
    </row>
    <row r="264" spans="1:9" ht="15.75">
      <c r="A264" s="26" t="s">
        <v>313</v>
      </c>
      <c r="B264" s="17">
        <v>903</v>
      </c>
      <c r="C264" s="21" t="s">
        <v>303</v>
      </c>
      <c r="D264" s="21" t="s">
        <v>254</v>
      </c>
      <c r="E264" s="21" t="s">
        <v>329</v>
      </c>
      <c r="F264" s="21" t="s">
        <v>314</v>
      </c>
      <c r="G264" s="27">
        <f>162.6-35.9</f>
        <v>126.69999999999999</v>
      </c>
      <c r="H264" s="195"/>
      <c r="I264" s="135"/>
    </row>
    <row r="265" spans="1:8" ht="78.75">
      <c r="A265" s="33" t="s">
        <v>330</v>
      </c>
      <c r="B265" s="17">
        <v>903</v>
      </c>
      <c r="C265" s="21" t="s">
        <v>303</v>
      </c>
      <c r="D265" s="21" t="s">
        <v>254</v>
      </c>
      <c r="E265" s="21" t="s">
        <v>331</v>
      </c>
      <c r="F265" s="21"/>
      <c r="G265" s="27">
        <f>G266</f>
        <v>310.70000000000005</v>
      </c>
      <c r="H265" s="195"/>
    </row>
    <row r="266" spans="1:8" ht="47.25">
      <c r="A266" s="26" t="s">
        <v>311</v>
      </c>
      <c r="B266" s="17">
        <v>903</v>
      </c>
      <c r="C266" s="21" t="s">
        <v>303</v>
      </c>
      <c r="D266" s="21" t="s">
        <v>254</v>
      </c>
      <c r="E266" s="21" t="s">
        <v>331</v>
      </c>
      <c r="F266" s="21" t="s">
        <v>312</v>
      </c>
      <c r="G266" s="27">
        <f>G267</f>
        <v>310.70000000000005</v>
      </c>
      <c r="H266" s="195"/>
    </row>
    <row r="267" spans="1:9" ht="15.75">
      <c r="A267" s="26" t="s">
        <v>313</v>
      </c>
      <c r="B267" s="17">
        <v>903</v>
      </c>
      <c r="C267" s="21" t="s">
        <v>303</v>
      </c>
      <c r="D267" s="21" t="s">
        <v>254</v>
      </c>
      <c r="E267" s="21" t="s">
        <v>331</v>
      </c>
      <c r="F267" s="21" t="s">
        <v>314</v>
      </c>
      <c r="G267" s="27">
        <f>393.3-82.6</f>
        <v>310.70000000000005</v>
      </c>
      <c r="H267" s="195"/>
      <c r="I267" s="135"/>
    </row>
    <row r="268" spans="1:8" ht="110.25">
      <c r="A268" s="33" t="s">
        <v>332</v>
      </c>
      <c r="B268" s="17">
        <v>903</v>
      </c>
      <c r="C268" s="21" t="s">
        <v>303</v>
      </c>
      <c r="D268" s="21" t="s">
        <v>254</v>
      </c>
      <c r="E268" s="21" t="s">
        <v>333</v>
      </c>
      <c r="F268" s="21"/>
      <c r="G268" s="27">
        <f>G269</f>
        <v>599.7</v>
      </c>
      <c r="H268" s="195"/>
    </row>
    <row r="269" spans="1:8" ht="47.25">
      <c r="A269" s="26" t="s">
        <v>311</v>
      </c>
      <c r="B269" s="17">
        <v>903</v>
      </c>
      <c r="C269" s="21" t="s">
        <v>303</v>
      </c>
      <c r="D269" s="21" t="s">
        <v>254</v>
      </c>
      <c r="E269" s="21" t="s">
        <v>333</v>
      </c>
      <c r="F269" s="21" t="s">
        <v>312</v>
      </c>
      <c r="G269" s="27">
        <f>G270</f>
        <v>599.7</v>
      </c>
      <c r="H269" s="195"/>
    </row>
    <row r="270" spans="1:9" ht="15.75">
      <c r="A270" s="26" t="s">
        <v>313</v>
      </c>
      <c r="B270" s="17">
        <v>903</v>
      </c>
      <c r="C270" s="21" t="s">
        <v>303</v>
      </c>
      <c r="D270" s="21" t="s">
        <v>254</v>
      </c>
      <c r="E270" s="21" t="s">
        <v>333</v>
      </c>
      <c r="F270" s="21" t="s">
        <v>314</v>
      </c>
      <c r="G270" s="27">
        <f>600-0.3</f>
        <v>599.7</v>
      </c>
      <c r="H270" s="195"/>
      <c r="I270" s="135"/>
    </row>
    <row r="271" spans="1:8" ht="15.75" hidden="1">
      <c r="A271" s="24" t="s">
        <v>334</v>
      </c>
      <c r="B271" s="20">
        <v>903</v>
      </c>
      <c r="C271" s="25" t="s">
        <v>303</v>
      </c>
      <c r="D271" s="25" t="s">
        <v>258</v>
      </c>
      <c r="E271" s="25"/>
      <c r="F271" s="25"/>
      <c r="G271" s="27">
        <f>G272</f>
        <v>0</v>
      </c>
      <c r="H271" s="195"/>
    </row>
    <row r="272" spans="1:8" ht="15.75" hidden="1">
      <c r="A272" s="26" t="s">
        <v>160</v>
      </c>
      <c r="B272" s="17">
        <v>903</v>
      </c>
      <c r="C272" s="21" t="s">
        <v>303</v>
      </c>
      <c r="D272" s="21" t="s">
        <v>258</v>
      </c>
      <c r="E272" s="21" t="s">
        <v>161</v>
      </c>
      <c r="F272" s="21"/>
      <c r="G272" s="27">
        <f>G273</f>
        <v>0</v>
      </c>
      <c r="H272" s="195"/>
    </row>
    <row r="273" spans="1:8" ht="31.5" hidden="1">
      <c r="A273" s="26" t="s">
        <v>224</v>
      </c>
      <c r="B273" s="17">
        <v>903</v>
      </c>
      <c r="C273" s="21" t="s">
        <v>303</v>
      </c>
      <c r="D273" s="21" t="s">
        <v>258</v>
      </c>
      <c r="E273" s="21" t="s">
        <v>225</v>
      </c>
      <c r="F273" s="21"/>
      <c r="G273" s="27">
        <f>G274</f>
        <v>0</v>
      </c>
      <c r="H273" s="195"/>
    </row>
    <row r="274" spans="1:8" ht="31.5" hidden="1">
      <c r="A274" s="38" t="s">
        <v>335</v>
      </c>
      <c r="B274" s="39">
        <v>903</v>
      </c>
      <c r="C274" s="21" t="s">
        <v>303</v>
      </c>
      <c r="D274" s="21" t="s">
        <v>258</v>
      </c>
      <c r="E274" s="21" t="s">
        <v>336</v>
      </c>
      <c r="F274" s="21"/>
      <c r="G274" s="27">
        <f>G275</f>
        <v>0</v>
      </c>
      <c r="H274" s="195"/>
    </row>
    <row r="275" spans="1:8" ht="15.75" hidden="1">
      <c r="A275" s="26" t="s">
        <v>174</v>
      </c>
      <c r="B275" s="17">
        <v>903</v>
      </c>
      <c r="C275" s="21" t="s">
        <v>303</v>
      </c>
      <c r="D275" s="21" t="s">
        <v>258</v>
      </c>
      <c r="E275" s="21" t="s">
        <v>336</v>
      </c>
      <c r="F275" s="21" t="s">
        <v>184</v>
      </c>
      <c r="G275" s="27">
        <f>G276</f>
        <v>0</v>
      </c>
      <c r="H275" s="195"/>
    </row>
    <row r="276" spans="1:8" ht="63" hidden="1">
      <c r="A276" s="26" t="s">
        <v>223</v>
      </c>
      <c r="B276" s="17">
        <v>903</v>
      </c>
      <c r="C276" s="21" t="s">
        <v>303</v>
      </c>
      <c r="D276" s="21" t="s">
        <v>258</v>
      </c>
      <c r="E276" s="21" t="s">
        <v>336</v>
      </c>
      <c r="F276" s="21" t="s">
        <v>199</v>
      </c>
      <c r="G276" s="27"/>
      <c r="H276" s="195"/>
    </row>
    <row r="277" spans="1:8" ht="15.75">
      <c r="A277" s="24" t="s">
        <v>337</v>
      </c>
      <c r="B277" s="20">
        <v>903</v>
      </c>
      <c r="C277" s="25" t="s">
        <v>338</v>
      </c>
      <c r="D277" s="25"/>
      <c r="E277" s="25"/>
      <c r="F277" s="25"/>
      <c r="G277" s="22">
        <f>G278+G358</f>
        <v>61699.8</v>
      </c>
      <c r="H277" s="195"/>
    </row>
    <row r="278" spans="1:8" ht="15.75">
      <c r="A278" s="24" t="s">
        <v>339</v>
      </c>
      <c r="B278" s="20">
        <v>903</v>
      </c>
      <c r="C278" s="25" t="s">
        <v>338</v>
      </c>
      <c r="D278" s="25" t="s">
        <v>157</v>
      </c>
      <c r="E278" s="25"/>
      <c r="F278" s="25"/>
      <c r="G278" s="22">
        <f>G279+G337+G333</f>
        <v>44421.00000000001</v>
      </c>
      <c r="H278" s="195"/>
    </row>
    <row r="279" spans="1:8" ht="47.25">
      <c r="A279" s="26" t="s">
        <v>305</v>
      </c>
      <c r="B279" s="17">
        <v>903</v>
      </c>
      <c r="C279" s="21" t="s">
        <v>338</v>
      </c>
      <c r="D279" s="21" t="s">
        <v>157</v>
      </c>
      <c r="E279" s="21" t="s">
        <v>306</v>
      </c>
      <c r="F279" s="21"/>
      <c r="G279" s="27">
        <f>G280+G306</f>
        <v>42083.100000000006</v>
      </c>
      <c r="H279" s="195"/>
    </row>
    <row r="280" spans="1:8" ht="63">
      <c r="A280" s="26" t="s">
        <v>340</v>
      </c>
      <c r="B280" s="17">
        <v>903</v>
      </c>
      <c r="C280" s="21" t="s">
        <v>338</v>
      </c>
      <c r="D280" s="21" t="s">
        <v>157</v>
      </c>
      <c r="E280" s="21" t="s">
        <v>341</v>
      </c>
      <c r="F280" s="21"/>
      <c r="G280" s="27">
        <f>G281+G299+G284+G287+G290+G293+G296</f>
        <v>25422.5</v>
      </c>
      <c r="H280" s="195"/>
    </row>
    <row r="281" spans="1:8" ht="52.5" customHeight="1">
      <c r="A281" s="26" t="s">
        <v>342</v>
      </c>
      <c r="B281" s="17">
        <v>903</v>
      </c>
      <c r="C281" s="21" t="s">
        <v>338</v>
      </c>
      <c r="D281" s="21" t="s">
        <v>157</v>
      </c>
      <c r="E281" s="21" t="s">
        <v>343</v>
      </c>
      <c r="F281" s="21"/>
      <c r="G281" s="27">
        <f>G282</f>
        <v>23654.800000000003</v>
      </c>
      <c r="H281" s="195"/>
    </row>
    <row r="282" spans="1:8" ht="47.25">
      <c r="A282" s="26" t="s">
        <v>311</v>
      </c>
      <c r="B282" s="17">
        <v>903</v>
      </c>
      <c r="C282" s="21" t="s">
        <v>338</v>
      </c>
      <c r="D282" s="21" t="s">
        <v>157</v>
      </c>
      <c r="E282" s="21" t="s">
        <v>343</v>
      </c>
      <c r="F282" s="21" t="s">
        <v>312</v>
      </c>
      <c r="G282" s="27">
        <f>G283</f>
        <v>23654.800000000003</v>
      </c>
      <c r="H282" s="195"/>
    </row>
    <row r="283" spans="1:9" ht="15.75">
      <c r="A283" s="26" t="s">
        <v>313</v>
      </c>
      <c r="B283" s="17">
        <v>903</v>
      </c>
      <c r="C283" s="21" t="s">
        <v>338</v>
      </c>
      <c r="D283" s="21" t="s">
        <v>157</v>
      </c>
      <c r="E283" s="21" t="s">
        <v>343</v>
      </c>
      <c r="F283" s="21" t="s">
        <v>314</v>
      </c>
      <c r="G283" s="28">
        <f>25081.9+2671.4-3136.8-961.7</f>
        <v>23654.800000000003</v>
      </c>
      <c r="H283" s="126"/>
      <c r="I283" s="145"/>
    </row>
    <row r="284" spans="1:12" ht="47.25">
      <c r="A284" s="26" t="s">
        <v>771</v>
      </c>
      <c r="B284" s="17">
        <v>903</v>
      </c>
      <c r="C284" s="21" t="s">
        <v>338</v>
      </c>
      <c r="D284" s="21" t="s">
        <v>157</v>
      </c>
      <c r="E284" s="21" t="s">
        <v>344</v>
      </c>
      <c r="F284" s="21"/>
      <c r="G284" s="27">
        <f>G285</f>
        <v>96.1</v>
      </c>
      <c r="H284" s="195"/>
      <c r="L284" s="137"/>
    </row>
    <row r="285" spans="1:8" ht="47.25">
      <c r="A285" s="26" t="s">
        <v>311</v>
      </c>
      <c r="B285" s="17">
        <v>903</v>
      </c>
      <c r="C285" s="21" t="s">
        <v>338</v>
      </c>
      <c r="D285" s="21" t="s">
        <v>157</v>
      </c>
      <c r="E285" s="21" t="s">
        <v>344</v>
      </c>
      <c r="F285" s="21" t="s">
        <v>312</v>
      </c>
      <c r="G285" s="27">
        <f>G286</f>
        <v>96.1</v>
      </c>
      <c r="H285" s="195"/>
    </row>
    <row r="286" spans="1:8" ht="15.75">
      <c r="A286" s="26" t="s">
        <v>313</v>
      </c>
      <c r="B286" s="17">
        <v>903</v>
      </c>
      <c r="C286" s="21" t="s">
        <v>338</v>
      </c>
      <c r="D286" s="21" t="s">
        <v>157</v>
      </c>
      <c r="E286" s="21" t="s">
        <v>344</v>
      </c>
      <c r="F286" s="21" t="s">
        <v>314</v>
      </c>
      <c r="G286" s="27">
        <v>96.1</v>
      </c>
      <c r="H286" s="126"/>
    </row>
    <row r="287" spans="1:8" ht="47.25">
      <c r="A287" s="26" t="s">
        <v>317</v>
      </c>
      <c r="B287" s="17">
        <v>903</v>
      </c>
      <c r="C287" s="21" t="s">
        <v>338</v>
      </c>
      <c r="D287" s="21" t="s">
        <v>157</v>
      </c>
      <c r="E287" s="21" t="s">
        <v>345</v>
      </c>
      <c r="F287" s="21"/>
      <c r="G287" s="27">
        <f>G288</f>
        <v>142.1</v>
      </c>
      <c r="H287" s="195"/>
    </row>
    <row r="288" spans="1:8" ht="47.25">
      <c r="A288" s="26" t="s">
        <v>311</v>
      </c>
      <c r="B288" s="17">
        <v>903</v>
      </c>
      <c r="C288" s="21" t="s">
        <v>338</v>
      </c>
      <c r="D288" s="21" t="s">
        <v>157</v>
      </c>
      <c r="E288" s="21" t="s">
        <v>345</v>
      </c>
      <c r="F288" s="21" t="s">
        <v>312</v>
      </c>
      <c r="G288" s="27">
        <f>G289</f>
        <v>142.1</v>
      </c>
      <c r="H288" s="195"/>
    </row>
    <row r="289" spans="1:9" ht="15.75">
      <c r="A289" s="26" t="s">
        <v>313</v>
      </c>
      <c r="B289" s="17">
        <v>903</v>
      </c>
      <c r="C289" s="21" t="s">
        <v>338</v>
      </c>
      <c r="D289" s="21" t="s">
        <v>157</v>
      </c>
      <c r="E289" s="21" t="s">
        <v>345</v>
      </c>
      <c r="F289" s="21" t="s">
        <v>314</v>
      </c>
      <c r="G289" s="27">
        <v>142.1</v>
      </c>
      <c r="H289" s="195"/>
      <c r="I289" s="135"/>
    </row>
    <row r="290" spans="1:8" ht="15.75">
      <c r="A290" s="26" t="s">
        <v>346</v>
      </c>
      <c r="B290" s="17">
        <v>903</v>
      </c>
      <c r="C290" s="21" t="s">
        <v>338</v>
      </c>
      <c r="D290" s="21" t="s">
        <v>157</v>
      </c>
      <c r="E290" s="21" t="s">
        <v>347</v>
      </c>
      <c r="F290" s="21"/>
      <c r="G290" s="27">
        <f>G291</f>
        <v>1529.5</v>
      </c>
      <c r="H290" s="195"/>
    </row>
    <row r="291" spans="1:8" ht="47.25">
      <c r="A291" s="26" t="s">
        <v>311</v>
      </c>
      <c r="B291" s="17">
        <v>903</v>
      </c>
      <c r="C291" s="21" t="s">
        <v>338</v>
      </c>
      <c r="D291" s="21" t="s">
        <v>157</v>
      </c>
      <c r="E291" s="21" t="s">
        <v>347</v>
      </c>
      <c r="F291" s="21" t="s">
        <v>312</v>
      </c>
      <c r="G291" s="27">
        <f>G292</f>
        <v>1529.5</v>
      </c>
      <c r="H291" s="195"/>
    </row>
    <row r="292" spans="1:10" ht="15.75">
      <c r="A292" s="26" t="s">
        <v>313</v>
      </c>
      <c r="B292" s="17">
        <v>903</v>
      </c>
      <c r="C292" s="21" t="s">
        <v>338</v>
      </c>
      <c r="D292" s="21" t="s">
        <v>157</v>
      </c>
      <c r="E292" s="21" t="s">
        <v>347</v>
      </c>
      <c r="F292" s="21" t="s">
        <v>314</v>
      </c>
      <c r="G292" s="27">
        <f>411.9+1117.6</f>
        <v>1529.5</v>
      </c>
      <c r="H292" s="126"/>
      <c r="I292" s="145"/>
      <c r="J292" s="129"/>
    </row>
    <row r="293" spans="1:8" ht="31.5" hidden="1">
      <c r="A293" s="26" t="s">
        <v>323</v>
      </c>
      <c r="B293" s="17">
        <v>903</v>
      </c>
      <c r="C293" s="21" t="s">
        <v>338</v>
      </c>
      <c r="D293" s="21" t="s">
        <v>157</v>
      </c>
      <c r="E293" s="21" t="s">
        <v>324</v>
      </c>
      <c r="F293" s="21"/>
      <c r="G293" s="27">
        <f>G294</f>
        <v>0</v>
      </c>
      <c r="H293" s="195"/>
    </row>
    <row r="294" spans="1:8" ht="47.25" hidden="1">
      <c r="A294" s="26" t="s">
        <v>311</v>
      </c>
      <c r="B294" s="17">
        <v>903</v>
      </c>
      <c r="C294" s="21" t="s">
        <v>338</v>
      </c>
      <c r="D294" s="21" t="s">
        <v>157</v>
      </c>
      <c r="E294" s="21" t="s">
        <v>324</v>
      </c>
      <c r="F294" s="21" t="s">
        <v>312</v>
      </c>
      <c r="G294" s="27">
        <f>G295</f>
        <v>0</v>
      </c>
      <c r="H294" s="195"/>
    </row>
    <row r="295" spans="1:8" ht="15.75" hidden="1">
      <c r="A295" s="26" t="s">
        <v>313</v>
      </c>
      <c r="B295" s="17">
        <v>903</v>
      </c>
      <c r="C295" s="21" t="s">
        <v>338</v>
      </c>
      <c r="D295" s="21" t="s">
        <v>157</v>
      </c>
      <c r="E295" s="21" t="s">
        <v>324</v>
      </c>
      <c r="F295" s="21" t="s">
        <v>314</v>
      </c>
      <c r="G295" s="27">
        <v>0</v>
      </c>
      <c r="H295" s="195"/>
    </row>
    <row r="296" spans="1:8" ht="47.25" hidden="1">
      <c r="A296" s="37" t="s">
        <v>326</v>
      </c>
      <c r="B296" s="17">
        <v>903</v>
      </c>
      <c r="C296" s="21" t="s">
        <v>338</v>
      </c>
      <c r="D296" s="21" t="s">
        <v>157</v>
      </c>
      <c r="E296" s="21" t="s">
        <v>348</v>
      </c>
      <c r="F296" s="21"/>
      <c r="G296" s="27">
        <f>G297</f>
        <v>0</v>
      </c>
      <c r="H296" s="195"/>
    </row>
    <row r="297" spans="1:8" ht="47.25" hidden="1">
      <c r="A297" s="26" t="s">
        <v>311</v>
      </c>
      <c r="B297" s="17">
        <v>903</v>
      </c>
      <c r="C297" s="21" t="s">
        <v>338</v>
      </c>
      <c r="D297" s="21" t="s">
        <v>157</v>
      </c>
      <c r="E297" s="21" t="s">
        <v>348</v>
      </c>
      <c r="F297" s="21" t="s">
        <v>312</v>
      </c>
      <c r="G297" s="27">
        <f>G298</f>
        <v>0</v>
      </c>
      <c r="H297" s="195"/>
    </row>
    <row r="298" spans="1:8" ht="15.75" hidden="1">
      <c r="A298" s="26" t="s">
        <v>313</v>
      </c>
      <c r="B298" s="17">
        <v>903</v>
      </c>
      <c r="C298" s="21" t="s">
        <v>338</v>
      </c>
      <c r="D298" s="21" t="s">
        <v>157</v>
      </c>
      <c r="E298" s="21" t="s">
        <v>348</v>
      </c>
      <c r="F298" s="21" t="s">
        <v>314</v>
      </c>
      <c r="G298" s="27">
        <v>0</v>
      </c>
      <c r="H298" s="195"/>
    </row>
    <row r="299" spans="1:8" ht="47.25" customHeight="1" hidden="1">
      <c r="A299" s="26" t="s">
        <v>349</v>
      </c>
      <c r="B299" s="17">
        <v>903</v>
      </c>
      <c r="C299" s="21" t="s">
        <v>338</v>
      </c>
      <c r="D299" s="21" t="s">
        <v>157</v>
      </c>
      <c r="E299" s="21" t="s">
        <v>350</v>
      </c>
      <c r="F299" s="21"/>
      <c r="G299" s="27">
        <f>G300+G302+G304</f>
        <v>0</v>
      </c>
      <c r="H299" s="195"/>
    </row>
    <row r="300" spans="1:8" ht="94.5" hidden="1">
      <c r="A300" s="26" t="s">
        <v>166</v>
      </c>
      <c r="B300" s="17">
        <v>903</v>
      </c>
      <c r="C300" s="21" t="s">
        <v>338</v>
      </c>
      <c r="D300" s="21" t="s">
        <v>157</v>
      </c>
      <c r="E300" s="21" t="s">
        <v>350</v>
      </c>
      <c r="F300" s="21" t="s">
        <v>167</v>
      </c>
      <c r="G300" s="27">
        <f>G301</f>
        <v>0</v>
      </c>
      <c r="H300" s="195"/>
    </row>
    <row r="301" spans="1:8" ht="31.5" hidden="1">
      <c r="A301" s="26" t="s">
        <v>247</v>
      </c>
      <c r="B301" s="17">
        <v>903</v>
      </c>
      <c r="C301" s="21" t="s">
        <v>338</v>
      </c>
      <c r="D301" s="21" t="s">
        <v>157</v>
      </c>
      <c r="E301" s="21" t="s">
        <v>350</v>
      </c>
      <c r="F301" s="21" t="s">
        <v>248</v>
      </c>
      <c r="G301" s="28">
        <v>0</v>
      </c>
      <c r="H301" s="195"/>
    </row>
    <row r="302" spans="1:8" ht="31.5" hidden="1">
      <c r="A302" s="26" t="s">
        <v>170</v>
      </c>
      <c r="B302" s="17">
        <v>903</v>
      </c>
      <c r="C302" s="21" t="s">
        <v>338</v>
      </c>
      <c r="D302" s="21" t="s">
        <v>157</v>
      </c>
      <c r="E302" s="21" t="s">
        <v>350</v>
      </c>
      <c r="F302" s="21" t="s">
        <v>171</v>
      </c>
      <c r="G302" s="27">
        <f>G303</f>
        <v>0</v>
      </c>
      <c r="H302" s="195"/>
    </row>
    <row r="303" spans="1:8" ht="47.25" hidden="1">
      <c r="A303" s="26" t="s">
        <v>172</v>
      </c>
      <c r="B303" s="17">
        <v>903</v>
      </c>
      <c r="C303" s="21" t="s">
        <v>338</v>
      </c>
      <c r="D303" s="21" t="s">
        <v>157</v>
      </c>
      <c r="E303" s="21" t="s">
        <v>350</v>
      </c>
      <c r="F303" s="21" t="s">
        <v>173</v>
      </c>
      <c r="G303" s="28">
        <v>0</v>
      </c>
      <c r="H303" s="195"/>
    </row>
    <row r="304" spans="1:8" ht="15.75" hidden="1">
      <c r="A304" s="26" t="s">
        <v>174</v>
      </c>
      <c r="B304" s="17">
        <v>903</v>
      </c>
      <c r="C304" s="21" t="s">
        <v>338</v>
      </c>
      <c r="D304" s="21" t="s">
        <v>157</v>
      </c>
      <c r="E304" s="21" t="s">
        <v>350</v>
      </c>
      <c r="F304" s="21" t="s">
        <v>184</v>
      </c>
      <c r="G304" s="27">
        <f>G305</f>
        <v>0</v>
      </c>
      <c r="H304" s="195"/>
    </row>
    <row r="305" spans="1:8" ht="15.75" hidden="1">
      <c r="A305" s="26" t="s">
        <v>176</v>
      </c>
      <c r="B305" s="17">
        <v>903</v>
      </c>
      <c r="C305" s="21" t="s">
        <v>338</v>
      </c>
      <c r="D305" s="21" t="s">
        <v>157</v>
      </c>
      <c r="E305" s="21" t="s">
        <v>350</v>
      </c>
      <c r="F305" s="21" t="s">
        <v>177</v>
      </c>
      <c r="G305" s="27">
        <v>0</v>
      </c>
      <c r="H305" s="195"/>
    </row>
    <row r="306" spans="1:8" ht="47.25">
      <c r="A306" s="26" t="s">
        <v>351</v>
      </c>
      <c r="B306" s="17">
        <v>903</v>
      </c>
      <c r="C306" s="21" t="s">
        <v>338</v>
      </c>
      <c r="D306" s="21" t="s">
        <v>157</v>
      </c>
      <c r="E306" s="21" t="s">
        <v>352</v>
      </c>
      <c r="F306" s="21"/>
      <c r="G306" s="27">
        <f>G307+G330+G318+G321+G324+G327+G310+G315</f>
        <v>16660.600000000002</v>
      </c>
      <c r="H306" s="195"/>
    </row>
    <row r="307" spans="1:8" ht="51" customHeight="1">
      <c r="A307" s="26" t="s">
        <v>342</v>
      </c>
      <c r="B307" s="17">
        <v>903</v>
      </c>
      <c r="C307" s="21" t="s">
        <v>338</v>
      </c>
      <c r="D307" s="21" t="s">
        <v>157</v>
      </c>
      <c r="E307" s="21" t="s">
        <v>353</v>
      </c>
      <c r="F307" s="21"/>
      <c r="G307" s="27">
        <f>G308</f>
        <v>16655.2</v>
      </c>
      <c r="H307" s="195"/>
    </row>
    <row r="308" spans="1:8" ht="47.25">
      <c r="A308" s="26" t="s">
        <v>311</v>
      </c>
      <c r="B308" s="17">
        <v>903</v>
      </c>
      <c r="C308" s="21" t="s">
        <v>338</v>
      </c>
      <c r="D308" s="21" t="s">
        <v>157</v>
      </c>
      <c r="E308" s="21" t="s">
        <v>353</v>
      </c>
      <c r="F308" s="21" t="s">
        <v>312</v>
      </c>
      <c r="G308" s="27">
        <f>G309</f>
        <v>16655.2</v>
      </c>
      <c r="H308" s="195"/>
    </row>
    <row r="309" spans="1:9" ht="15.75">
      <c r="A309" s="26" t="s">
        <v>313</v>
      </c>
      <c r="B309" s="17">
        <v>903</v>
      </c>
      <c r="C309" s="21" t="s">
        <v>338</v>
      </c>
      <c r="D309" s="21" t="s">
        <v>157</v>
      </c>
      <c r="E309" s="21" t="s">
        <v>353</v>
      </c>
      <c r="F309" s="21" t="s">
        <v>314</v>
      </c>
      <c r="G309" s="28">
        <f>18073+419.6-1705.8+78.4-210</f>
        <v>16655.2</v>
      </c>
      <c r="H309" s="126"/>
      <c r="I309" s="145"/>
    </row>
    <row r="310" spans="1:8" ht="38.25" customHeight="1">
      <c r="A310" s="26" t="s">
        <v>354</v>
      </c>
      <c r="B310" s="17">
        <v>903</v>
      </c>
      <c r="C310" s="21" t="s">
        <v>338</v>
      </c>
      <c r="D310" s="21" t="s">
        <v>157</v>
      </c>
      <c r="E310" s="21" t="s">
        <v>355</v>
      </c>
      <c r="F310" s="21"/>
      <c r="G310" s="28">
        <f>G311+G313</f>
        <v>5</v>
      </c>
      <c r="H310" s="195"/>
    </row>
    <row r="311" spans="1:8" ht="31.5" hidden="1">
      <c r="A311" s="26" t="s">
        <v>170</v>
      </c>
      <c r="B311" s="17">
        <v>903</v>
      </c>
      <c r="C311" s="21" t="s">
        <v>338</v>
      </c>
      <c r="D311" s="21" t="s">
        <v>157</v>
      </c>
      <c r="E311" s="21" t="s">
        <v>355</v>
      </c>
      <c r="F311" s="21" t="s">
        <v>171</v>
      </c>
      <c r="G311" s="28">
        <f>G312</f>
        <v>0</v>
      </c>
      <c r="H311" s="195"/>
    </row>
    <row r="312" spans="1:8" ht="47.25" hidden="1">
      <c r="A312" s="26" t="s">
        <v>172</v>
      </c>
      <c r="B312" s="17">
        <v>903</v>
      </c>
      <c r="C312" s="21" t="s">
        <v>338</v>
      </c>
      <c r="D312" s="21" t="s">
        <v>157</v>
      </c>
      <c r="E312" s="21" t="s">
        <v>355</v>
      </c>
      <c r="F312" s="21" t="s">
        <v>173</v>
      </c>
      <c r="G312" s="28">
        <v>0</v>
      </c>
      <c r="H312" s="195"/>
    </row>
    <row r="313" spans="1:8" ht="47.25">
      <c r="A313" s="26" t="s">
        <v>311</v>
      </c>
      <c r="B313" s="17">
        <v>903</v>
      </c>
      <c r="C313" s="21" t="s">
        <v>338</v>
      </c>
      <c r="D313" s="21" t="s">
        <v>157</v>
      </c>
      <c r="E313" s="21" t="s">
        <v>355</v>
      </c>
      <c r="F313" s="21" t="s">
        <v>312</v>
      </c>
      <c r="G313" s="28">
        <f>G314</f>
        <v>5</v>
      </c>
      <c r="H313" s="195"/>
    </row>
    <row r="314" spans="1:8" ht="15.75">
      <c r="A314" s="26" t="s">
        <v>313</v>
      </c>
      <c r="B314" s="17">
        <v>903</v>
      </c>
      <c r="C314" s="21" t="s">
        <v>338</v>
      </c>
      <c r="D314" s="21" t="s">
        <v>157</v>
      </c>
      <c r="E314" s="21" t="s">
        <v>355</v>
      </c>
      <c r="F314" s="21" t="s">
        <v>314</v>
      </c>
      <c r="G314" s="28">
        <v>5</v>
      </c>
      <c r="H314" s="195"/>
    </row>
    <row r="315" spans="1:8" ht="15.75">
      <c r="A315" s="26" t="s">
        <v>744</v>
      </c>
      <c r="B315" s="17">
        <v>903</v>
      </c>
      <c r="C315" s="21" t="s">
        <v>338</v>
      </c>
      <c r="D315" s="21" t="s">
        <v>157</v>
      </c>
      <c r="E315" s="21" t="s">
        <v>745</v>
      </c>
      <c r="F315" s="21"/>
      <c r="G315" s="28">
        <f>G316</f>
        <v>0.4</v>
      </c>
      <c r="H315" s="195"/>
    </row>
    <row r="316" spans="1:8" ht="47.25">
      <c r="A316" s="26" t="s">
        <v>311</v>
      </c>
      <c r="B316" s="17">
        <v>903</v>
      </c>
      <c r="C316" s="21" t="s">
        <v>338</v>
      </c>
      <c r="D316" s="21" t="s">
        <v>157</v>
      </c>
      <c r="E316" s="21" t="s">
        <v>745</v>
      </c>
      <c r="F316" s="21" t="s">
        <v>312</v>
      </c>
      <c r="G316" s="28">
        <f>G317</f>
        <v>0.4</v>
      </c>
      <c r="H316" s="195"/>
    </row>
    <row r="317" spans="1:8" ht="15.75">
      <c r="A317" s="26" t="s">
        <v>313</v>
      </c>
      <c r="B317" s="17">
        <v>903</v>
      </c>
      <c r="C317" s="21" t="s">
        <v>338</v>
      </c>
      <c r="D317" s="21" t="s">
        <v>157</v>
      </c>
      <c r="E317" s="21" t="s">
        <v>745</v>
      </c>
      <c r="F317" s="21" t="s">
        <v>314</v>
      </c>
      <c r="G317" s="28">
        <v>0.4</v>
      </c>
      <c r="H317" s="126"/>
    </row>
    <row r="318" spans="1:8" ht="47.25" hidden="1">
      <c r="A318" s="26" t="s">
        <v>315</v>
      </c>
      <c r="B318" s="17">
        <v>903</v>
      </c>
      <c r="C318" s="21" t="s">
        <v>338</v>
      </c>
      <c r="D318" s="21" t="s">
        <v>157</v>
      </c>
      <c r="E318" s="21" t="s">
        <v>356</v>
      </c>
      <c r="F318" s="21"/>
      <c r="G318" s="27">
        <f>G319</f>
        <v>0</v>
      </c>
      <c r="H318" s="195"/>
    </row>
    <row r="319" spans="1:8" ht="47.25" hidden="1">
      <c r="A319" s="26" t="s">
        <v>311</v>
      </c>
      <c r="B319" s="17">
        <v>903</v>
      </c>
      <c r="C319" s="21" t="s">
        <v>338</v>
      </c>
      <c r="D319" s="21" t="s">
        <v>157</v>
      </c>
      <c r="E319" s="21" t="s">
        <v>356</v>
      </c>
      <c r="F319" s="21" t="s">
        <v>312</v>
      </c>
      <c r="G319" s="27">
        <f>G320</f>
        <v>0</v>
      </c>
      <c r="H319" s="195"/>
    </row>
    <row r="320" spans="1:8" ht="15.75" hidden="1">
      <c r="A320" s="26" t="s">
        <v>313</v>
      </c>
      <c r="B320" s="17">
        <v>903</v>
      </c>
      <c r="C320" s="21" t="s">
        <v>338</v>
      </c>
      <c r="D320" s="21" t="s">
        <v>157</v>
      </c>
      <c r="E320" s="21" t="s">
        <v>356</v>
      </c>
      <c r="F320" s="21" t="s">
        <v>314</v>
      </c>
      <c r="G320" s="27">
        <v>0</v>
      </c>
      <c r="H320" s="195"/>
    </row>
    <row r="321" spans="1:8" ht="47.25" hidden="1">
      <c r="A321" s="26" t="s">
        <v>317</v>
      </c>
      <c r="B321" s="17">
        <v>903</v>
      </c>
      <c r="C321" s="21" t="s">
        <v>338</v>
      </c>
      <c r="D321" s="21" t="s">
        <v>157</v>
      </c>
      <c r="E321" s="21" t="s">
        <v>357</v>
      </c>
      <c r="F321" s="21"/>
      <c r="G321" s="27">
        <f>G322</f>
        <v>0</v>
      </c>
      <c r="H321" s="195"/>
    </row>
    <row r="322" spans="1:8" ht="47.25" hidden="1">
      <c r="A322" s="26" t="s">
        <v>311</v>
      </c>
      <c r="B322" s="17">
        <v>903</v>
      </c>
      <c r="C322" s="21" t="s">
        <v>338</v>
      </c>
      <c r="D322" s="21" t="s">
        <v>157</v>
      </c>
      <c r="E322" s="21" t="s">
        <v>357</v>
      </c>
      <c r="F322" s="21" t="s">
        <v>312</v>
      </c>
      <c r="G322" s="27">
        <f>G323</f>
        <v>0</v>
      </c>
      <c r="H322" s="195"/>
    </row>
    <row r="323" spans="1:8" ht="15.75" hidden="1">
      <c r="A323" s="26" t="s">
        <v>313</v>
      </c>
      <c r="B323" s="17">
        <v>903</v>
      </c>
      <c r="C323" s="21" t="s">
        <v>338</v>
      </c>
      <c r="D323" s="21" t="s">
        <v>157</v>
      </c>
      <c r="E323" s="21" t="s">
        <v>357</v>
      </c>
      <c r="F323" s="21" t="s">
        <v>314</v>
      </c>
      <c r="G323" s="27">
        <v>0</v>
      </c>
      <c r="H323" s="195"/>
    </row>
    <row r="324" spans="1:8" ht="31.5" hidden="1">
      <c r="A324" s="26" t="s">
        <v>319</v>
      </c>
      <c r="B324" s="17">
        <v>903</v>
      </c>
      <c r="C324" s="21" t="s">
        <v>338</v>
      </c>
      <c r="D324" s="21" t="s">
        <v>157</v>
      </c>
      <c r="E324" s="21" t="s">
        <v>358</v>
      </c>
      <c r="F324" s="21"/>
      <c r="G324" s="27">
        <f>G325</f>
        <v>0</v>
      </c>
      <c r="H324" s="195"/>
    </row>
    <row r="325" spans="1:8" ht="47.25" hidden="1">
      <c r="A325" s="26" t="s">
        <v>311</v>
      </c>
      <c r="B325" s="17">
        <v>903</v>
      </c>
      <c r="C325" s="21" t="s">
        <v>338</v>
      </c>
      <c r="D325" s="21" t="s">
        <v>157</v>
      </c>
      <c r="E325" s="21" t="s">
        <v>358</v>
      </c>
      <c r="F325" s="21" t="s">
        <v>312</v>
      </c>
      <c r="G325" s="27">
        <f>G326</f>
        <v>0</v>
      </c>
      <c r="H325" s="195"/>
    </row>
    <row r="326" spans="1:8" ht="15.75" hidden="1">
      <c r="A326" s="26" t="s">
        <v>313</v>
      </c>
      <c r="B326" s="17">
        <v>903</v>
      </c>
      <c r="C326" s="21" t="s">
        <v>338</v>
      </c>
      <c r="D326" s="21" t="s">
        <v>157</v>
      </c>
      <c r="E326" s="21" t="s">
        <v>358</v>
      </c>
      <c r="F326" s="21" t="s">
        <v>314</v>
      </c>
      <c r="G326" s="27">
        <v>0</v>
      </c>
      <c r="H326" s="195"/>
    </row>
    <row r="327" spans="1:8" ht="31.5" hidden="1">
      <c r="A327" s="26" t="s">
        <v>323</v>
      </c>
      <c r="B327" s="17">
        <v>903</v>
      </c>
      <c r="C327" s="21" t="s">
        <v>338</v>
      </c>
      <c r="D327" s="21" t="s">
        <v>157</v>
      </c>
      <c r="E327" s="21" t="s">
        <v>359</v>
      </c>
      <c r="F327" s="21"/>
      <c r="G327" s="27">
        <f>G328</f>
        <v>0</v>
      </c>
      <c r="H327" s="195"/>
    </row>
    <row r="328" spans="1:8" ht="47.25" hidden="1">
      <c r="A328" s="26" t="s">
        <v>311</v>
      </c>
      <c r="B328" s="17">
        <v>903</v>
      </c>
      <c r="C328" s="21" t="s">
        <v>338</v>
      </c>
      <c r="D328" s="21" t="s">
        <v>157</v>
      </c>
      <c r="E328" s="21" t="s">
        <v>359</v>
      </c>
      <c r="F328" s="21" t="s">
        <v>312</v>
      </c>
      <c r="G328" s="27">
        <f>G329</f>
        <v>0</v>
      </c>
      <c r="H328" s="195"/>
    </row>
    <row r="329" spans="1:8" ht="15.75" hidden="1">
      <c r="A329" s="26" t="s">
        <v>313</v>
      </c>
      <c r="B329" s="17">
        <v>903</v>
      </c>
      <c r="C329" s="21" t="s">
        <v>338</v>
      </c>
      <c r="D329" s="21" t="s">
        <v>157</v>
      </c>
      <c r="E329" s="21" t="s">
        <v>359</v>
      </c>
      <c r="F329" s="21" t="s">
        <v>314</v>
      </c>
      <c r="G329" s="27">
        <v>0</v>
      </c>
      <c r="H329" s="195"/>
    </row>
    <row r="330" spans="1:8" ht="47.25" hidden="1">
      <c r="A330" s="37" t="s">
        <v>360</v>
      </c>
      <c r="B330" s="17">
        <v>903</v>
      </c>
      <c r="C330" s="21" t="s">
        <v>338</v>
      </c>
      <c r="D330" s="21" t="s">
        <v>157</v>
      </c>
      <c r="E330" s="21" t="s">
        <v>361</v>
      </c>
      <c r="F330" s="21"/>
      <c r="G330" s="27">
        <f>G331</f>
        <v>0</v>
      </c>
      <c r="H330" s="195"/>
    </row>
    <row r="331" spans="1:8" ht="47.25" hidden="1">
      <c r="A331" s="26" t="s">
        <v>311</v>
      </c>
      <c r="B331" s="17">
        <v>903</v>
      </c>
      <c r="C331" s="21" t="s">
        <v>338</v>
      </c>
      <c r="D331" s="21" t="s">
        <v>157</v>
      </c>
      <c r="E331" s="21" t="s">
        <v>361</v>
      </c>
      <c r="F331" s="21" t="s">
        <v>312</v>
      </c>
      <c r="G331" s="27">
        <f>G332</f>
        <v>0</v>
      </c>
      <c r="H331" s="195"/>
    </row>
    <row r="332" spans="1:8" ht="15.75" hidden="1">
      <c r="A332" s="26" t="s">
        <v>313</v>
      </c>
      <c r="B332" s="17">
        <v>903</v>
      </c>
      <c r="C332" s="21" t="s">
        <v>338</v>
      </c>
      <c r="D332" s="21" t="s">
        <v>157</v>
      </c>
      <c r="E332" s="21" t="s">
        <v>361</v>
      </c>
      <c r="F332" s="21" t="s">
        <v>314</v>
      </c>
      <c r="G332" s="27">
        <v>0</v>
      </c>
      <c r="H332" s="195"/>
    </row>
    <row r="333" spans="1:8" ht="78.75">
      <c r="A333" s="31" t="s">
        <v>362</v>
      </c>
      <c r="B333" s="17">
        <v>903</v>
      </c>
      <c r="C333" s="21" t="s">
        <v>338</v>
      </c>
      <c r="D333" s="21" t="s">
        <v>157</v>
      </c>
      <c r="E333" s="42" t="s">
        <v>363</v>
      </c>
      <c r="F333" s="21"/>
      <c r="G333" s="27">
        <f>G334</f>
        <v>200</v>
      </c>
      <c r="H333" s="195"/>
    </row>
    <row r="334" spans="1:8" ht="47.25">
      <c r="A334" s="26" t="s">
        <v>364</v>
      </c>
      <c r="B334" s="17">
        <v>903</v>
      </c>
      <c r="C334" s="21" t="s">
        <v>338</v>
      </c>
      <c r="D334" s="21" t="s">
        <v>157</v>
      </c>
      <c r="E334" s="42" t="s">
        <v>365</v>
      </c>
      <c r="F334" s="21"/>
      <c r="G334" s="27">
        <f>G335</f>
        <v>200</v>
      </c>
      <c r="H334" s="195"/>
    </row>
    <row r="335" spans="1:8" ht="47.25">
      <c r="A335" s="26" t="s">
        <v>311</v>
      </c>
      <c r="B335" s="17">
        <v>903</v>
      </c>
      <c r="C335" s="21" t="s">
        <v>338</v>
      </c>
      <c r="D335" s="21" t="s">
        <v>157</v>
      </c>
      <c r="E335" s="42" t="s">
        <v>365</v>
      </c>
      <c r="F335" s="21" t="s">
        <v>312</v>
      </c>
      <c r="G335" s="27">
        <f>G336</f>
        <v>200</v>
      </c>
      <c r="H335" s="195"/>
    </row>
    <row r="336" spans="1:8" ht="15.75">
      <c r="A336" s="26" t="s">
        <v>313</v>
      </c>
      <c r="B336" s="17">
        <v>903</v>
      </c>
      <c r="C336" s="21" t="s">
        <v>338</v>
      </c>
      <c r="D336" s="21" t="s">
        <v>157</v>
      </c>
      <c r="E336" s="42" t="s">
        <v>365</v>
      </c>
      <c r="F336" s="21" t="s">
        <v>314</v>
      </c>
      <c r="G336" s="27">
        <v>200</v>
      </c>
      <c r="H336" s="195"/>
    </row>
    <row r="337" spans="1:8" ht="15.75">
      <c r="A337" s="26" t="s">
        <v>160</v>
      </c>
      <c r="B337" s="17">
        <v>903</v>
      </c>
      <c r="C337" s="21" t="s">
        <v>338</v>
      </c>
      <c r="D337" s="21" t="s">
        <v>157</v>
      </c>
      <c r="E337" s="21" t="s">
        <v>161</v>
      </c>
      <c r="F337" s="21"/>
      <c r="G337" s="27">
        <f>G338</f>
        <v>2137.9</v>
      </c>
      <c r="H337" s="195"/>
    </row>
    <row r="338" spans="1:8" ht="31.5">
      <c r="A338" s="26" t="s">
        <v>224</v>
      </c>
      <c r="B338" s="17">
        <v>903</v>
      </c>
      <c r="C338" s="21" t="s">
        <v>338</v>
      </c>
      <c r="D338" s="21" t="s">
        <v>157</v>
      </c>
      <c r="E338" s="21" t="s">
        <v>225</v>
      </c>
      <c r="F338" s="21"/>
      <c r="G338" s="27">
        <f>G339+G344+G349+G352+G355</f>
        <v>2137.9</v>
      </c>
      <c r="H338" s="195"/>
    </row>
    <row r="339" spans="1:8" ht="31.5" hidden="1">
      <c r="A339" s="38" t="s">
        <v>366</v>
      </c>
      <c r="B339" s="39">
        <v>903</v>
      </c>
      <c r="C339" s="21" t="s">
        <v>338</v>
      </c>
      <c r="D339" s="21" t="s">
        <v>157</v>
      </c>
      <c r="E339" s="21" t="s">
        <v>367</v>
      </c>
      <c r="F339" s="21"/>
      <c r="G339" s="27">
        <f>G340+G342</f>
        <v>0</v>
      </c>
      <c r="H339" s="195"/>
    </row>
    <row r="340" spans="1:8" ht="31.5" hidden="1">
      <c r="A340" s="26" t="s">
        <v>170</v>
      </c>
      <c r="B340" s="39">
        <v>903</v>
      </c>
      <c r="C340" s="21" t="s">
        <v>338</v>
      </c>
      <c r="D340" s="21" t="s">
        <v>157</v>
      </c>
      <c r="E340" s="21" t="s">
        <v>367</v>
      </c>
      <c r="F340" s="21" t="s">
        <v>171</v>
      </c>
      <c r="G340" s="27">
        <f>G341</f>
        <v>0</v>
      </c>
      <c r="H340" s="195"/>
    </row>
    <row r="341" spans="1:9" ht="47.25" hidden="1">
      <c r="A341" s="26" t="s">
        <v>172</v>
      </c>
      <c r="B341" s="17">
        <v>903</v>
      </c>
      <c r="C341" s="21" t="s">
        <v>338</v>
      </c>
      <c r="D341" s="21" t="s">
        <v>157</v>
      </c>
      <c r="E341" s="21" t="s">
        <v>367</v>
      </c>
      <c r="F341" s="21" t="s">
        <v>173</v>
      </c>
      <c r="G341" s="27">
        <f>1.4-1.4</f>
        <v>0</v>
      </c>
      <c r="H341" s="195"/>
      <c r="I341" s="135"/>
    </row>
    <row r="342" spans="1:8" ht="47.25" hidden="1">
      <c r="A342" s="26" t="s">
        <v>311</v>
      </c>
      <c r="B342" s="17">
        <v>903</v>
      </c>
      <c r="C342" s="21" t="s">
        <v>338</v>
      </c>
      <c r="D342" s="21" t="s">
        <v>157</v>
      </c>
      <c r="E342" s="21" t="s">
        <v>367</v>
      </c>
      <c r="F342" s="21" t="s">
        <v>312</v>
      </c>
      <c r="G342" s="27">
        <f>G343</f>
        <v>0</v>
      </c>
      <c r="H342" s="195"/>
    </row>
    <row r="343" spans="1:9" ht="15.75" hidden="1">
      <c r="A343" s="26" t="s">
        <v>313</v>
      </c>
      <c r="B343" s="17">
        <v>903</v>
      </c>
      <c r="C343" s="21" t="s">
        <v>338</v>
      </c>
      <c r="D343" s="21" t="s">
        <v>157</v>
      </c>
      <c r="E343" s="21" t="s">
        <v>367</v>
      </c>
      <c r="F343" s="21" t="s">
        <v>314</v>
      </c>
      <c r="G343" s="27">
        <f>2.9-2.9</f>
        <v>0</v>
      </c>
      <c r="H343" s="195"/>
      <c r="I343" s="135"/>
    </row>
    <row r="344" spans="1:8" ht="31.5">
      <c r="A344" s="26" t="s">
        <v>368</v>
      </c>
      <c r="B344" s="17">
        <v>903</v>
      </c>
      <c r="C344" s="21" t="s">
        <v>338</v>
      </c>
      <c r="D344" s="21" t="s">
        <v>157</v>
      </c>
      <c r="E344" s="21" t="s">
        <v>369</v>
      </c>
      <c r="F344" s="21"/>
      <c r="G344" s="27">
        <f>G345+G347</f>
        <v>177.3</v>
      </c>
      <c r="H344" s="195"/>
    </row>
    <row r="345" spans="1:8" ht="31.5" hidden="1">
      <c r="A345" s="26" t="s">
        <v>170</v>
      </c>
      <c r="B345" s="17">
        <v>903</v>
      </c>
      <c r="C345" s="21" t="s">
        <v>338</v>
      </c>
      <c r="D345" s="21" t="s">
        <v>157</v>
      </c>
      <c r="E345" s="21" t="s">
        <v>369</v>
      </c>
      <c r="F345" s="21" t="s">
        <v>171</v>
      </c>
      <c r="G345" s="27">
        <f>G346</f>
        <v>0</v>
      </c>
      <c r="H345" s="195"/>
    </row>
    <row r="346" spans="1:8" ht="47.25" hidden="1">
      <c r="A346" s="26" t="s">
        <v>172</v>
      </c>
      <c r="B346" s="17">
        <v>903</v>
      </c>
      <c r="C346" s="21" t="s">
        <v>338</v>
      </c>
      <c r="D346" s="21" t="s">
        <v>157</v>
      </c>
      <c r="E346" s="21" t="s">
        <v>369</v>
      </c>
      <c r="F346" s="40">
        <v>240</v>
      </c>
      <c r="G346" s="27">
        <v>0</v>
      </c>
      <c r="H346" s="195"/>
    </row>
    <row r="347" spans="1:8" ht="47.25">
      <c r="A347" s="26" t="s">
        <v>311</v>
      </c>
      <c r="B347" s="17">
        <v>903</v>
      </c>
      <c r="C347" s="21" t="s">
        <v>338</v>
      </c>
      <c r="D347" s="21" t="s">
        <v>157</v>
      </c>
      <c r="E347" s="21" t="s">
        <v>369</v>
      </c>
      <c r="F347" s="21" t="s">
        <v>312</v>
      </c>
      <c r="G347" s="27">
        <f>G348</f>
        <v>177.3</v>
      </c>
      <c r="H347" s="195"/>
    </row>
    <row r="348" spans="1:9" ht="15.75">
      <c r="A348" s="26" t="s">
        <v>313</v>
      </c>
      <c r="B348" s="17">
        <v>903</v>
      </c>
      <c r="C348" s="21" t="s">
        <v>338</v>
      </c>
      <c r="D348" s="21" t="s">
        <v>157</v>
      </c>
      <c r="E348" s="21" t="s">
        <v>369</v>
      </c>
      <c r="F348" s="21" t="s">
        <v>314</v>
      </c>
      <c r="G348" s="27">
        <f>274.5-97.2</f>
        <v>177.3</v>
      </c>
      <c r="H348" s="195"/>
      <c r="I348" s="135"/>
    </row>
    <row r="349" spans="1:8" ht="78.75">
      <c r="A349" s="26" t="s">
        <v>370</v>
      </c>
      <c r="B349" s="17">
        <v>903</v>
      </c>
      <c r="C349" s="21" t="s">
        <v>338</v>
      </c>
      <c r="D349" s="21" t="s">
        <v>157</v>
      </c>
      <c r="E349" s="21" t="s">
        <v>371</v>
      </c>
      <c r="F349" s="21"/>
      <c r="G349" s="27">
        <f>G350</f>
        <v>263.3</v>
      </c>
      <c r="H349" s="195"/>
    </row>
    <row r="350" spans="1:8" ht="47.25">
      <c r="A350" s="26" t="s">
        <v>311</v>
      </c>
      <c r="B350" s="17">
        <v>903</v>
      </c>
      <c r="C350" s="21" t="s">
        <v>338</v>
      </c>
      <c r="D350" s="21" t="s">
        <v>157</v>
      </c>
      <c r="E350" s="21" t="s">
        <v>371</v>
      </c>
      <c r="F350" s="21" t="s">
        <v>312</v>
      </c>
      <c r="G350" s="27">
        <f>G351</f>
        <v>263.3</v>
      </c>
      <c r="H350" s="195"/>
    </row>
    <row r="351" spans="1:9" ht="15.75">
      <c r="A351" s="26" t="s">
        <v>313</v>
      </c>
      <c r="B351" s="17">
        <v>903</v>
      </c>
      <c r="C351" s="21" t="s">
        <v>338</v>
      </c>
      <c r="D351" s="21" t="s">
        <v>157</v>
      </c>
      <c r="E351" s="21" t="s">
        <v>371</v>
      </c>
      <c r="F351" s="21" t="s">
        <v>314</v>
      </c>
      <c r="G351" s="27">
        <f>247.6+15.7</f>
        <v>263.3</v>
      </c>
      <c r="H351" s="195"/>
      <c r="I351" s="135"/>
    </row>
    <row r="352" spans="1:8" ht="110.25">
      <c r="A352" s="33" t="s">
        <v>332</v>
      </c>
      <c r="B352" s="17">
        <v>903</v>
      </c>
      <c r="C352" s="21" t="s">
        <v>338</v>
      </c>
      <c r="D352" s="21" t="s">
        <v>157</v>
      </c>
      <c r="E352" s="21" t="s">
        <v>333</v>
      </c>
      <c r="F352" s="21"/>
      <c r="G352" s="27">
        <f>G353</f>
        <v>1693.3000000000002</v>
      </c>
      <c r="H352" s="195"/>
    </row>
    <row r="353" spans="1:8" ht="47.25">
      <c r="A353" s="26" t="s">
        <v>311</v>
      </c>
      <c r="B353" s="17">
        <v>903</v>
      </c>
      <c r="C353" s="21" t="s">
        <v>338</v>
      </c>
      <c r="D353" s="21" t="s">
        <v>157</v>
      </c>
      <c r="E353" s="21" t="s">
        <v>333</v>
      </c>
      <c r="F353" s="21" t="s">
        <v>312</v>
      </c>
      <c r="G353" s="27">
        <f>G354</f>
        <v>1693.3000000000002</v>
      </c>
      <c r="H353" s="195"/>
    </row>
    <row r="354" spans="1:8" ht="15.75">
      <c r="A354" s="26" t="s">
        <v>313</v>
      </c>
      <c r="B354" s="17">
        <v>903</v>
      </c>
      <c r="C354" s="21" t="s">
        <v>338</v>
      </c>
      <c r="D354" s="21" t="s">
        <v>157</v>
      </c>
      <c r="E354" s="21" t="s">
        <v>333</v>
      </c>
      <c r="F354" s="21" t="s">
        <v>314</v>
      </c>
      <c r="G354" s="27">
        <f>1929.4-236.1</f>
        <v>1693.3000000000002</v>
      </c>
      <c r="H354" s="195"/>
    </row>
    <row r="355" spans="1:8" ht="15.75">
      <c r="A355" s="33" t="s">
        <v>746</v>
      </c>
      <c r="B355" s="17">
        <v>903</v>
      </c>
      <c r="C355" s="21" t="s">
        <v>338</v>
      </c>
      <c r="D355" s="21" t="s">
        <v>157</v>
      </c>
      <c r="E355" s="21" t="s">
        <v>747</v>
      </c>
      <c r="F355" s="21"/>
      <c r="G355" s="27">
        <f>G356</f>
        <v>4</v>
      </c>
      <c r="H355" s="195"/>
    </row>
    <row r="356" spans="1:8" ht="47.25">
      <c r="A356" s="26" t="s">
        <v>311</v>
      </c>
      <c r="B356" s="17">
        <v>903</v>
      </c>
      <c r="C356" s="21" t="s">
        <v>338</v>
      </c>
      <c r="D356" s="21" t="s">
        <v>157</v>
      </c>
      <c r="E356" s="21" t="s">
        <v>747</v>
      </c>
      <c r="F356" s="21" t="s">
        <v>312</v>
      </c>
      <c r="G356" s="27">
        <f>G357</f>
        <v>4</v>
      </c>
      <c r="H356" s="195"/>
    </row>
    <row r="357" spans="1:8" ht="15.75">
      <c r="A357" s="26" t="s">
        <v>313</v>
      </c>
      <c r="B357" s="17">
        <v>903</v>
      </c>
      <c r="C357" s="21" t="s">
        <v>338</v>
      </c>
      <c r="D357" s="21" t="s">
        <v>157</v>
      </c>
      <c r="E357" s="21" t="s">
        <v>747</v>
      </c>
      <c r="F357" s="21" t="s">
        <v>314</v>
      </c>
      <c r="G357" s="27">
        <v>4</v>
      </c>
      <c r="H357" s="126"/>
    </row>
    <row r="358" spans="1:8" ht="31.5">
      <c r="A358" s="24" t="s">
        <v>372</v>
      </c>
      <c r="B358" s="20">
        <v>903</v>
      </c>
      <c r="C358" s="25" t="s">
        <v>338</v>
      </c>
      <c r="D358" s="25" t="s">
        <v>189</v>
      </c>
      <c r="E358" s="25"/>
      <c r="F358" s="25"/>
      <c r="G358" s="22">
        <f>G359+G373+G369</f>
        <v>17278.8</v>
      </c>
      <c r="H358" s="195"/>
    </row>
    <row r="359" spans="1:9" ht="47.25">
      <c r="A359" s="26" t="s">
        <v>373</v>
      </c>
      <c r="B359" s="17">
        <v>903</v>
      </c>
      <c r="C359" s="21" t="s">
        <v>338</v>
      </c>
      <c r="D359" s="21" t="s">
        <v>189</v>
      </c>
      <c r="E359" s="21" t="s">
        <v>374</v>
      </c>
      <c r="F359" s="21"/>
      <c r="G359" s="27">
        <f>G360+G363+G366</f>
        <v>125</v>
      </c>
      <c r="H359" s="195"/>
      <c r="I359" s="135"/>
    </row>
    <row r="360" spans="1:8" ht="31.5" hidden="1">
      <c r="A360" s="26" t="s">
        <v>375</v>
      </c>
      <c r="B360" s="17">
        <v>903</v>
      </c>
      <c r="C360" s="21" t="s">
        <v>338</v>
      </c>
      <c r="D360" s="21" t="s">
        <v>189</v>
      </c>
      <c r="E360" s="21" t="s">
        <v>376</v>
      </c>
      <c r="F360" s="21"/>
      <c r="G360" s="27">
        <f>G361</f>
        <v>0</v>
      </c>
      <c r="H360" s="195"/>
    </row>
    <row r="361" spans="1:8" ht="31.5" hidden="1">
      <c r="A361" s="26" t="s">
        <v>170</v>
      </c>
      <c r="B361" s="17">
        <v>903</v>
      </c>
      <c r="C361" s="21" t="s">
        <v>338</v>
      </c>
      <c r="D361" s="21" t="s">
        <v>189</v>
      </c>
      <c r="E361" s="21" t="s">
        <v>376</v>
      </c>
      <c r="F361" s="21" t="s">
        <v>171</v>
      </c>
      <c r="G361" s="27">
        <f>G362</f>
        <v>0</v>
      </c>
      <c r="H361" s="195"/>
    </row>
    <row r="362" spans="1:8" ht="47.25" hidden="1">
      <c r="A362" s="26" t="s">
        <v>172</v>
      </c>
      <c r="B362" s="17">
        <v>903</v>
      </c>
      <c r="C362" s="21" t="s">
        <v>338</v>
      </c>
      <c r="D362" s="21" t="s">
        <v>189</v>
      </c>
      <c r="E362" s="21" t="s">
        <v>376</v>
      </c>
      <c r="F362" s="21" t="s">
        <v>173</v>
      </c>
      <c r="G362" s="27">
        <v>0</v>
      </c>
      <c r="H362" s="195"/>
    </row>
    <row r="363" spans="1:8" ht="31.5">
      <c r="A363" s="26" t="s">
        <v>377</v>
      </c>
      <c r="B363" s="17">
        <v>903</v>
      </c>
      <c r="C363" s="21" t="s">
        <v>338</v>
      </c>
      <c r="D363" s="21" t="s">
        <v>189</v>
      </c>
      <c r="E363" s="21" t="s">
        <v>378</v>
      </c>
      <c r="F363" s="21"/>
      <c r="G363" s="27">
        <f>G364</f>
        <v>20</v>
      </c>
      <c r="H363" s="195"/>
    </row>
    <row r="364" spans="1:8" ht="31.5">
      <c r="A364" s="26" t="s">
        <v>170</v>
      </c>
      <c r="B364" s="17">
        <v>903</v>
      </c>
      <c r="C364" s="21" t="s">
        <v>338</v>
      </c>
      <c r="D364" s="21" t="s">
        <v>189</v>
      </c>
      <c r="E364" s="21" t="s">
        <v>378</v>
      </c>
      <c r="F364" s="21" t="s">
        <v>171</v>
      </c>
      <c r="G364" s="27">
        <f>G365</f>
        <v>20</v>
      </c>
      <c r="H364" s="195"/>
    </row>
    <row r="365" spans="1:8" ht="47.25">
      <c r="A365" s="26" t="s">
        <v>172</v>
      </c>
      <c r="B365" s="17">
        <v>903</v>
      </c>
      <c r="C365" s="21" t="s">
        <v>338</v>
      </c>
      <c r="D365" s="21" t="s">
        <v>189</v>
      </c>
      <c r="E365" s="21" t="s">
        <v>378</v>
      </c>
      <c r="F365" s="21" t="s">
        <v>173</v>
      </c>
      <c r="G365" s="27">
        <v>20</v>
      </c>
      <c r="H365" s="195"/>
    </row>
    <row r="366" spans="1:8" ht="63">
      <c r="A366" s="26" t="s">
        <v>778</v>
      </c>
      <c r="B366" s="17">
        <v>903</v>
      </c>
      <c r="C366" s="21" t="s">
        <v>338</v>
      </c>
      <c r="D366" s="21" t="s">
        <v>189</v>
      </c>
      <c r="E366" s="21" t="s">
        <v>741</v>
      </c>
      <c r="F366" s="21"/>
      <c r="G366" s="27">
        <f>G367</f>
        <v>105</v>
      </c>
      <c r="H366" s="195"/>
    </row>
    <row r="367" spans="1:8" ht="39.75" customHeight="1">
      <c r="A367" s="26" t="s">
        <v>170</v>
      </c>
      <c r="B367" s="17">
        <v>903</v>
      </c>
      <c r="C367" s="21" t="s">
        <v>338</v>
      </c>
      <c r="D367" s="21" t="s">
        <v>189</v>
      </c>
      <c r="E367" s="21" t="s">
        <v>741</v>
      </c>
      <c r="F367" s="21" t="s">
        <v>171</v>
      </c>
      <c r="G367" s="27">
        <f>G368</f>
        <v>105</v>
      </c>
      <c r="H367" s="195"/>
    </row>
    <row r="368" spans="1:9" ht="47.25">
      <c r="A368" s="26" t="s">
        <v>172</v>
      </c>
      <c r="B368" s="17">
        <v>903</v>
      </c>
      <c r="C368" s="21" t="s">
        <v>338</v>
      </c>
      <c r="D368" s="21" t="s">
        <v>189</v>
      </c>
      <c r="E368" s="21" t="s">
        <v>741</v>
      </c>
      <c r="F368" s="21" t="s">
        <v>173</v>
      </c>
      <c r="G368" s="27">
        <f>55+50</f>
        <v>105</v>
      </c>
      <c r="H368" s="126"/>
      <c r="I368" s="144"/>
    </row>
    <row r="369" spans="1:8" ht="63">
      <c r="A369" s="31" t="s">
        <v>777</v>
      </c>
      <c r="B369" s="17">
        <v>903</v>
      </c>
      <c r="C369" s="21" t="s">
        <v>338</v>
      </c>
      <c r="D369" s="21" t="s">
        <v>189</v>
      </c>
      <c r="E369" s="21" t="s">
        <v>775</v>
      </c>
      <c r="F369" s="21"/>
      <c r="G369" s="27">
        <f>G370</f>
        <v>5</v>
      </c>
      <c r="H369" s="195"/>
    </row>
    <row r="370" spans="1:8" ht="31.5">
      <c r="A370" s="26" t="s">
        <v>408</v>
      </c>
      <c r="B370" s="17">
        <v>903</v>
      </c>
      <c r="C370" s="21" t="s">
        <v>338</v>
      </c>
      <c r="D370" s="21" t="s">
        <v>189</v>
      </c>
      <c r="E370" s="21" t="s">
        <v>783</v>
      </c>
      <c r="F370" s="21"/>
      <c r="G370" s="27">
        <f>G371</f>
        <v>5</v>
      </c>
      <c r="H370" s="195"/>
    </row>
    <row r="371" spans="1:8" ht="31.5">
      <c r="A371" s="26" t="s">
        <v>170</v>
      </c>
      <c r="B371" s="17">
        <v>903</v>
      </c>
      <c r="C371" s="21" t="s">
        <v>338</v>
      </c>
      <c r="D371" s="21" t="s">
        <v>189</v>
      </c>
      <c r="E371" s="21" t="s">
        <v>783</v>
      </c>
      <c r="F371" s="21" t="s">
        <v>171</v>
      </c>
      <c r="G371" s="27">
        <f>G372</f>
        <v>5</v>
      </c>
      <c r="H371" s="195"/>
    </row>
    <row r="372" spans="1:9" ht="47.25">
      <c r="A372" s="26" t="s">
        <v>172</v>
      </c>
      <c r="B372" s="17">
        <v>903</v>
      </c>
      <c r="C372" s="21" t="s">
        <v>338</v>
      </c>
      <c r="D372" s="21" t="s">
        <v>189</v>
      </c>
      <c r="E372" s="21" t="s">
        <v>783</v>
      </c>
      <c r="F372" s="21" t="s">
        <v>173</v>
      </c>
      <c r="G372" s="27">
        <v>5</v>
      </c>
      <c r="H372" s="126"/>
      <c r="I372" s="144"/>
    </row>
    <row r="373" spans="1:8" ht="15.75">
      <c r="A373" s="26" t="s">
        <v>160</v>
      </c>
      <c r="B373" s="17">
        <v>903</v>
      </c>
      <c r="C373" s="21" t="s">
        <v>338</v>
      </c>
      <c r="D373" s="21" t="s">
        <v>189</v>
      </c>
      <c r="E373" s="21" t="s">
        <v>161</v>
      </c>
      <c r="F373" s="21"/>
      <c r="G373" s="27">
        <f>G374+G380</f>
        <v>17148.8</v>
      </c>
      <c r="H373" s="195"/>
    </row>
    <row r="374" spans="1:8" ht="31.5">
      <c r="A374" s="26" t="s">
        <v>162</v>
      </c>
      <c r="B374" s="17">
        <v>903</v>
      </c>
      <c r="C374" s="21" t="s">
        <v>338</v>
      </c>
      <c r="D374" s="21" t="s">
        <v>189</v>
      </c>
      <c r="E374" s="21" t="s">
        <v>163</v>
      </c>
      <c r="F374" s="21"/>
      <c r="G374" s="27">
        <f>G375</f>
        <v>6754.9</v>
      </c>
      <c r="H374" s="195"/>
    </row>
    <row r="375" spans="1:8" ht="47.25">
      <c r="A375" s="26" t="s">
        <v>164</v>
      </c>
      <c r="B375" s="17">
        <v>903</v>
      </c>
      <c r="C375" s="21" t="s">
        <v>338</v>
      </c>
      <c r="D375" s="21" t="s">
        <v>189</v>
      </c>
      <c r="E375" s="21" t="s">
        <v>165</v>
      </c>
      <c r="F375" s="21"/>
      <c r="G375" s="27">
        <f>G376+G378</f>
        <v>6754.9</v>
      </c>
      <c r="H375" s="195"/>
    </row>
    <row r="376" spans="1:8" ht="94.5">
      <c r="A376" s="26" t="s">
        <v>166</v>
      </c>
      <c r="B376" s="17">
        <v>903</v>
      </c>
      <c r="C376" s="21" t="s">
        <v>338</v>
      </c>
      <c r="D376" s="21" t="s">
        <v>189</v>
      </c>
      <c r="E376" s="21" t="s">
        <v>165</v>
      </c>
      <c r="F376" s="21" t="s">
        <v>167</v>
      </c>
      <c r="G376" s="27">
        <f>G377</f>
        <v>6754.9</v>
      </c>
      <c r="H376" s="195"/>
    </row>
    <row r="377" spans="1:8" ht="31.5">
      <c r="A377" s="26" t="s">
        <v>168</v>
      </c>
      <c r="B377" s="17">
        <v>903</v>
      </c>
      <c r="C377" s="21" t="s">
        <v>338</v>
      </c>
      <c r="D377" s="21" t="s">
        <v>189</v>
      </c>
      <c r="E377" s="21" t="s">
        <v>165</v>
      </c>
      <c r="F377" s="21" t="s">
        <v>169</v>
      </c>
      <c r="G377" s="28">
        <v>6754.9</v>
      </c>
      <c r="H377" s="195"/>
    </row>
    <row r="378" spans="1:8" ht="31.5" hidden="1">
      <c r="A378" s="26" t="s">
        <v>170</v>
      </c>
      <c r="B378" s="17">
        <v>903</v>
      </c>
      <c r="C378" s="21" t="s">
        <v>338</v>
      </c>
      <c r="D378" s="21" t="s">
        <v>189</v>
      </c>
      <c r="E378" s="21" t="s">
        <v>165</v>
      </c>
      <c r="F378" s="21" t="s">
        <v>171</v>
      </c>
      <c r="G378" s="27">
        <f>G379</f>
        <v>0</v>
      </c>
      <c r="H378" s="195"/>
    </row>
    <row r="379" spans="1:8" ht="47.25" hidden="1">
      <c r="A379" s="26" t="s">
        <v>172</v>
      </c>
      <c r="B379" s="17">
        <v>903</v>
      </c>
      <c r="C379" s="21" t="s">
        <v>338</v>
      </c>
      <c r="D379" s="21" t="s">
        <v>189</v>
      </c>
      <c r="E379" s="21" t="s">
        <v>165</v>
      </c>
      <c r="F379" s="21" t="s">
        <v>173</v>
      </c>
      <c r="G379" s="27"/>
      <c r="H379" s="195"/>
    </row>
    <row r="380" spans="1:8" ht="15.75">
      <c r="A380" s="26" t="s">
        <v>180</v>
      </c>
      <c r="B380" s="17">
        <v>903</v>
      </c>
      <c r="C380" s="21" t="s">
        <v>338</v>
      </c>
      <c r="D380" s="21" t="s">
        <v>189</v>
      </c>
      <c r="E380" s="21" t="s">
        <v>181</v>
      </c>
      <c r="F380" s="21"/>
      <c r="G380" s="27">
        <f>G381</f>
        <v>10393.9</v>
      </c>
      <c r="H380" s="195"/>
    </row>
    <row r="381" spans="1:11" ht="31.5">
      <c r="A381" s="26" t="s">
        <v>379</v>
      </c>
      <c r="B381" s="17">
        <v>903</v>
      </c>
      <c r="C381" s="21" t="s">
        <v>338</v>
      </c>
      <c r="D381" s="21" t="s">
        <v>189</v>
      </c>
      <c r="E381" s="21" t="s">
        <v>380</v>
      </c>
      <c r="F381" s="21"/>
      <c r="G381" s="27">
        <f>G382+G384+G386</f>
        <v>10393.9</v>
      </c>
      <c r="H381" s="195"/>
      <c r="J381" s="373"/>
      <c r="K381" s="373"/>
    </row>
    <row r="382" spans="1:11" ht="94.5">
      <c r="A382" s="26" t="s">
        <v>166</v>
      </c>
      <c r="B382" s="17">
        <v>903</v>
      </c>
      <c r="C382" s="21" t="s">
        <v>338</v>
      </c>
      <c r="D382" s="21" t="s">
        <v>189</v>
      </c>
      <c r="E382" s="21" t="s">
        <v>380</v>
      </c>
      <c r="F382" s="21" t="s">
        <v>167</v>
      </c>
      <c r="G382" s="27">
        <f>G383</f>
        <v>8721.4</v>
      </c>
      <c r="H382" s="195"/>
      <c r="J382" s="373"/>
      <c r="K382" s="373"/>
    </row>
    <row r="383" spans="1:11" ht="31.5">
      <c r="A383" s="26" t="s">
        <v>381</v>
      </c>
      <c r="B383" s="17">
        <v>903</v>
      </c>
      <c r="C383" s="21" t="s">
        <v>338</v>
      </c>
      <c r="D383" s="21" t="s">
        <v>189</v>
      </c>
      <c r="E383" s="21" t="s">
        <v>380</v>
      </c>
      <c r="F383" s="21" t="s">
        <v>248</v>
      </c>
      <c r="G383" s="28">
        <f>8596.3-84.9+210</f>
        <v>8721.4</v>
      </c>
      <c r="H383" s="126"/>
      <c r="I383" s="144"/>
      <c r="J383" s="373"/>
      <c r="K383" s="373"/>
    </row>
    <row r="384" spans="1:11" ht="31.5">
      <c r="A384" s="26" t="s">
        <v>170</v>
      </c>
      <c r="B384" s="17">
        <v>903</v>
      </c>
      <c r="C384" s="21" t="s">
        <v>338</v>
      </c>
      <c r="D384" s="21" t="s">
        <v>189</v>
      </c>
      <c r="E384" s="21" t="s">
        <v>380</v>
      </c>
      <c r="F384" s="21" t="s">
        <v>171</v>
      </c>
      <c r="G384" s="27">
        <f>G385</f>
        <v>1652.5</v>
      </c>
      <c r="H384" s="195"/>
      <c r="J384" s="373"/>
      <c r="K384" s="373"/>
    </row>
    <row r="385" spans="1:11" ht="47.25">
      <c r="A385" s="26" t="s">
        <v>172</v>
      </c>
      <c r="B385" s="17">
        <v>903</v>
      </c>
      <c r="C385" s="21" t="s">
        <v>338</v>
      </c>
      <c r="D385" s="21" t="s">
        <v>189</v>
      </c>
      <c r="E385" s="21" t="s">
        <v>380</v>
      </c>
      <c r="F385" s="21" t="s">
        <v>173</v>
      </c>
      <c r="G385" s="28">
        <f>1663.9+135.6-147</f>
        <v>1652.5</v>
      </c>
      <c r="H385" s="126"/>
      <c r="I385" s="145"/>
      <c r="J385" s="373"/>
      <c r="K385" s="373"/>
    </row>
    <row r="386" spans="1:11" ht="15.75">
      <c r="A386" s="26" t="s">
        <v>174</v>
      </c>
      <c r="B386" s="17">
        <v>903</v>
      </c>
      <c r="C386" s="21" t="s">
        <v>338</v>
      </c>
      <c r="D386" s="21" t="s">
        <v>189</v>
      </c>
      <c r="E386" s="21" t="s">
        <v>380</v>
      </c>
      <c r="F386" s="21" t="s">
        <v>184</v>
      </c>
      <c r="G386" s="27">
        <f>G387</f>
        <v>20</v>
      </c>
      <c r="H386" s="195"/>
      <c r="J386" s="373"/>
      <c r="K386" s="373"/>
    </row>
    <row r="387" spans="1:11" ht="15.75">
      <c r="A387" s="26" t="s">
        <v>608</v>
      </c>
      <c r="B387" s="17">
        <v>903</v>
      </c>
      <c r="C387" s="21" t="s">
        <v>338</v>
      </c>
      <c r="D387" s="21" t="s">
        <v>189</v>
      </c>
      <c r="E387" s="21" t="s">
        <v>380</v>
      </c>
      <c r="F387" s="21" t="s">
        <v>177</v>
      </c>
      <c r="G387" s="27">
        <v>20</v>
      </c>
      <c r="H387" s="195"/>
      <c r="J387" s="373"/>
      <c r="K387" s="373"/>
    </row>
    <row r="388" spans="1:8" ht="15.75">
      <c r="A388" s="24" t="s">
        <v>282</v>
      </c>
      <c r="B388" s="20">
        <v>903</v>
      </c>
      <c r="C388" s="25" t="s">
        <v>283</v>
      </c>
      <c r="D388" s="25"/>
      <c r="E388" s="25"/>
      <c r="F388" s="25"/>
      <c r="G388" s="22">
        <f>G389</f>
        <v>4625</v>
      </c>
      <c r="H388" s="195"/>
    </row>
    <row r="389" spans="1:8" ht="15.75">
      <c r="A389" s="24" t="s">
        <v>291</v>
      </c>
      <c r="B389" s="20">
        <v>903</v>
      </c>
      <c r="C389" s="25" t="s">
        <v>283</v>
      </c>
      <c r="D389" s="25" t="s">
        <v>254</v>
      </c>
      <c r="E389" s="25"/>
      <c r="F389" s="25"/>
      <c r="G389" s="22">
        <f>G390+G443</f>
        <v>4625</v>
      </c>
      <c r="H389" s="195"/>
    </row>
    <row r="390" spans="1:8" ht="47.25">
      <c r="A390" s="26" t="s">
        <v>382</v>
      </c>
      <c r="B390" s="17">
        <v>903</v>
      </c>
      <c r="C390" s="21" t="s">
        <v>283</v>
      </c>
      <c r="D390" s="21" t="s">
        <v>254</v>
      </c>
      <c r="E390" s="21" t="s">
        <v>383</v>
      </c>
      <c r="F390" s="21"/>
      <c r="G390" s="27">
        <f>G391+G399+G403+G407+G413+G417+G421+G439</f>
        <v>3693</v>
      </c>
      <c r="H390" s="195"/>
    </row>
    <row r="391" spans="1:8" ht="31.5">
      <c r="A391" s="26" t="s">
        <v>384</v>
      </c>
      <c r="B391" s="17">
        <v>903</v>
      </c>
      <c r="C391" s="21" t="s">
        <v>283</v>
      </c>
      <c r="D391" s="21" t="s">
        <v>254</v>
      </c>
      <c r="E391" s="21" t="s">
        <v>385</v>
      </c>
      <c r="F391" s="21"/>
      <c r="G391" s="27">
        <f>G392+G396</f>
        <v>935</v>
      </c>
      <c r="H391" s="195"/>
    </row>
    <row r="392" spans="1:8" ht="31.5">
      <c r="A392" s="26" t="s">
        <v>170</v>
      </c>
      <c r="B392" s="17">
        <v>903</v>
      </c>
      <c r="C392" s="21" t="s">
        <v>283</v>
      </c>
      <c r="D392" s="21" t="s">
        <v>254</v>
      </c>
      <c r="E392" s="21" t="s">
        <v>386</v>
      </c>
      <c r="F392" s="21" t="s">
        <v>171</v>
      </c>
      <c r="G392" s="27">
        <f>G393</f>
        <v>666.4</v>
      </c>
      <c r="H392" s="195"/>
    </row>
    <row r="393" spans="1:8" ht="47.25">
      <c r="A393" s="26" t="s">
        <v>172</v>
      </c>
      <c r="B393" s="17">
        <v>903</v>
      </c>
      <c r="C393" s="21" t="s">
        <v>283</v>
      </c>
      <c r="D393" s="21" t="s">
        <v>254</v>
      </c>
      <c r="E393" s="21" t="s">
        <v>386</v>
      </c>
      <c r="F393" s="21" t="s">
        <v>173</v>
      </c>
      <c r="G393" s="27">
        <f>669.4-3</f>
        <v>666.4</v>
      </c>
      <c r="H393" s="195"/>
    </row>
    <row r="394" spans="1:8" ht="31.5" hidden="1">
      <c r="A394" s="26" t="s">
        <v>287</v>
      </c>
      <c r="B394" s="17">
        <v>903</v>
      </c>
      <c r="C394" s="21" t="s">
        <v>283</v>
      </c>
      <c r="D394" s="21" t="s">
        <v>254</v>
      </c>
      <c r="E394" s="21" t="s">
        <v>386</v>
      </c>
      <c r="F394" s="21" t="s">
        <v>288</v>
      </c>
      <c r="G394" s="27">
        <f>G395</f>
        <v>0</v>
      </c>
      <c r="H394" s="195"/>
    </row>
    <row r="395" spans="1:8" ht="31.5" hidden="1">
      <c r="A395" s="26" t="s">
        <v>387</v>
      </c>
      <c r="B395" s="17">
        <v>903</v>
      </c>
      <c r="C395" s="21" t="s">
        <v>283</v>
      </c>
      <c r="D395" s="21" t="s">
        <v>254</v>
      </c>
      <c r="E395" s="21" t="s">
        <v>386</v>
      </c>
      <c r="F395" s="21" t="s">
        <v>388</v>
      </c>
      <c r="G395" s="27">
        <v>0</v>
      </c>
      <c r="H395" s="195"/>
    </row>
    <row r="396" spans="1:8" ht="31.5">
      <c r="A396" s="26" t="s">
        <v>389</v>
      </c>
      <c r="B396" s="17">
        <v>903</v>
      </c>
      <c r="C396" s="21" t="s">
        <v>283</v>
      </c>
      <c r="D396" s="21" t="s">
        <v>254</v>
      </c>
      <c r="E396" s="21" t="s">
        <v>390</v>
      </c>
      <c r="F396" s="21"/>
      <c r="G396" s="27">
        <f>G397</f>
        <v>268.6</v>
      </c>
      <c r="H396" s="195"/>
    </row>
    <row r="397" spans="1:8" ht="47.25">
      <c r="A397" s="26" t="s">
        <v>311</v>
      </c>
      <c r="B397" s="17">
        <v>903</v>
      </c>
      <c r="C397" s="21" t="s">
        <v>283</v>
      </c>
      <c r="D397" s="21" t="s">
        <v>254</v>
      </c>
      <c r="E397" s="21" t="s">
        <v>390</v>
      </c>
      <c r="F397" s="21" t="s">
        <v>312</v>
      </c>
      <c r="G397" s="27">
        <f>G398</f>
        <v>268.6</v>
      </c>
      <c r="H397" s="195"/>
    </row>
    <row r="398" spans="1:8" ht="15.75">
      <c r="A398" s="26" t="s">
        <v>313</v>
      </c>
      <c r="B398" s="17">
        <v>903</v>
      </c>
      <c r="C398" s="21" t="s">
        <v>283</v>
      </c>
      <c r="D398" s="21" t="s">
        <v>254</v>
      </c>
      <c r="E398" s="21" t="s">
        <v>390</v>
      </c>
      <c r="F398" s="21" t="s">
        <v>314</v>
      </c>
      <c r="G398" s="27">
        <f>160.5+108.1</f>
        <v>268.6</v>
      </c>
      <c r="H398" s="126"/>
    </row>
    <row r="399" spans="1:8" ht="31.5">
      <c r="A399" s="26" t="s">
        <v>391</v>
      </c>
      <c r="B399" s="17">
        <v>903</v>
      </c>
      <c r="C399" s="21" t="s">
        <v>283</v>
      </c>
      <c r="D399" s="21" t="s">
        <v>254</v>
      </c>
      <c r="E399" s="21" t="s">
        <v>392</v>
      </c>
      <c r="F399" s="21"/>
      <c r="G399" s="27">
        <f>G400</f>
        <v>63</v>
      </c>
      <c r="H399" s="195"/>
    </row>
    <row r="400" spans="1:8" ht="31.5">
      <c r="A400" s="26" t="s">
        <v>196</v>
      </c>
      <c r="B400" s="17">
        <v>903</v>
      </c>
      <c r="C400" s="21" t="s">
        <v>283</v>
      </c>
      <c r="D400" s="21" t="s">
        <v>254</v>
      </c>
      <c r="E400" s="21" t="s">
        <v>393</v>
      </c>
      <c r="F400" s="21"/>
      <c r="G400" s="27">
        <f>G401</f>
        <v>63</v>
      </c>
      <c r="H400" s="195"/>
    </row>
    <row r="401" spans="1:8" ht="31.5">
      <c r="A401" s="26" t="s">
        <v>287</v>
      </c>
      <c r="B401" s="17">
        <v>903</v>
      </c>
      <c r="C401" s="21" t="s">
        <v>283</v>
      </c>
      <c r="D401" s="21" t="s">
        <v>254</v>
      </c>
      <c r="E401" s="21" t="s">
        <v>393</v>
      </c>
      <c r="F401" s="21" t="s">
        <v>288</v>
      </c>
      <c r="G401" s="27">
        <f>G402</f>
        <v>63</v>
      </c>
      <c r="H401" s="195"/>
    </row>
    <row r="402" spans="1:8" ht="31.5">
      <c r="A402" s="26" t="s">
        <v>289</v>
      </c>
      <c r="B402" s="17">
        <v>903</v>
      </c>
      <c r="C402" s="21" t="s">
        <v>283</v>
      </c>
      <c r="D402" s="21" t="s">
        <v>254</v>
      </c>
      <c r="E402" s="21" t="s">
        <v>393</v>
      </c>
      <c r="F402" s="21" t="s">
        <v>290</v>
      </c>
      <c r="G402" s="27">
        <f>60+3</f>
        <v>63</v>
      </c>
      <c r="H402" s="195"/>
    </row>
    <row r="403" spans="1:8" ht="31.5">
      <c r="A403" s="26" t="s">
        <v>394</v>
      </c>
      <c r="B403" s="17">
        <v>903</v>
      </c>
      <c r="C403" s="17">
        <v>10</v>
      </c>
      <c r="D403" s="21" t="s">
        <v>254</v>
      </c>
      <c r="E403" s="21" t="s">
        <v>395</v>
      </c>
      <c r="F403" s="21"/>
      <c r="G403" s="27">
        <f>G404</f>
        <v>420</v>
      </c>
      <c r="H403" s="195"/>
    </row>
    <row r="404" spans="1:8" ht="31.5">
      <c r="A404" s="26" t="s">
        <v>196</v>
      </c>
      <c r="B404" s="17">
        <v>903</v>
      </c>
      <c r="C404" s="21" t="s">
        <v>283</v>
      </c>
      <c r="D404" s="21" t="s">
        <v>254</v>
      </c>
      <c r="E404" s="21" t="s">
        <v>396</v>
      </c>
      <c r="F404" s="21"/>
      <c r="G404" s="27">
        <f>G405</f>
        <v>420</v>
      </c>
      <c r="H404" s="195"/>
    </row>
    <row r="405" spans="1:8" ht="31.5">
      <c r="A405" s="26" t="s">
        <v>287</v>
      </c>
      <c r="B405" s="17">
        <v>903</v>
      </c>
      <c r="C405" s="21" t="s">
        <v>283</v>
      </c>
      <c r="D405" s="21" t="s">
        <v>254</v>
      </c>
      <c r="E405" s="21" t="s">
        <v>396</v>
      </c>
      <c r="F405" s="21" t="s">
        <v>288</v>
      </c>
      <c r="G405" s="27">
        <f>G406</f>
        <v>420</v>
      </c>
      <c r="H405" s="195"/>
    </row>
    <row r="406" spans="1:8" ht="31.5">
      <c r="A406" s="26" t="s">
        <v>387</v>
      </c>
      <c r="B406" s="17">
        <v>903</v>
      </c>
      <c r="C406" s="21" t="s">
        <v>283</v>
      </c>
      <c r="D406" s="21" t="s">
        <v>254</v>
      </c>
      <c r="E406" s="21" t="s">
        <v>396</v>
      </c>
      <c r="F406" s="21" t="s">
        <v>388</v>
      </c>
      <c r="G406" s="27">
        <v>420</v>
      </c>
      <c r="H406" s="195"/>
    </row>
    <row r="407" spans="1:8" ht="15.75">
      <c r="A407" s="26" t="s">
        <v>397</v>
      </c>
      <c r="B407" s="17">
        <v>903</v>
      </c>
      <c r="C407" s="17">
        <v>10</v>
      </c>
      <c r="D407" s="21" t="s">
        <v>254</v>
      </c>
      <c r="E407" s="21" t="s">
        <v>398</v>
      </c>
      <c r="F407" s="21"/>
      <c r="G407" s="27">
        <f>G408</f>
        <v>1595</v>
      </c>
      <c r="H407" s="195"/>
    </row>
    <row r="408" spans="1:8" ht="31.5">
      <c r="A408" s="26" t="s">
        <v>196</v>
      </c>
      <c r="B408" s="17">
        <v>903</v>
      </c>
      <c r="C408" s="21" t="s">
        <v>283</v>
      </c>
      <c r="D408" s="21" t="s">
        <v>254</v>
      </c>
      <c r="E408" s="21" t="s">
        <v>399</v>
      </c>
      <c r="F408" s="21"/>
      <c r="G408" s="27">
        <f>G409+G411</f>
        <v>1595</v>
      </c>
      <c r="H408" s="195"/>
    </row>
    <row r="409" spans="1:8" ht="31.5">
      <c r="A409" s="26" t="s">
        <v>170</v>
      </c>
      <c r="B409" s="17">
        <v>903</v>
      </c>
      <c r="C409" s="21" t="s">
        <v>283</v>
      </c>
      <c r="D409" s="21" t="s">
        <v>254</v>
      </c>
      <c r="E409" s="21" t="s">
        <v>399</v>
      </c>
      <c r="F409" s="21" t="s">
        <v>171</v>
      </c>
      <c r="G409" s="27">
        <f>G410</f>
        <v>547</v>
      </c>
      <c r="H409" s="195"/>
    </row>
    <row r="410" spans="1:8" ht="47.25">
      <c r="A410" s="26" t="s">
        <v>172</v>
      </c>
      <c r="B410" s="17">
        <v>903</v>
      </c>
      <c r="C410" s="21" t="s">
        <v>283</v>
      </c>
      <c r="D410" s="21" t="s">
        <v>254</v>
      </c>
      <c r="E410" s="21" t="s">
        <v>399</v>
      </c>
      <c r="F410" s="21" t="s">
        <v>173</v>
      </c>
      <c r="G410" s="180">
        <f>552-50+45</f>
        <v>547</v>
      </c>
      <c r="H410" s="175" t="s">
        <v>818</v>
      </c>
    </row>
    <row r="411" spans="1:8" ht="31.5">
      <c r="A411" s="26" t="s">
        <v>287</v>
      </c>
      <c r="B411" s="17">
        <v>903</v>
      </c>
      <c r="C411" s="21" t="s">
        <v>283</v>
      </c>
      <c r="D411" s="21" t="s">
        <v>254</v>
      </c>
      <c r="E411" s="21" t="s">
        <v>399</v>
      </c>
      <c r="F411" s="21" t="s">
        <v>288</v>
      </c>
      <c r="G411" s="27">
        <f>G412</f>
        <v>1048</v>
      </c>
      <c r="H411" s="195"/>
    </row>
    <row r="412" spans="1:8" ht="31.5">
      <c r="A412" s="26" t="s">
        <v>387</v>
      </c>
      <c r="B412" s="17">
        <v>903</v>
      </c>
      <c r="C412" s="21" t="s">
        <v>283</v>
      </c>
      <c r="D412" s="21" t="s">
        <v>254</v>
      </c>
      <c r="E412" s="21" t="s">
        <v>399</v>
      </c>
      <c r="F412" s="21" t="s">
        <v>388</v>
      </c>
      <c r="G412" s="27">
        <v>1048</v>
      </c>
      <c r="H412" s="195"/>
    </row>
    <row r="413" spans="1:8" ht="47.25">
      <c r="A413" s="26" t="s">
        <v>400</v>
      </c>
      <c r="B413" s="17">
        <v>903</v>
      </c>
      <c r="C413" s="21" t="s">
        <v>283</v>
      </c>
      <c r="D413" s="21" t="s">
        <v>254</v>
      </c>
      <c r="E413" s="21" t="s">
        <v>401</v>
      </c>
      <c r="F413" s="21"/>
      <c r="G413" s="27">
        <f>G414</f>
        <v>335</v>
      </c>
      <c r="H413" s="195"/>
    </row>
    <row r="414" spans="1:8" ht="31.5">
      <c r="A414" s="26" t="s">
        <v>196</v>
      </c>
      <c r="B414" s="17">
        <v>903</v>
      </c>
      <c r="C414" s="21" t="s">
        <v>283</v>
      </c>
      <c r="D414" s="21" t="s">
        <v>254</v>
      </c>
      <c r="E414" s="21" t="s">
        <v>402</v>
      </c>
      <c r="F414" s="21"/>
      <c r="G414" s="27">
        <f>G415</f>
        <v>335</v>
      </c>
      <c r="H414" s="195"/>
    </row>
    <row r="415" spans="1:8" ht="31.5">
      <c r="A415" s="26" t="s">
        <v>287</v>
      </c>
      <c r="B415" s="17">
        <v>903</v>
      </c>
      <c r="C415" s="21" t="s">
        <v>283</v>
      </c>
      <c r="D415" s="21" t="s">
        <v>254</v>
      </c>
      <c r="E415" s="21" t="s">
        <v>402</v>
      </c>
      <c r="F415" s="21" t="s">
        <v>288</v>
      </c>
      <c r="G415" s="27">
        <f>G416</f>
        <v>335</v>
      </c>
      <c r="H415" s="195"/>
    </row>
    <row r="416" spans="1:8" ht="31.5">
      <c r="A416" s="26" t="s">
        <v>387</v>
      </c>
      <c r="B416" s="17">
        <v>903</v>
      </c>
      <c r="C416" s="21" t="s">
        <v>283</v>
      </c>
      <c r="D416" s="21" t="s">
        <v>254</v>
      </c>
      <c r="E416" s="21" t="s">
        <v>402</v>
      </c>
      <c r="F416" s="21" t="s">
        <v>388</v>
      </c>
      <c r="G416" s="27">
        <f>400-65</f>
        <v>335</v>
      </c>
      <c r="H416" s="195"/>
    </row>
    <row r="417" spans="1:8" ht="63">
      <c r="A417" s="26" t="s">
        <v>403</v>
      </c>
      <c r="B417" s="17">
        <v>903</v>
      </c>
      <c r="C417" s="21" t="s">
        <v>283</v>
      </c>
      <c r="D417" s="21" t="s">
        <v>254</v>
      </c>
      <c r="E417" s="21" t="s">
        <v>404</v>
      </c>
      <c r="F417" s="21"/>
      <c r="G417" s="27">
        <f>G418</f>
        <v>210</v>
      </c>
      <c r="H417" s="195"/>
    </row>
    <row r="418" spans="1:8" ht="31.5">
      <c r="A418" s="26" t="s">
        <v>196</v>
      </c>
      <c r="B418" s="17">
        <v>903</v>
      </c>
      <c r="C418" s="21" t="s">
        <v>283</v>
      </c>
      <c r="D418" s="21" t="s">
        <v>254</v>
      </c>
      <c r="E418" s="21" t="s">
        <v>405</v>
      </c>
      <c r="F418" s="21"/>
      <c r="G418" s="27">
        <f>G419</f>
        <v>210</v>
      </c>
      <c r="H418" s="195"/>
    </row>
    <row r="419" spans="1:8" ht="31.5">
      <c r="A419" s="26" t="s">
        <v>170</v>
      </c>
      <c r="B419" s="17">
        <v>903</v>
      </c>
      <c r="C419" s="21" t="s">
        <v>283</v>
      </c>
      <c r="D419" s="21" t="s">
        <v>254</v>
      </c>
      <c r="E419" s="21" t="s">
        <v>405</v>
      </c>
      <c r="F419" s="21" t="s">
        <v>171</v>
      </c>
      <c r="G419" s="27">
        <f>G420</f>
        <v>210</v>
      </c>
      <c r="H419" s="195"/>
    </row>
    <row r="420" spans="1:8" ht="47.25">
      <c r="A420" s="26" t="s">
        <v>172</v>
      </c>
      <c r="B420" s="17">
        <v>903</v>
      </c>
      <c r="C420" s="21" t="s">
        <v>283</v>
      </c>
      <c r="D420" s="21" t="s">
        <v>254</v>
      </c>
      <c r="E420" s="21" t="s">
        <v>405</v>
      </c>
      <c r="F420" s="21" t="s">
        <v>173</v>
      </c>
      <c r="G420" s="27">
        <f>150+60</f>
        <v>210</v>
      </c>
      <c r="H420" s="195"/>
    </row>
    <row r="421" spans="1:8" ht="63">
      <c r="A421" s="26" t="s">
        <v>406</v>
      </c>
      <c r="B421" s="17">
        <v>903</v>
      </c>
      <c r="C421" s="21" t="s">
        <v>283</v>
      </c>
      <c r="D421" s="21" t="s">
        <v>254</v>
      </c>
      <c r="E421" s="21" t="s">
        <v>407</v>
      </c>
      <c r="F421" s="21"/>
      <c r="G421" s="27">
        <f>G422+G434+G428+G431</f>
        <v>30</v>
      </c>
      <c r="H421" s="195"/>
    </row>
    <row r="422" spans="1:8" ht="47.25" customHeight="1">
      <c r="A422" s="26" t="s">
        <v>408</v>
      </c>
      <c r="B422" s="17">
        <v>903</v>
      </c>
      <c r="C422" s="21" t="s">
        <v>283</v>
      </c>
      <c r="D422" s="21" t="s">
        <v>254</v>
      </c>
      <c r="E422" s="21" t="s">
        <v>409</v>
      </c>
      <c r="F422" s="21"/>
      <c r="G422" s="27">
        <f>G423</f>
        <v>20</v>
      </c>
      <c r="H422" s="195"/>
    </row>
    <row r="423" spans="1:8" ht="47.25">
      <c r="A423" s="26" t="s">
        <v>311</v>
      </c>
      <c r="B423" s="17">
        <v>903</v>
      </c>
      <c r="C423" s="21" t="s">
        <v>283</v>
      </c>
      <c r="D423" s="21" t="s">
        <v>254</v>
      </c>
      <c r="E423" s="21" t="s">
        <v>409</v>
      </c>
      <c r="F423" s="21" t="s">
        <v>312</v>
      </c>
      <c r="G423" s="27">
        <f>G424</f>
        <v>20</v>
      </c>
      <c r="H423" s="195"/>
    </row>
    <row r="424" spans="1:8" ht="63">
      <c r="A424" s="41" t="s">
        <v>410</v>
      </c>
      <c r="B424" s="17">
        <v>903</v>
      </c>
      <c r="C424" s="21" t="s">
        <v>283</v>
      </c>
      <c r="D424" s="21" t="s">
        <v>254</v>
      </c>
      <c r="E424" s="21" t="s">
        <v>409</v>
      </c>
      <c r="F424" s="21" t="s">
        <v>411</v>
      </c>
      <c r="G424" s="27">
        <f>30-10</f>
        <v>20</v>
      </c>
      <c r="H424" s="126"/>
    </row>
    <row r="425" spans="1:8" ht="15.75" hidden="1">
      <c r="A425" s="41"/>
      <c r="B425" s="17"/>
      <c r="C425" s="21"/>
      <c r="D425" s="21"/>
      <c r="E425" s="21"/>
      <c r="F425" s="21"/>
      <c r="G425" s="27"/>
      <c r="H425" s="128"/>
    </row>
    <row r="426" spans="1:8" ht="15.75" hidden="1">
      <c r="A426" s="41"/>
      <c r="B426" s="17"/>
      <c r="C426" s="21"/>
      <c r="D426" s="21"/>
      <c r="E426" s="21"/>
      <c r="F426" s="21"/>
      <c r="G426" s="27"/>
      <c r="H426" s="128"/>
    </row>
    <row r="427" spans="1:8" ht="15.75" hidden="1">
      <c r="A427" s="41"/>
      <c r="B427" s="17"/>
      <c r="C427" s="21"/>
      <c r="D427" s="21"/>
      <c r="E427" s="21"/>
      <c r="F427" s="21"/>
      <c r="G427" s="27"/>
      <c r="H427" s="128"/>
    </row>
    <row r="428" spans="1:8" ht="126" hidden="1">
      <c r="A428" s="26" t="s">
        <v>412</v>
      </c>
      <c r="B428" s="17">
        <v>903</v>
      </c>
      <c r="C428" s="21" t="s">
        <v>283</v>
      </c>
      <c r="D428" s="21" t="s">
        <v>254</v>
      </c>
      <c r="E428" s="21" t="s">
        <v>413</v>
      </c>
      <c r="F428" s="21"/>
      <c r="G428" s="27">
        <f>G429</f>
        <v>0</v>
      </c>
      <c r="H428" s="195"/>
    </row>
    <row r="429" spans="1:8" ht="15.75" hidden="1">
      <c r="A429" s="26" t="s">
        <v>174</v>
      </c>
      <c r="B429" s="17">
        <v>903</v>
      </c>
      <c r="C429" s="21" t="s">
        <v>283</v>
      </c>
      <c r="D429" s="21" t="s">
        <v>254</v>
      </c>
      <c r="E429" s="21" t="s">
        <v>413</v>
      </c>
      <c r="F429" s="21" t="s">
        <v>184</v>
      </c>
      <c r="G429" s="27">
        <f>G430</f>
        <v>0</v>
      </c>
      <c r="H429" s="195"/>
    </row>
    <row r="430" spans="1:8" ht="63" hidden="1">
      <c r="A430" s="26" t="s">
        <v>223</v>
      </c>
      <c r="B430" s="17">
        <v>903</v>
      </c>
      <c r="C430" s="21" t="s">
        <v>283</v>
      </c>
      <c r="D430" s="21" t="s">
        <v>254</v>
      </c>
      <c r="E430" s="21" t="s">
        <v>413</v>
      </c>
      <c r="F430" s="21" t="s">
        <v>199</v>
      </c>
      <c r="G430" s="27">
        <v>0</v>
      </c>
      <c r="H430" s="195"/>
    </row>
    <row r="431" spans="1:8" ht="63">
      <c r="A431" s="26" t="s">
        <v>414</v>
      </c>
      <c r="B431" s="17">
        <v>903</v>
      </c>
      <c r="C431" s="21" t="s">
        <v>283</v>
      </c>
      <c r="D431" s="21" t="s">
        <v>254</v>
      </c>
      <c r="E431" s="21" t="s">
        <v>415</v>
      </c>
      <c r="F431" s="21"/>
      <c r="G431" s="27">
        <f>G432</f>
        <v>10</v>
      </c>
      <c r="H431" s="195"/>
    </row>
    <row r="432" spans="1:8" ht="31.5">
      <c r="A432" s="26" t="s">
        <v>287</v>
      </c>
      <c r="B432" s="17">
        <v>903</v>
      </c>
      <c r="C432" s="21" t="s">
        <v>283</v>
      </c>
      <c r="D432" s="21" t="s">
        <v>254</v>
      </c>
      <c r="E432" s="21" t="s">
        <v>415</v>
      </c>
      <c r="F432" s="21" t="s">
        <v>288</v>
      </c>
      <c r="G432" s="27">
        <f>G433</f>
        <v>10</v>
      </c>
      <c r="H432" s="195"/>
    </row>
    <row r="433" spans="1:8" ht="31.5">
      <c r="A433" s="26" t="s">
        <v>289</v>
      </c>
      <c r="B433" s="17">
        <v>903</v>
      </c>
      <c r="C433" s="21" t="s">
        <v>283</v>
      </c>
      <c r="D433" s="21" t="s">
        <v>254</v>
      </c>
      <c r="E433" s="21" t="s">
        <v>415</v>
      </c>
      <c r="F433" s="21" t="s">
        <v>290</v>
      </c>
      <c r="G433" s="27">
        <v>10</v>
      </c>
      <c r="H433" s="126"/>
    </row>
    <row r="434" spans="1:8" ht="31.5" hidden="1">
      <c r="A434" s="26" t="s">
        <v>416</v>
      </c>
      <c r="B434" s="17">
        <v>903</v>
      </c>
      <c r="C434" s="21" t="s">
        <v>283</v>
      </c>
      <c r="D434" s="21" t="s">
        <v>254</v>
      </c>
      <c r="E434" s="21" t="s">
        <v>417</v>
      </c>
      <c r="F434" s="21"/>
      <c r="G434" s="27">
        <f>G435+G437</f>
        <v>0</v>
      </c>
      <c r="H434" s="195"/>
    </row>
    <row r="435" spans="1:8" ht="31.5" hidden="1">
      <c r="A435" s="26" t="s">
        <v>170</v>
      </c>
      <c r="B435" s="17">
        <v>903</v>
      </c>
      <c r="C435" s="21" t="s">
        <v>283</v>
      </c>
      <c r="D435" s="21" t="s">
        <v>254</v>
      </c>
      <c r="E435" s="21" t="s">
        <v>417</v>
      </c>
      <c r="F435" s="21" t="s">
        <v>171</v>
      </c>
      <c r="G435" s="27">
        <f>G436</f>
        <v>0</v>
      </c>
      <c r="H435" s="195"/>
    </row>
    <row r="436" spans="1:8" ht="47.25" hidden="1">
      <c r="A436" s="26" t="s">
        <v>172</v>
      </c>
      <c r="B436" s="17">
        <v>903</v>
      </c>
      <c r="C436" s="21" t="s">
        <v>283</v>
      </c>
      <c r="D436" s="21" t="s">
        <v>254</v>
      </c>
      <c r="E436" s="21" t="s">
        <v>417</v>
      </c>
      <c r="F436" s="21" t="s">
        <v>173</v>
      </c>
      <c r="G436" s="27">
        <v>0</v>
      </c>
      <c r="H436" s="195"/>
    </row>
    <row r="437" spans="1:8" ht="15.75" hidden="1">
      <c r="A437" s="26" t="s">
        <v>174</v>
      </c>
      <c r="B437" s="17">
        <v>903</v>
      </c>
      <c r="C437" s="21" t="s">
        <v>283</v>
      </c>
      <c r="D437" s="21" t="s">
        <v>254</v>
      </c>
      <c r="E437" s="21" t="s">
        <v>418</v>
      </c>
      <c r="F437" s="21" t="s">
        <v>184</v>
      </c>
      <c r="G437" s="27">
        <f>G438</f>
        <v>0</v>
      </c>
      <c r="H437" s="195"/>
    </row>
    <row r="438" spans="1:8" ht="63" hidden="1">
      <c r="A438" s="26" t="s">
        <v>223</v>
      </c>
      <c r="B438" s="17">
        <v>903</v>
      </c>
      <c r="C438" s="21" t="s">
        <v>283</v>
      </c>
      <c r="D438" s="21" t="s">
        <v>254</v>
      </c>
      <c r="E438" s="21" t="s">
        <v>418</v>
      </c>
      <c r="F438" s="21" t="s">
        <v>199</v>
      </c>
      <c r="G438" s="27">
        <v>0</v>
      </c>
      <c r="H438" s="195"/>
    </row>
    <row r="439" spans="1:8" ht="94.5">
      <c r="A439" s="31" t="s">
        <v>419</v>
      </c>
      <c r="B439" s="17">
        <v>903</v>
      </c>
      <c r="C439" s="42" t="s">
        <v>283</v>
      </c>
      <c r="D439" s="42" t="s">
        <v>254</v>
      </c>
      <c r="E439" s="42" t="s">
        <v>420</v>
      </c>
      <c r="F439" s="42"/>
      <c r="G439" s="27">
        <f>G440</f>
        <v>105</v>
      </c>
      <c r="H439" s="195"/>
    </row>
    <row r="440" spans="1:8" ht="31.5">
      <c r="A440" s="31" t="s">
        <v>196</v>
      </c>
      <c r="B440" s="17">
        <v>903</v>
      </c>
      <c r="C440" s="42" t="s">
        <v>283</v>
      </c>
      <c r="D440" s="42" t="s">
        <v>254</v>
      </c>
      <c r="E440" s="42" t="s">
        <v>421</v>
      </c>
      <c r="F440" s="42"/>
      <c r="G440" s="27">
        <f>G441</f>
        <v>105</v>
      </c>
      <c r="H440" s="195"/>
    </row>
    <row r="441" spans="1:8" ht="31.5">
      <c r="A441" s="31" t="s">
        <v>170</v>
      </c>
      <c r="B441" s="17">
        <v>903</v>
      </c>
      <c r="C441" s="42" t="s">
        <v>283</v>
      </c>
      <c r="D441" s="42" t="s">
        <v>254</v>
      </c>
      <c r="E441" s="42" t="s">
        <v>421</v>
      </c>
      <c r="F441" s="42" t="s">
        <v>171</v>
      </c>
      <c r="G441" s="27">
        <f>G442</f>
        <v>105</v>
      </c>
      <c r="H441" s="195"/>
    </row>
    <row r="442" spans="1:8" ht="47.25">
      <c r="A442" s="31" t="s">
        <v>172</v>
      </c>
      <c r="B442" s="17">
        <v>903</v>
      </c>
      <c r="C442" s="42" t="s">
        <v>283</v>
      </c>
      <c r="D442" s="42" t="s">
        <v>254</v>
      </c>
      <c r="E442" s="42" t="s">
        <v>421</v>
      </c>
      <c r="F442" s="42" t="s">
        <v>173</v>
      </c>
      <c r="G442" s="27">
        <f>50+55</f>
        <v>105</v>
      </c>
      <c r="H442" s="195"/>
    </row>
    <row r="443" spans="1:8" ht="15.75">
      <c r="A443" s="26" t="s">
        <v>160</v>
      </c>
      <c r="B443" s="17">
        <v>903</v>
      </c>
      <c r="C443" s="21" t="s">
        <v>283</v>
      </c>
      <c r="D443" s="21" t="s">
        <v>254</v>
      </c>
      <c r="E443" s="21" t="s">
        <v>161</v>
      </c>
      <c r="F443" s="21"/>
      <c r="G443" s="27">
        <f>G444+G455</f>
        <v>932</v>
      </c>
      <c r="H443" s="195"/>
    </row>
    <row r="444" spans="1:8" ht="31.5">
      <c r="A444" s="26" t="s">
        <v>224</v>
      </c>
      <c r="B444" s="17">
        <v>903</v>
      </c>
      <c r="C444" s="21" t="s">
        <v>283</v>
      </c>
      <c r="D444" s="21" t="s">
        <v>254</v>
      </c>
      <c r="E444" s="21" t="s">
        <v>225</v>
      </c>
      <c r="F444" s="21"/>
      <c r="G444" s="27">
        <f>G451+G445+G448</f>
        <v>932</v>
      </c>
      <c r="H444" s="195"/>
    </row>
    <row r="445" spans="1:8" ht="15.75">
      <c r="A445" s="26" t="s">
        <v>422</v>
      </c>
      <c r="B445" s="17">
        <v>903</v>
      </c>
      <c r="C445" s="21" t="s">
        <v>283</v>
      </c>
      <c r="D445" s="21" t="s">
        <v>254</v>
      </c>
      <c r="E445" s="21" t="s">
        <v>423</v>
      </c>
      <c r="F445" s="21"/>
      <c r="G445" s="27">
        <f>G446</f>
        <v>372.6</v>
      </c>
      <c r="H445" s="195"/>
    </row>
    <row r="446" spans="1:8" ht="31.5">
      <c r="A446" s="26" t="s">
        <v>287</v>
      </c>
      <c r="B446" s="17">
        <v>903</v>
      </c>
      <c r="C446" s="21" t="s">
        <v>283</v>
      </c>
      <c r="D446" s="21" t="s">
        <v>254</v>
      </c>
      <c r="E446" s="21" t="s">
        <v>423</v>
      </c>
      <c r="F446" s="21" t="s">
        <v>288</v>
      </c>
      <c r="G446" s="27">
        <f>G447</f>
        <v>372.6</v>
      </c>
      <c r="H446" s="195"/>
    </row>
    <row r="447" spans="1:9" ht="31.5">
      <c r="A447" s="26" t="s">
        <v>289</v>
      </c>
      <c r="B447" s="17">
        <v>903</v>
      </c>
      <c r="C447" s="21" t="s">
        <v>283</v>
      </c>
      <c r="D447" s="21" t="s">
        <v>254</v>
      </c>
      <c r="E447" s="21" t="s">
        <v>423</v>
      </c>
      <c r="F447" s="21" t="s">
        <v>290</v>
      </c>
      <c r="G447" s="27">
        <v>372.6</v>
      </c>
      <c r="H447" s="126"/>
      <c r="I447" s="144"/>
    </row>
    <row r="448" spans="1:10" ht="63">
      <c r="A448" s="26" t="s">
        <v>414</v>
      </c>
      <c r="B448" s="17">
        <v>903</v>
      </c>
      <c r="C448" s="21" t="s">
        <v>283</v>
      </c>
      <c r="D448" s="21" t="s">
        <v>254</v>
      </c>
      <c r="E448" s="21" t="s">
        <v>424</v>
      </c>
      <c r="F448" s="21"/>
      <c r="G448" s="27">
        <f>G449</f>
        <v>500</v>
      </c>
      <c r="H448" s="195"/>
      <c r="J448" s="129"/>
    </row>
    <row r="449" spans="1:10" ht="31.5">
      <c r="A449" s="26" t="s">
        <v>287</v>
      </c>
      <c r="B449" s="17">
        <v>903</v>
      </c>
      <c r="C449" s="21" t="s">
        <v>283</v>
      </c>
      <c r="D449" s="21" t="s">
        <v>254</v>
      </c>
      <c r="E449" s="21" t="s">
        <v>424</v>
      </c>
      <c r="F449" s="21" t="s">
        <v>288</v>
      </c>
      <c r="G449" s="27">
        <f>G450</f>
        <v>500</v>
      </c>
      <c r="H449" s="195"/>
      <c r="J449" s="129"/>
    </row>
    <row r="450" spans="1:10" ht="31.5">
      <c r="A450" s="26" t="s">
        <v>289</v>
      </c>
      <c r="B450" s="17">
        <v>903</v>
      </c>
      <c r="C450" s="21" t="s">
        <v>283</v>
      </c>
      <c r="D450" s="21" t="s">
        <v>254</v>
      </c>
      <c r="E450" s="21" t="s">
        <v>424</v>
      </c>
      <c r="F450" s="21" t="s">
        <v>290</v>
      </c>
      <c r="G450" s="27">
        <v>500</v>
      </c>
      <c r="H450" s="126"/>
      <c r="J450" s="129"/>
    </row>
    <row r="451" spans="1:10" ht="54" customHeight="1">
      <c r="A451" s="182" t="s">
        <v>806</v>
      </c>
      <c r="B451" s="17">
        <v>903</v>
      </c>
      <c r="C451" s="21" t="s">
        <v>283</v>
      </c>
      <c r="D451" s="21" t="s">
        <v>254</v>
      </c>
      <c r="E451" s="21" t="s">
        <v>426</v>
      </c>
      <c r="F451" s="21"/>
      <c r="G451" s="27">
        <f>G452</f>
        <v>59.4</v>
      </c>
      <c r="H451" s="195"/>
      <c r="J451" s="129"/>
    </row>
    <row r="452" spans="1:10" ht="31.5">
      <c r="A452" s="26" t="s">
        <v>287</v>
      </c>
      <c r="B452" s="17">
        <v>903</v>
      </c>
      <c r="C452" s="21" t="s">
        <v>283</v>
      </c>
      <c r="D452" s="21" t="s">
        <v>254</v>
      </c>
      <c r="E452" s="21" t="s">
        <v>426</v>
      </c>
      <c r="F452" s="21" t="s">
        <v>288</v>
      </c>
      <c r="G452" s="27">
        <f>G453+G454</f>
        <v>59.4</v>
      </c>
      <c r="H452" s="195"/>
      <c r="J452" s="129"/>
    </row>
    <row r="453" spans="1:10" ht="31.5">
      <c r="A453" s="26" t="s">
        <v>387</v>
      </c>
      <c r="B453" s="17">
        <v>903</v>
      </c>
      <c r="C453" s="21" t="s">
        <v>283</v>
      </c>
      <c r="D453" s="21" t="s">
        <v>254</v>
      </c>
      <c r="E453" s="21" t="s">
        <v>426</v>
      </c>
      <c r="F453" s="21" t="s">
        <v>388</v>
      </c>
      <c r="G453" s="180">
        <v>59.4</v>
      </c>
      <c r="H453" s="175" t="s">
        <v>796</v>
      </c>
      <c r="J453" s="129"/>
    </row>
    <row r="454" spans="1:8" ht="31.5">
      <c r="A454" s="26" t="s">
        <v>289</v>
      </c>
      <c r="B454" s="17">
        <v>903</v>
      </c>
      <c r="C454" s="21" t="s">
        <v>283</v>
      </c>
      <c r="D454" s="21" t="s">
        <v>254</v>
      </c>
      <c r="E454" s="21" t="s">
        <v>426</v>
      </c>
      <c r="F454" s="21" t="s">
        <v>290</v>
      </c>
      <c r="G454" s="27"/>
      <c r="H454" s="195"/>
    </row>
    <row r="455" spans="1:8" ht="15.75">
      <c r="A455" s="26" t="s">
        <v>180</v>
      </c>
      <c r="B455" s="17">
        <v>903</v>
      </c>
      <c r="C455" s="21" t="s">
        <v>283</v>
      </c>
      <c r="D455" s="21" t="s">
        <v>254</v>
      </c>
      <c r="E455" s="21" t="s">
        <v>181</v>
      </c>
      <c r="F455" s="21"/>
      <c r="G455" s="27">
        <f>G456</f>
        <v>0</v>
      </c>
      <c r="H455" s="195"/>
    </row>
    <row r="456" spans="1:8" ht="15.75">
      <c r="A456" s="26" t="s">
        <v>240</v>
      </c>
      <c r="B456" s="17">
        <v>903</v>
      </c>
      <c r="C456" s="21" t="s">
        <v>283</v>
      </c>
      <c r="D456" s="21" t="s">
        <v>254</v>
      </c>
      <c r="E456" s="21" t="s">
        <v>241</v>
      </c>
      <c r="F456" s="21"/>
      <c r="G456" s="27">
        <f>G457</f>
        <v>0</v>
      </c>
      <c r="H456" s="195"/>
    </row>
    <row r="457" spans="1:8" ht="31.5">
      <c r="A457" s="26" t="s">
        <v>287</v>
      </c>
      <c r="B457" s="17">
        <v>903</v>
      </c>
      <c r="C457" s="21" t="s">
        <v>283</v>
      </c>
      <c r="D457" s="21" t="s">
        <v>254</v>
      </c>
      <c r="E457" s="21" t="s">
        <v>241</v>
      </c>
      <c r="F457" s="21" t="s">
        <v>288</v>
      </c>
      <c r="G457" s="27">
        <f>G458</f>
        <v>0</v>
      </c>
      <c r="H457" s="195"/>
    </row>
    <row r="458" spans="1:8" ht="31.5">
      <c r="A458" s="26" t="s">
        <v>387</v>
      </c>
      <c r="B458" s="17">
        <v>903</v>
      </c>
      <c r="C458" s="21" t="s">
        <v>283</v>
      </c>
      <c r="D458" s="21" t="s">
        <v>254</v>
      </c>
      <c r="E458" s="21" t="s">
        <v>241</v>
      </c>
      <c r="F458" s="21" t="s">
        <v>388</v>
      </c>
      <c r="G458" s="27">
        <v>0</v>
      </c>
      <c r="H458" s="195"/>
    </row>
    <row r="459" spans="1:8" ht="47.25">
      <c r="A459" s="20" t="s">
        <v>427</v>
      </c>
      <c r="B459" s="20">
        <v>905</v>
      </c>
      <c r="C459" s="21"/>
      <c r="D459" s="21"/>
      <c r="E459" s="21"/>
      <c r="F459" s="21"/>
      <c r="G459" s="22">
        <f>G460+G477+G492</f>
        <v>15801.74</v>
      </c>
      <c r="H459" s="195"/>
    </row>
    <row r="460" spans="1:8" ht="15.75">
      <c r="A460" s="24" t="s">
        <v>156</v>
      </c>
      <c r="B460" s="20">
        <v>905</v>
      </c>
      <c r="C460" s="25" t="s">
        <v>157</v>
      </c>
      <c r="D460" s="21"/>
      <c r="E460" s="21"/>
      <c r="F460" s="21"/>
      <c r="G460" s="22">
        <f>G461+G471</f>
        <v>14701.94</v>
      </c>
      <c r="H460" s="195"/>
    </row>
    <row r="461" spans="1:8" ht="78.75">
      <c r="A461" s="24" t="s">
        <v>188</v>
      </c>
      <c r="B461" s="20">
        <v>905</v>
      </c>
      <c r="C461" s="25" t="s">
        <v>157</v>
      </c>
      <c r="D461" s="25" t="s">
        <v>189</v>
      </c>
      <c r="E461" s="25"/>
      <c r="F461" s="25"/>
      <c r="G461" s="22">
        <f>G462</f>
        <v>11089</v>
      </c>
      <c r="H461" s="195"/>
    </row>
    <row r="462" spans="1:8" ht="15.75">
      <c r="A462" s="26" t="s">
        <v>160</v>
      </c>
      <c r="B462" s="17">
        <v>905</v>
      </c>
      <c r="C462" s="21" t="s">
        <v>157</v>
      </c>
      <c r="D462" s="21" t="s">
        <v>189</v>
      </c>
      <c r="E462" s="21" t="s">
        <v>161</v>
      </c>
      <c r="F462" s="21"/>
      <c r="G462" s="27">
        <f>G463</f>
        <v>11089</v>
      </c>
      <c r="H462" s="195"/>
    </row>
    <row r="463" spans="1:8" ht="31.5">
      <c r="A463" s="26" t="s">
        <v>162</v>
      </c>
      <c r="B463" s="17">
        <v>905</v>
      </c>
      <c r="C463" s="21" t="s">
        <v>157</v>
      </c>
      <c r="D463" s="21" t="s">
        <v>189</v>
      </c>
      <c r="E463" s="21" t="s">
        <v>163</v>
      </c>
      <c r="F463" s="21"/>
      <c r="G463" s="27">
        <f>G464</f>
        <v>11089</v>
      </c>
      <c r="H463" s="195"/>
    </row>
    <row r="464" spans="1:8" ht="47.25">
      <c r="A464" s="26" t="s">
        <v>164</v>
      </c>
      <c r="B464" s="17">
        <v>905</v>
      </c>
      <c r="C464" s="21" t="s">
        <v>157</v>
      </c>
      <c r="D464" s="21" t="s">
        <v>189</v>
      </c>
      <c r="E464" s="21" t="s">
        <v>165</v>
      </c>
      <c r="F464" s="21"/>
      <c r="G464" s="27">
        <f>G465+G467+G469</f>
        <v>11089</v>
      </c>
      <c r="H464" s="195"/>
    </row>
    <row r="465" spans="1:8" ht="94.5">
      <c r="A465" s="26" t="s">
        <v>166</v>
      </c>
      <c r="B465" s="17">
        <v>905</v>
      </c>
      <c r="C465" s="21" t="s">
        <v>157</v>
      </c>
      <c r="D465" s="21" t="s">
        <v>189</v>
      </c>
      <c r="E465" s="21" t="s">
        <v>165</v>
      </c>
      <c r="F465" s="21" t="s">
        <v>167</v>
      </c>
      <c r="G465" s="27">
        <f>G466</f>
        <v>10200.7</v>
      </c>
      <c r="H465" s="195"/>
    </row>
    <row r="466" spans="1:8" ht="31.5">
      <c r="A466" s="26" t="s">
        <v>168</v>
      </c>
      <c r="B466" s="17">
        <v>905</v>
      </c>
      <c r="C466" s="21" t="s">
        <v>157</v>
      </c>
      <c r="D466" s="21" t="s">
        <v>189</v>
      </c>
      <c r="E466" s="21" t="s">
        <v>165</v>
      </c>
      <c r="F466" s="21" t="s">
        <v>169</v>
      </c>
      <c r="G466" s="28">
        <v>10200.7</v>
      </c>
      <c r="H466" s="195"/>
    </row>
    <row r="467" spans="1:8" ht="31.5">
      <c r="A467" s="26" t="s">
        <v>170</v>
      </c>
      <c r="B467" s="17">
        <v>905</v>
      </c>
      <c r="C467" s="21" t="s">
        <v>157</v>
      </c>
      <c r="D467" s="21" t="s">
        <v>189</v>
      </c>
      <c r="E467" s="21" t="s">
        <v>165</v>
      </c>
      <c r="F467" s="21" t="s">
        <v>171</v>
      </c>
      <c r="G467" s="27">
        <f>G468</f>
        <v>811.8</v>
      </c>
      <c r="H467" s="195"/>
    </row>
    <row r="468" spans="1:8" ht="47.25">
      <c r="A468" s="26" t="s">
        <v>172</v>
      </c>
      <c r="B468" s="17">
        <v>905</v>
      </c>
      <c r="C468" s="21" t="s">
        <v>157</v>
      </c>
      <c r="D468" s="21" t="s">
        <v>189</v>
      </c>
      <c r="E468" s="21" t="s">
        <v>165</v>
      </c>
      <c r="F468" s="21" t="s">
        <v>173</v>
      </c>
      <c r="G468" s="174">
        <f>885.8-74</f>
        <v>811.8</v>
      </c>
      <c r="H468" s="175" t="s">
        <v>791</v>
      </c>
    </row>
    <row r="469" spans="1:8" ht="15.75">
      <c r="A469" s="26" t="s">
        <v>174</v>
      </c>
      <c r="B469" s="17">
        <v>905</v>
      </c>
      <c r="C469" s="21" t="s">
        <v>157</v>
      </c>
      <c r="D469" s="21" t="s">
        <v>189</v>
      </c>
      <c r="E469" s="21" t="s">
        <v>165</v>
      </c>
      <c r="F469" s="21" t="s">
        <v>184</v>
      </c>
      <c r="G469" s="27">
        <f>G470</f>
        <v>76.5</v>
      </c>
      <c r="H469" s="195"/>
    </row>
    <row r="470" spans="1:8" ht="15.75">
      <c r="A470" s="26" t="s">
        <v>608</v>
      </c>
      <c r="B470" s="17">
        <v>905</v>
      </c>
      <c r="C470" s="21" t="s">
        <v>157</v>
      </c>
      <c r="D470" s="21" t="s">
        <v>189</v>
      </c>
      <c r="E470" s="21" t="s">
        <v>165</v>
      </c>
      <c r="F470" s="21" t="s">
        <v>177</v>
      </c>
      <c r="G470" s="176">
        <f>2.5+74</f>
        <v>76.5</v>
      </c>
      <c r="H470" s="175" t="s">
        <v>792</v>
      </c>
    </row>
    <row r="471" spans="1:8" ht="15.75">
      <c r="A471" s="24" t="s">
        <v>178</v>
      </c>
      <c r="B471" s="20">
        <v>905</v>
      </c>
      <c r="C471" s="25" t="s">
        <v>157</v>
      </c>
      <c r="D471" s="25" t="s">
        <v>179</v>
      </c>
      <c r="E471" s="25"/>
      <c r="F471" s="25"/>
      <c r="G471" s="22">
        <f>G472</f>
        <v>3612.94</v>
      </c>
      <c r="H471" s="195"/>
    </row>
    <row r="472" spans="1:8" ht="15.75">
      <c r="A472" s="26" t="s">
        <v>160</v>
      </c>
      <c r="B472" s="17">
        <v>905</v>
      </c>
      <c r="C472" s="21" t="s">
        <v>157</v>
      </c>
      <c r="D472" s="21" t="s">
        <v>179</v>
      </c>
      <c r="E472" s="21" t="s">
        <v>161</v>
      </c>
      <c r="F472" s="21"/>
      <c r="G472" s="27">
        <f>G473</f>
        <v>3612.94</v>
      </c>
      <c r="H472" s="195"/>
    </row>
    <row r="473" spans="1:8" ht="15.75">
      <c r="A473" s="26" t="s">
        <v>180</v>
      </c>
      <c r="B473" s="17">
        <v>905</v>
      </c>
      <c r="C473" s="21" t="s">
        <v>157</v>
      </c>
      <c r="D473" s="21" t="s">
        <v>179</v>
      </c>
      <c r="E473" s="21" t="s">
        <v>181</v>
      </c>
      <c r="F473" s="21"/>
      <c r="G473" s="27">
        <f>G474</f>
        <v>3612.94</v>
      </c>
      <c r="H473" s="195"/>
    </row>
    <row r="474" spans="1:8" ht="47.25">
      <c r="A474" s="26" t="s">
        <v>428</v>
      </c>
      <c r="B474" s="17">
        <v>905</v>
      </c>
      <c r="C474" s="21" t="s">
        <v>157</v>
      </c>
      <c r="D474" s="21" t="s">
        <v>179</v>
      </c>
      <c r="E474" s="21" t="s">
        <v>429</v>
      </c>
      <c r="F474" s="21"/>
      <c r="G474" s="27">
        <f>G475</f>
        <v>3612.94</v>
      </c>
      <c r="H474" s="195"/>
    </row>
    <row r="475" spans="1:8" ht="31.5">
      <c r="A475" s="26" t="s">
        <v>170</v>
      </c>
      <c r="B475" s="17">
        <v>905</v>
      </c>
      <c r="C475" s="21" t="s">
        <v>157</v>
      </c>
      <c r="D475" s="21" t="s">
        <v>179</v>
      </c>
      <c r="E475" s="21" t="s">
        <v>429</v>
      </c>
      <c r="F475" s="21" t="s">
        <v>171</v>
      </c>
      <c r="G475" s="27">
        <f>G476</f>
        <v>3612.94</v>
      </c>
      <c r="H475" s="195"/>
    </row>
    <row r="476" spans="1:9" ht="47.25">
      <c r="A476" s="26" t="s">
        <v>172</v>
      </c>
      <c r="B476" s="17">
        <v>905</v>
      </c>
      <c r="C476" s="21" t="s">
        <v>157</v>
      </c>
      <c r="D476" s="21" t="s">
        <v>179</v>
      </c>
      <c r="E476" s="21" t="s">
        <v>429</v>
      </c>
      <c r="F476" s="21" t="s">
        <v>173</v>
      </c>
      <c r="G476" s="180">
        <f>1961.14+1251.8+400</f>
        <v>3612.94</v>
      </c>
      <c r="H476" s="126" t="s">
        <v>809</v>
      </c>
      <c r="I476" s="144"/>
    </row>
    <row r="477" spans="1:8" ht="15.75">
      <c r="A477" s="43" t="s">
        <v>430</v>
      </c>
      <c r="B477" s="20">
        <v>905</v>
      </c>
      <c r="C477" s="25" t="s">
        <v>273</v>
      </c>
      <c r="D477" s="25"/>
      <c r="E477" s="25"/>
      <c r="F477" s="25"/>
      <c r="G477" s="22">
        <f>G478</f>
        <v>1099.8</v>
      </c>
      <c r="H477" s="195"/>
    </row>
    <row r="478" spans="1:8" ht="15.75">
      <c r="A478" s="43" t="s">
        <v>431</v>
      </c>
      <c r="B478" s="20">
        <v>905</v>
      </c>
      <c r="C478" s="25" t="s">
        <v>273</v>
      </c>
      <c r="D478" s="25" t="s">
        <v>157</v>
      </c>
      <c r="E478" s="25"/>
      <c r="F478" s="25"/>
      <c r="G478" s="27">
        <f>G479</f>
        <v>1099.8</v>
      </c>
      <c r="H478" s="195"/>
    </row>
    <row r="479" spans="1:8" ht="15.75">
      <c r="A479" s="31" t="s">
        <v>160</v>
      </c>
      <c r="B479" s="17">
        <v>905</v>
      </c>
      <c r="C479" s="21" t="s">
        <v>273</v>
      </c>
      <c r="D479" s="21" t="s">
        <v>157</v>
      </c>
      <c r="E479" s="21" t="s">
        <v>161</v>
      </c>
      <c r="F479" s="21"/>
      <c r="G479" s="27">
        <f>G485+G480</f>
        <v>1099.8</v>
      </c>
      <c r="H479" s="195"/>
    </row>
    <row r="480" spans="1:8" ht="31.5" hidden="1">
      <c r="A480" s="26" t="s">
        <v>224</v>
      </c>
      <c r="B480" s="39">
        <v>905</v>
      </c>
      <c r="C480" s="21" t="s">
        <v>273</v>
      </c>
      <c r="D480" s="21" t="s">
        <v>157</v>
      </c>
      <c r="E480" s="21" t="s">
        <v>225</v>
      </c>
      <c r="F480" s="21"/>
      <c r="G480" s="27">
        <f>G481</f>
        <v>0</v>
      </c>
      <c r="H480" s="195"/>
    </row>
    <row r="481" spans="1:8" ht="47.25" hidden="1">
      <c r="A481" s="38" t="s">
        <v>432</v>
      </c>
      <c r="B481" s="39">
        <v>905</v>
      </c>
      <c r="C481" s="21" t="s">
        <v>273</v>
      </c>
      <c r="D481" s="21" t="s">
        <v>157</v>
      </c>
      <c r="E481" s="21" t="s">
        <v>433</v>
      </c>
      <c r="F481" s="21"/>
      <c r="G481" s="27">
        <f>G482</f>
        <v>0</v>
      </c>
      <c r="H481" s="195"/>
    </row>
    <row r="482" spans="1:8" ht="31.5" hidden="1">
      <c r="A482" s="44" t="s">
        <v>434</v>
      </c>
      <c r="B482" s="39">
        <v>905</v>
      </c>
      <c r="C482" s="21" t="s">
        <v>273</v>
      </c>
      <c r="D482" s="21" t="s">
        <v>157</v>
      </c>
      <c r="E482" s="21" t="s">
        <v>435</v>
      </c>
      <c r="F482" s="21"/>
      <c r="G482" s="27">
        <f>G483</f>
        <v>0</v>
      </c>
      <c r="H482" s="195"/>
    </row>
    <row r="483" spans="1:8" ht="31.5" hidden="1">
      <c r="A483" s="26" t="s">
        <v>170</v>
      </c>
      <c r="B483" s="17">
        <v>905</v>
      </c>
      <c r="C483" s="21" t="s">
        <v>273</v>
      </c>
      <c r="D483" s="21" t="s">
        <v>157</v>
      </c>
      <c r="E483" s="21" t="s">
        <v>435</v>
      </c>
      <c r="F483" s="21" t="s">
        <v>171</v>
      </c>
      <c r="G483" s="27">
        <f>G484</f>
        <v>0</v>
      </c>
      <c r="H483" s="195"/>
    </row>
    <row r="484" spans="1:8" ht="47.25" hidden="1">
      <c r="A484" s="26" t="s">
        <v>172</v>
      </c>
      <c r="B484" s="17">
        <v>905</v>
      </c>
      <c r="C484" s="21" t="s">
        <v>273</v>
      </c>
      <c r="D484" s="21" t="s">
        <v>157</v>
      </c>
      <c r="E484" s="21" t="s">
        <v>435</v>
      </c>
      <c r="F484" s="21" t="s">
        <v>173</v>
      </c>
      <c r="G484" s="27"/>
      <c r="H484" s="195"/>
    </row>
    <row r="485" spans="1:8" ht="15.75">
      <c r="A485" s="31" t="s">
        <v>180</v>
      </c>
      <c r="B485" s="17">
        <v>905</v>
      </c>
      <c r="C485" s="21" t="s">
        <v>273</v>
      </c>
      <c r="D485" s="21" t="s">
        <v>157</v>
      </c>
      <c r="E485" s="21" t="s">
        <v>181</v>
      </c>
      <c r="F485" s="21"/>
      <c r="G485" s="27">
        <f>G486+G489</f>
        <v>1099.8</v>
      </c>
      <c r="H485" s="195"/>
    </row>
    <row r="486" spans="1:8" ht="31.5">
      <c r="A486" s="31" t="s">
        <v>438</v>
      </c>
      <c r="B486" s="17">
        <v>905</v>
      </c>
      <c r="C486" s="21" t="s">
        <v>273</v>
      </c>
      <c r="D486" s="21" t="s">
        <v>157</v>
      </c>
      <c r="E486" s="21" t="s">
        <v>439</v>
      </c>
      <c r="F486" s="21"/>
      <c r="G486" s="27">
        <f>G487</f>
        <v>260.8</v>
      </c>
      <c r="H486" s="195"/>
    </row>
    <row r="487" spans="1:8" ht="31.5">
      <c r="A487" s="26" t="s">
        <v>170</v>
      </c>
      <c r="B487" s="17">
        <v>905</v>
      </c>
      <c r="C487" s="21" t="s">
        <v>273</v>
      </c>
      <c r="D487" s="21" t="s">
        <v>157</v>
      </c>
      <c r="E487" s="21" t="s">
        <v>439</v>
      </c>
      <c r="F487" s="21" t="s">
        <v>171</v>
      </c>
      <c r="G487" s="27">
        <f>G488</f>
        <v>260.8</v>
      </c>
      <c r="H487" s="195"/>
    </row>
    <row r="488" spans="1:8" ht="47.25">
      <c r="A488" s="26" t="s">
        <v>172</v>
      </c>
      <c r="B488" s="17">
        <v>905</v>
      </c>
      <c r="C488" s="21" t="s">
        <v>273</v>
      </c>
      <c r="D488" s="21" t="s">
        <v>157</v>
      </c>
      <c r="E488" s="21" t="s">
        <v>439</v>
      </c>
      <c r="F488" s="21" t="s">
        <v>173</v>
      </c>
      <c r="G488" s="27">
        <v>260.8</v>
      </c>
      <c r="H488" s="195"/>
    </row>
    <row r="489" spans="1:8" ht="15.75">
      <c r="A489" s="31" t="s">
        <v>436</v>
      </c>
      <c r="B489" s="17">
        <v>905</v>
      </c>
      <c r="C489" s="21" t="s">
        <v>273</v>
      </c>
      <c r="D489" s="21" t="s">
        <v>157</v>
      </c>
      <c r="E489" s="21" t="s">
        <v>437</v>
      </c>
      <c r="F489" s="21"/>
      <c r="G489" s="27">
        <f>G490</f>
        <v>839</v>
      </c>
      <c r="H489" s="195"/>
    </row>
    <row r="490" spans="1:8" ht="31.5">
      <c r="A490" s="26" t="s">
        <v>170</v>
      </c>
      <c r="B490" s="17">
        <v>905</v>
      </c>
      <c r="C490" s="21" t="s">
        <v>273</v>
      </c>
      <c r="D490" s="21" t="s">
        <v>157</v>
      </c>
      <c r="E490" s="21" t="s">
        <v>437</v>
      </c>
      <c r="F490" s="21" t="s">
        <v>171</v>
      </c>
      <c r="G490" s="27">
        <f>G491</f>
        <v>839</v>
      </c>
      <c r="H490" s="195"/>
    </row>
    <row r="491" spans="1:9" ht="47.25">
      <c r="A491" s="26" t="s">
        <v>172</v>
      </c>
      <c r="B491" s="17">
        <v>905</v>
      </c>
      <c r="C491" s="21" t="s">
        <v>273</v>
      </c>
      <c r="D491" s="21" t="s">
        <v>157</v>
      </c>
      <c r="E491" s="21" t="s">
        <v>437</v>
      </c>
      <c r="F491" s="21" t="s">
        <v>173</v>
      </c>
      <c r="G491" s="27">
        <v>839</v>
      </c>
      <c r="H491" s="195"/>
      <c r="I491" s="135"/>
    </row>
    <row r="492" spans="1:8" ht="15.75" hidden="1">
      <c r="A492" s="45" t="s">
        <v>282</v>
      </c>
      <c r="B492" s="20">
        <v>905</v>
      </c>
      <c r="C492" s="25" t="s">
        <v>283</v>
      </c>
      <c r="D492" s="25"/>
      <c r="E492" s="25"/>
      <c r="F492" s="25"/>
      <c r="G492" s="22">
        <f>G493</f>
        <v>0</v>
      </c>
      <c r="H492" s="195"/>
    </row>
    <row r="493" spans="1:8" ht="15.75" hidden="1">
      <c r="A493" s="24" t="s">
        <v>440</v>
      </c>
      <c r="B493" s="20">
        <v>905</v>
      </c>
      <c r="C493" s="25" t="s">
        <v>283</v>
      </c>
      <c r="D493" s="25" t="s">
        <v>189</v>
      </c>
      <c r="E493" s="25"/>
      <c r="F493" s="25"/>
      <c r="G493" s="22">
        <f>G494</f>
        <v>0</v>
      </c>
      <c r="H493" s="195"/>
    </row>
    <row r="494" spans="1:8" ht="31.5" hidden="1">
      <c r="A494" s="26" t="s">
        <v>224</v>
      </c>
      <c r="B494" s="17">
        <v>905</v>
      </c>
      <c r="C494" s="21" t="s">
        <v>283</v>
      </c>
      <c r="D494" s="21" t="s">
        <v>189</v>
      </c>
      <c r="E494" s="21" t="s">
        <v>225</v>
      </c>
      <c r="F494" s="21"/>
      <c r="G494" s="27">
        <f>G495</f>
        <v>0</v>
      </c>
      <c r="H494" s="195"/>
    </row>
    <row r="495" spans="1:8" ht="47.25" hidden="1">
      <c r="A495" s="33" t="s">
        <v>441</v>
      </c>
      <c r="B495" s="17">
        <v>905</v>
      </c>
      <c r="C495" s="21" t="s">
        <v>283</v>
      </c>
      <c r="D495" s="21" t="s">
        <v>189</v>
      </c>
      <c r="E495" s="21" t="s">
        <v>442</v>
      </c>
      <c r="F495" s="21"/>
      <c r="G495" s="27">
        <f>G496</f>
        <v>0</v>
      </c>
      <c r="H495" s="195"/>
    </row>
    <row r="496" spans="1:8" ht="31.5" hidden="1">
      <c r="A496" s="26" t="s">
        <v>170</v>
      </c>
      <c r="B496" s="17">
        <v>905</v>
      </c>
      <c r="C496" s="21" t="s">
        <v>283</v>
      </c>
      <c r="D496" s="21" t="s">
        <v>189</v>
      </c>
      <c r="E496" s="21" t="s">
        <v>442</v>
      </c>
      <c r="F496" s="21" t="s">
        <v>171</v>
      </c>
      <c r="G496" s="27">
        <f>G497</f>
        <v>0</v>
      </c>
      <c r="H496" s="195"/>
    </row>
    <row r="497" spans="1:9" ht="47.25" hidden="1">
      <c r="A497" s="26" t="s">
        <v>172</v>
      </c>
      <c r="B497" s="17">
        <v>905</v>
      </c>
      <c r="C497" s="21" t="s">
        <v>283</v>
      </c>
      <c r="D497" s="21" t="s">
        <v>189</v>
      </c>
      <c r="E497" s="21" t="s">
        <v>442</v>
      </c>
      <c r="F497" s="21" t="s">
        <v>173</v>
      </c>
      <c r="G497" s="27">
        <f>1330-1330</f>
        <v>0</v>
      </c>
      <c r="H497" s="195"/>
      <c r="I497" s="135"/>
    </row>
    <row r="498" spans="1:12" ht="31.5">
      <c r="A498" s="20" t="s">
        <v>443</v>
      </c>
      <c r="B498" s="20">
        <v>906</v>
      </c>
      <c r="C498" s="25"/>
      <c r="D498" s="25"/>
      <c r="E498" s="25"/>
      <c r="F498" s="25"/>
      <c r="G498" s="22">
        <f>G506+G499</f>
        <v>261521.80000000002</v>
      </c>
      <c r="H498" s="195"/>
      <c r="L498" s="136"/>
    </row>
    <row r="499" spans="1:8" ht="15.75">
      <c r="A499" s="24" t="s">
        <v>156</v>
      </c>
      <c r="B499" s="20">
        <v>906</v>
      </c>
      <c r="C499" s="25" t="s">
        <v>157</v>
      </c>
      <c r="D499" s="25"/>
      <c r="E499" s="25"/>
      <c r="F499" s="25"/>
      <c r="G499" s="22">
        <f aca="true" t="shared" si="2" ref="G499:G504">G500</f>
        <v>5</v>
      </c>
      <c r="H499" s="195"/>
    </row>
    <row r="500" spans="1:8" ht="15.75">
      <c r="A500" s="36" t="s">
        <v>178</v>
      </c>
      <c r="B500" s="20">
        <v>906</v>
      </c>
      <c r="C500" s="25" t="s">
        <v>157</v>
      </c>
      <c r="D500" s="25" t="s">
        <v>179</v>
      </c>
      <c r="E500" s="25"/>
      <c r="F500" s="25"/>
      <c r="G500" s="22">
        <f t="shared" si="2"/>
        <v>5</v>
      </c>
      <c r="H500" s="195"/>
    </row>
    <row r="501" spans="1:8" ht="18" customHeight="1">
      <c r="A501" s="33" t="s">
        <v>160</v>
      </c>
      <c r="B501" s="17">
        <v>906</v>
      </c>
      <c r="C501" s="21" t="s">
        <v>157</v>
      </c>
      <c r="D501" s="21" t="s">
        <v>179</v>
      </c>
      <c r="E501" s="21" t="s">
        <v>161</v>
      </c>
      <c r="F501" s="21"/>
      <c r="G501" s="27">
        <f t="shared" si="2"/>
        <v>5</v>
      </c>
      <c r="H501" s="195"/>
    </row>
    <row r="502" spans="1:8" ht="15.75">
      <c r="A502" s="33" t="s">
        <v>180</v>
      </c>
      <c r="B502" s="17">
        <v>906</v>
      </c>
      <c r="C502" s="21" t="s">
        <v>157</v>
      </c>
      <c r="D502" s="21" t="s">
        <v>179</v>
      </c>
      <c r="E502" s="21" t="s">
        <v>181</v>
      </c>
      <c r="F502" s="21"/>
      <c r="G502" s="27">
        <f t="shared" si="2"/>
        <v>5</v>
      </c>
      <c r="H502" s="195"/>
    </row>
    <row r="503" spans="1:8" ht="15.75">
      <c r="A503" s="26" t="s">
        <v>218</v>
      </c>
      <c r="B503" s="17">
        <v>906</v>
      </c>
      <c r="C503" s="21" t="s">
        <v>157</v>
      </c>
      <c r="D503" s="21" t="s">
        <v>179</v>
      </c>
      <c r="E503" s="21" t="s">
        <v>244</v>
      </c>
      <c r="F503" s="21"/>
      <c r="G503" s="27">
        <f t="shared" si="2"/>
        <v>5</v>
      </c>
      <c r="H503" s="195"/>
    </row>
    <row r="504" spans="1:8" ht="31.5">
      <c r="A504" s="26" t="s">
        <v>170</v>
      </c>
      <c r="B504" s="17">
        <v>906</v>
      </c>
      <c r="C504" s="21" t="s">
        <v>157</v>
      </c>
      <c r="D504" s="21" t="s">
        <v>179</v>
      </c>
      <c r="E504" s="21" t="s">
        <v>244</v>
      </c>
      <c r="F504" s="21" t="s">
        <v>171</v>
      </c>
      <c r="G504" s="27">
        <f t="shared" si="2"/>
        <v>5</v>
      </c>
      <c r="H504" s="195"/>
    </row>
    <row r="505" spans="1:8" ht="47.25">
      <c r="A505" s="26" t="s">
        <v>172</v>
      </c>
      <c r="B505" s="17">
        <v>906</v>
      </c>
      <c r="C505" s="21" t="s">
        <v>157</v>
      </c>
      <c r="D505" s="21" t="s">
        <v>179</v>
      </c>
      <c r="E505" s="21" t="s">
        <v>244</v>
      </c>
      <c r="F505" s="21" t="s">
        <v>173</v>
      </c>
      <c r="G505" s="27">
        <v>5</v>
      </c>
      <c r="H505" s="195"/>
    </row>
    <row r="506" spans="1:8" ht="15.75">
      <c r="A506" s="24" t="s">
        <v>302</v>
      </c>
      <c r="B506" s="20">
        <v>906</v>
      </c>
      <c r="C506" s="25" t="s">
        <v>303</v>
      </c>
      <c r="D506" s="25"/>
      <c r="E506" s="25"/>
      <c r="F506" s="25"/>
      <c r="G506" s="22">
        <f>G507+G546+G633+G645+G612</f>
        <v>261516.80000000002</v>
      </c>
      <c r="H506" s="195"/>
    </row>
    <row r="507" spans="1:8" ht="15.75">
      <c r="A507" s="24" t="s">
        <v>444</v>
      </c>
      <c r="B507" s="20">
        <v>906</v>
      </c>
      <c r="C507" s="25" t="s">
        <v>303</v>
      </c>
      <c r="D507" s="25" t="s">
        <v>157</v>
      </c>
      <c r="E507" s="25"/>
      <c r="F507" s="25"/>
      <c r="G507" s="22">
        <f>G508+G526</f>
        <v>84659.4</v>
      </c>
      <c r="H507" s="195"/>
    </row>
    <row r="508" spans="1:8" ht="47.25">
      <c r="A508" s="26" t="s">
        <v>445</v>
      </c>
      <c r="B508" s="17">
        <v>906</v>
      </c>
      <c r="C508" s="21" t="s">
        <v>303</v>
      </c>
      <c r="D508" s="21" t="s">
        <v>157</v>
      </c>
      <c r="E508" s="21" t="s">
        <v>446</v>
      </c>
      <c r="F508" s="21"/>
      <c r="G508" s="27">
        <f>G509+G513</f>
        <v>23453.4</v>
      </c>
      <c r="H508" s="195"/>
    </row>
    <row r="509" spans="1:8" ht="47.25">
      <c r="A509" s="26" t="s">
        <v>447</v>
      </c>
      <c r="B509" s="17">
        <v>906</v>
      </c>
      <c r="C509" s="21" t="s">
        <v>303</v>
      </c>
      <c r="D509" s="21" t="s">
        <v>157</v>
      </c>
      <c r="E509" s="21" t="s">
        <v>448</v>
      </c>
      <c r="F509" s="21"/>
      <c r="G509" s="27">
        <f>G510</f>
        <v>15578.400000000001</v>
      </c>
      <c r="H509" s="195"/>
    </row>
    <row r="510" spans="1:8" ht="47.25">
      <c r="A510" s="26" t="s">
        <v>449</v>
      </c>
      <c r="B510" s="17">
        <v>906</v>
      </c>
      <c r="C510" s="21" t="s">
        <v>303</v>
      </c>
      <c r="D510" s="21" t="s">
        <v>157</v>
      </c>
      <c r="E510" s="21" t="s">
        <v>450</v>
      </c>
      <c r="F510" s="21"/>
      <c r="G510" s="27">
        <f>G511</f>
        <v>15578.400000000001</v>
      </c>
      <c r="H510" s="195"/>
    </row>
    <row r="511" spans="1:8" ht="47.25">
      <c r="A511" s="26" t="s">
        <v>311</v>
      </c>
      <c r="B511" s="17">
        <v>906</v>
      </c>
      <c r="C511" s="21" t="s">
        <v>303</v>
      </c>
      <c r="D511" s="21" t="s">
        <v>157</v>
      </c>
      <c r="E511" s="21" t="s">
        <v>450</v>
      </c>
      <c r="F511" s="21" t="s">
        <v>312</v>
      </c>
      <c r="G511" s="27">
        <f>G512</f>
        <v>15578.400000000001</v>
      </c>
      <c r="H511" s="195"/>
    </row>
    <row r="512" spans="1:9" ht="15.75">
      <c r="A512" s="26" t="s">
        <v>313</v>
      </c>
      <c r="B512" s="17">
        <v>906</v>
      </c>
      <c r="C512" s="21" t="s">
        <v>303</v>
      </c>
      <c r="D512" s="21" t="s">
        <v>157</v>
      </c>
      <c r="E512" s="21" t="s">
        <v>450</v>
      </c>
      <c r="F512" s="21" t="s">
        <v>314</v>
      </c>
      <c r="G512" s="28">
        <f>17368.2+6858.7-6314-1360.2-974.3</f>
        <v>15578.400000000001</v>
      </c>
      <c r="H512" s="197"/>
      <c r="I512" s="145"/>
    </row>
    <row r="513" spans="1:8" ht="47.25">
      <c r="A513" s="26" t="s">
        <v>451</v>
      </c>
      <c r="B513" s="17">
        <v>906</v>
      </c>
      <c r="C513" s="21" t="s">
        <v>303</v>
      </c>
      <c r="D513" s="21" t="s">
        <v>157</v>
      </c>
      <c r="E513" s="21" t="s">
        <v>452</v>
      </c>
      <c r="F513" s="21"/>
      <c r="G513" s="27">
        <f>G514+G517+G520+G523</f>
        <v>7875</v>
      </c>
      <c r="H513" s="195"/>
    </row>
    <row r="514" spans="1:8" ht="47.25" hidden="1">
      <c r="A514" s="26" t="s">
        <v>317</v>
      </c>
      <c r="B514" s="17">
        <v>906</v>
      </c>
      <c r="C514" s="21" t="s">
        <v>303</v>
      </c>
      <c r="D514" s="21" t="s">
        <v>157</v>
      </c>
      <c r="E514" s="21" t="s">
        <v>453</v>
      </c>
      <c r="F514" s="21"/>
      <c r="G514" s="27">
        <f>G515</f>
        <v>0</v>
      </c>
      <c r="H514" s="195"/>
    </row>
    <row r="515" spans="1:8" ht="47.25" hidden="1">
      <c r="A515" s="26" t="s">
        <v>311</v>
      </c>
      <c r="B515" s="17">
        <v>906</v>
      </c>
      <c r="C515" s="21" t="s">
        <v>303</v>
      </c>
      <c r="D515" s="21" t="s">
        <v>157</v>
      </c>
      <c r="E515" s="21" t="s">
        <v>453</v>
      </c>
      <c r="F515" s="21" t="s">
        <v>312</v>
      </c>
      <c r="G515" s="27">
        <f>G516</f>
        <v>0</v>
      </c>
      <c r="H515" s="195"/>
    </row>
    <row r="516" spans="1:8" ht="15.75" hidden="1">
      <c r="A516" s="26" t="s">
        <v>313</v>
      </c>
      <c r="B516" s="17">
        <v>906</v>
      </c>
      <c r="C516" s="21" t="s">
        <v>303</v>
      </c>
      <c r="D516" s="21" t="s">
        <v>157</v>
      </c>
      <c r="E516" s="21" t="s">
        <v>453</v>
      </c>
      <c r="F516" s="21" t="s">
        <v>314</v>
      </c>
      <c r="G516" s="27">
        <v>0</v>
      </c>
      <c r="H516" s="195"/>
    </row>
    <row r="517" spans="1:8" ht="31.5">
      <c r="A517" s="26" t="s">
        <v>319</v>
      </c>
      <c r="B517" s="17">
        <v>906</v>
      </c>
      <c r="C517" s="21" t="s">
        <v>303</v>
      </c>
      <c r="D517" s="21" t="s">
        <v>157</v>
      </c>
      <c r="E517" s="21" t="s">
        <v>454</v>
      </c>
      <c r="F517" s="21"/>
      <c r="G517" s="27">
        <f>G518</f>
        <v>1145</v>
      </c>
      <c r="H517" s="195"/>
    </row>
    <row r="518" spans="1:8" ht="47.25">
      <c r="A518" s="26" t="s">
        <v>311</v>
      </c>
      <c r="B518" s="17">
        <v>906</v>
      </c>
      <c r="C518" s="21" t="s">
        <v>303</v>
      </c>
      <c r="D518" s="21" t="s">
        <v>157</v>
      </c>
      <c r="E518" s="21" t="s">
        <v>454</v>
      </c>
      <c r="F518" s="21" t="s">
        <v>312</v>
      </c>
      <c r="G518" s="27">
        <f>G519</f>
        <v>1145</v>
      </c>
      <c r="H518" s="195"/>
    </row>
    <row r="519" spans="1:8" ht="15.75">
      <c r="A519" s="26" t="s">
        <v>313</v>
      </c>
      <c r="B519" s="17">
        <v>906</v>
      </c>
      <c r="C519" s="21" t="s">
        <v>303</v>
      </c>
      <c r="D519" s="21" t="s">
        <v>157</v>
      </c>
      <c r="E519" s="21" t="s">
        <v>454</v>
      </c>
      <c r="F519" s="21" t="s">
        <v>314</v>
      </c>
      <c r="G519" s="176">
        <f>800+300+45</f>
        <v>1145</v>
      </c>
      <c r="H519" s="183" t="s">
        <v>811</v>
      </c>
    </row>
    <row r="520" spans="1:8" ht="47.25">
      <c r="A520" s="26" t="s">
        <v>455</v>
      </c>
      <c r="B520" s="17">
        <v>906</v>
      </c>
      <c r="C520" s="21" t="s">
        <v>303</v>
      </c>
      <c r="D520" s="21" t="s">
        <v>157</v>
      </c>
      <c r="E520" s="21" t="s">
        <v>456</v>
      </c>
      <c r="F520" s="21"/>
      <c r="G520" s="27">
        <f>G521</f>
        <v>6730</v>
      </c>
      <c r="H520" s="195"/>
    </row>
    <row r="521" spans="1:8" ht="47.25">
      <c r="A521" s="26" t="s">
        <v>311</v>
      </c>
      <c r="B521" s="17">
        <v>906</v>
      </c>
      <c r="C521" s="21" t="s">
        <v>303</v>
      </c>
      <c r="D521" s="21" t="s">
        <v>157</v>
      </c>
      <c r="E521" s="21" t="s">
        <v>456</v>
      </c>
      <c r="F521" s="21" t="s">
        <v>312</v>
      </c>
      <c r="G521" s="27">
        <f>G522</f>
        <v>6730</v>
      </c>
      <c r="H521" s="195"/>
    </row>
    <row r="522" spans="1:8" ht="15.75">
      <c r="A522" s="26" t="s">
        <v>313</v>
      </c>
      <c r="B522" s="17">
        <v>906</v>
      </c>
      <c r="C522" s="21" t="s">
        <v>303</v>
      </c>
      <c r="D522" s="21" t="s">
        <v>157</v>
      </c>
      <c r="E522" s="21" t="s">
        <v>456</v>
      </c>
      <c r="F522" s="21" t="s">
        <v>314</v>
      </c>
      <c r="G522" s="28">
        <v>6730</v>
      </c>
      <c r="H522" s="195"/>
    </row>
    <row r="523" spans="1:8" ht="31.5" hidden="1">
      <c r="A523" s="26" t="s">
        <v>323</v>
      </c>
      <c r="B523" s="17">
        <v>906</v>
      </c>
      <c r="C523" s="21" t="s">
        <v>303</v>
      </c>
      <c r="D523" s="21" t="s">
        <v>157</v>
      </c>
      <c r="E523" s="21" t="s">
        <v>457</v>
      </c>
      <c r="F523" s="21"/>
      <c r="G523" s="27">
        <f>G524</f>
        <v>0</v>
      </c>
      <c r="H523" s="195"/>
    </row>
    <row r="524" spans="1:8" ht="47.25" hidden="1">
      <c r="A524" s="26" t="s">
        <v>311</v>
      </c>
      <c r="B524" s="17">
        <v>906</v>
      </c>
      <c r="C524" s="21" t="s">
        <v>303</v>
      </c>
      <c r="D524" s="21" t="s">
        <v>157</v>
      </c>
      <c r="E524" s="21" t="s">
        <v>457</v>
      </c>
      <c r="F524" s="21" t="s">
        <v>312</v>
      </c>
      <c r="G524" s="27">
        <f>G525</f>
        <v>0</v>
      </c>
      <c r="H524" s="195"/>
    </row>
    <row r="525" spans="1:8" ht="15.75" hidden="1">
      <c r="A525" s="26" t="s">
        <v>313</v>
      </c>
      <c r="B525" s="17">
        <v>906</v>
      </c>
      <c r="C525" s="21" t="s">
        <v>303</v>
      </c>
      <c r="D525" s="21" t="s">
        <v>157</v>
      </c>
      <c r="E525" s="21" t="s">
        <v>457</v>
      </c>
      <c r="F525" s="21" t="s">
        <v>314</v>
      </c>
      <c r="G525" s="27">
        <v>0</v>
      </c>
      <c r="H525" s="195"/>
    </row>
    <row r="526" spans="1:8" ht="15.75">
      <c r="A526" s="26" t="s">
        <v>160</v>
      </c>
      <c r="B526" s="17">
        <v>906</v>
      </c>
      <c r="C526" s="21" t="s">
        <v>303</v>
      </c>
      <c r="D526" s="21" t="s">
        <v>157</v>
      </c>
      <c r="E526" s="21" t="s">
        <v>161</v>
      </c>
      <c r="F526" s="21"/>
      <c r="G526" s="27">
        <f>G527</f>
        <v>61206</v>
      </c>
      <c r="H526" s="195"/>
    </row>
    <row r="527" spans="1:8" ht="31.5">
      <c r="A527" s="26" t="s">
        <v>224</v>
      </c>
      <c r="B527" s="17">
        <v>906</v>
      </c>
      <c r="C527" s="21" t="s">
        <v>303</v>
      </c>
      <c r="D527" s="21" t="s">
        <v>157</v>
      </c>
      <c r="E527" s="21" t="s">
        <v>225</v>
      </c>
      <c r="F527" s="21"/>
      <c r="G527" s="27">
        <f>G528+G531+G534+G537+G540+G543</f>
        <v>61206</v>
      </c>
      <c r="H527" s="195"/>
    </row>
    <row r="528" spans="1:8" ht="31.5" hidden="1">
      <c r="A528" s="26" t="s">
        <v>458</v>
      </c>
      <c r="B528" s="17">
        <v>906</v>
      </c>
      <c r="C528" s="21" t="s">
        <v>303</v>
      </c>
      <c r="D528" s="21" t="s">
        <v>157</v>
      </c>
      <c r="E528" s="21" t="s">
        <v>459</v>
      </c>
      <c r="F528" s="21"/>
      <c r="G528" s="27">
        <f>G529</f>
        <v>0</v>
      </c>
      <c r="H528" s="195"/>
    </row>
    <row r="529" spans="1:8" ht="47.25" hidden="1">
      <c r="A529" s="26" t="s">
        <v>311</v>
      </c>
      <c r="B529" s="17">
        <v>906</v>
      </c>
      <c r="C529" s="21" t="s">
        <v>303</v>
      </c>
      <c r="D529" s="21" t="s">
        <v>157</v>
      </c>
      <c r="E529" s="21" t="s">
        <v>459</v>
      </c>
      <c r="F529" s="21" t="s">
        <v>312</v>
      </c>
      <c r="G529" s="27">
        <f>G530</f>
        <v>0</v>
      </c>
      <c r="H529" s="195"/>
    </row>
    <row r="530" spans="1:8" ht="15.75" hidden="1">
      <c r="A530" s="26" t="s">
        <v>313</v>
      </c>
      <c r="B530" s="17">
        <v>906</v>
      </c>
      <c r="C530" s="21" t="s">
        <v>303</v>
      </c>
      <c r="D530" s="21" t="s">
        <v>157</v>
      </c>
      <c r="E530" s="21" t="s">
        <v>459</v>
      </c>
      <c r="F530" s="21" t="s">
        <v>314</v>
      </c>
      <c r="G530" s="27"/>
      <c r="H530" s="195"/>
    </row>
    <row r="531" spans="1:8" ht="63">
      <c r="A531" s="33" t="s">
        <v>328</v>
      </c>
      <c r="B531" s="17">
        <v>906</v>
      </c>
      <c r="C531" s="21" t="s">
        <v>303</v>
      </c>
      <c r="D531" s="21" t="s">
        <v>157</v>
      </c>
      <c r="E531" s="21" t="s">
        <v>329</v>
      </c>
      <c r="F531" s="21"/>
      <c r="G531" s="27">
        <f>G532</f>
        <v>310.2</v>
      </c>
      <c r="H531" s="195"/>
    </row>
    <row r="532" spans="1:8" ht="47.25">
      <c r="A532" s="26" t="s">
        <v>311</v>
      </c>
      <c r="B532" s="17">
        <v>906</v>
      </c>
      <c r="C532" s="21" t="s">
        <v>303</v>
      </c>
      <c r="D532" s="21" t="s">
        <v>157</v>
      </c>
      <c r="E532" s="21" t="s">
        <v>329</v>
      </c>
      <c r="F532" s="21" t="s">
        <v>312</v>
      </c>
      <c r="G532" s="27">
        <f>G533</f>
        <v>310.2</v>
      </c>
      <c r="H532" s="195"/>
    </row>
    <row r="533" spans="1:9" ht="15.75">
      <c r="A533" s="26" t="s">
        <v>313</v>
      </c>
      <c r="B533" s="17">
        <v>906</v>
      </c>
      <c r="C533" s="21" t="s">
        <v>303</v>
      </c>
      <c r="D533" s="21" t="s">
        <v>157</v>
      </c>
      <c r="E533" s="21" t="s">
        <v>329</v>
      </c>
      <c r="F533" s="21" t="s">
        <v>314</v>
      </c>
      <c r="G533" s="27">
        <f>416.2-106</f>
        <v>310.2</v>
      </c>
      <c r="H533" s="195"/>
      <c r="I533" s="135"/>
    </row>
    <row r="534" spans="1:8" ht="78.75">
      <c r="A534" s="33" t="s">
        <v>460</v>
      </c>
      <c r="B534" s="17">
        <v>906</v>
      </c>
      <c r="C534" s="21" t="s">
        <v>303</v>
      </c>
      <c r="D534" s="21" t="s">
        <v>157</v>
      </c>
      <c r="E534" s="21" t="s">
        <v>331</v>
      </c>
      <c r="F534" s="21"/>
      <c r="G534" s="27">
        <f>G535</f>
        <v>1696.8</v>
      </c>
      <c r="H534" s="195"/>
    </row>
    <row r="535" spans="1:8" ht="47.25">
      <c r="A535" s="26" t="s">
        <v>311</v>
      </c>
      <c r="B535" s="17">
        <v>906</v>
      </c>
      <c r="C535" s="21" t="s">
        <v>303</v>
      </c>
      <c r="D535" s="21" t="s">
        <v>157</v>
      </c>
      <c r="E535" s="21" t="s">
        <v>331</v>
      </c>
      <c r="F535" s="21" t="s">
        <v>312</v>
      </c>
      <c r="G535" s="27">
        <f>G536</f>
        <v>1696.8</v>
      </c>
      <c r="H535" s="195"/>
    </row>
    <row r="536" spans="1:9" ht="15.75">
      <c r="A536" s="26" t="s">
        <v>313</v>
      </c>
      <c r="B536" s="17">
        <v>906</v>
      </c>
      <c r="C536" s="21" t="s">
        <v>303</v>
      </c>
      <c r="D536" s="21" t="s">
        <v>157</v>
      </c>
      <c r="E536" s="21" t="s">
        <v>331</v>
      </c>
      <c r="F536" s="21" t="s">
        <v>314</v>
      </c>
      <c r="G536" s="27">
        <f>1900-203.2</f>
        <v>1696.8</v>
      </c>
      <c r="H536" s="195"/>
      <c r="I536" s="135"/>
    </row>
    <row r="537" spans="1:8" ht="94.5">
      <c r="A537" s="33" t="s">
        <v>461</v>
      </c>
      <c r="B537" s="17">
        <v>906</v>
      </c>
      <c r="C537" s="21" t="s">
        <v>303</v>
      </c>
      <c r="D537" s="21" t="s">
        <v>157</v>
      </c>
      <c r="E537" s="21" t="s">
        <v>462</v>
      </c>
      <c r="F537" s="21"/>
      <c r="G537" s="27">
        <f>G538</f>
        <v>56320</v>
      </c>
      <c r="H537" s="195"/>
    </row>
    <row r="538" spans="1:8" ht="47.25">
      <c r="A538" s="26" t="s">
        <v>311</v>
      </c>
      <c r="B538" s="17">
        <v>906</v>
      </c>
      <c r="C538" s="21" t="s">
        <v>303</v>
      </c>
      <c r="D538" s="21" t="s">
        <v>157</v>
      </c>
      <c r="E538" s="21" t="s">
        <v>462</v>
      </c>
      <c r="F538" s="21" t="s">
        <v>312</v>
      </c>
      <c r="G538" s="27">
        <f>G539</f>
        <v>56320</v>
      </c>
      <c r="H538" s="195"/>
    </row>
    <row r="539" spans="1:9" ht="15.75">
      <c r="A539" s="26" t="s">
        <v>313</v>
      </c>
      <c r="B539" s="17">
        <v>906</v>
      </c>
      <c r="C539" s="21" t="s">
        <v>303</v>
      </c>
      <c r="D539" s="21" t="s">
        <v>157</v>
      </c>
      <c r="E539" s="21" t="s">
        <v>462</v>
      </c>
      <c r="F539" s="21" t="s">
        <v>314</v>
      </c>
      <c r="G539" s="28">
        <f>66162.2-7643.6-2198.6</f>
        <v>56320</v>
      </c>
      <c r="H539" s="126"/>
      <c r="I539" s="135"/>
    </row>
    <row r="540" spans="1:8" ht="110.25">
      <c r="A540" s="33" t="s">
        <v>332</v>
      </c>
      <c r="B540" s="17">
        <v>906</v>
      </c>
      <c r="C540" s="21" t="s">
        <v>303</v>
      </c>
      <c r="D540" s="21" t="s">
        <v>157</v>
      </c>
      <c r="E540" s="21" t="s">
        <v>333</v>
      </c>
      <c r="F540" s="21"/>
      <c r="G540" s="27">
        <f>G541</f>
        <v>2879</v>
      </c>
      <c r="H540" s="195"/>
    </row>
    <row r="541" spans="1:8" ht="47.25">
      <c r="A541" s="26" t="s">
        <v>311</v>
      </c>
      <c r="B541" s="17">
        <v>906</v>
      </c>
      <c r="C541" s="21" t="s">
        <v>303</v>
      </c>
      <c r="D541" s="21" t="s">
        <v>157</v>
      </c>
      <c r="E541" s="21" t="s">
        <v>333</v>
      </c>
      <c r="F541" s="21" t="s">
        <v>312</v>
      </c>
      <c r="G541" s="27">
        <f>G542</f>
        <v>2879</v>
      </c>
      <c r="H541" s="195"/>
    </row>
    <row r="542" spans="1:9" ht="15.75">
      <c r="A542" s="26" t="s">
        <v>313</v>
      </c>
      <c r="B542" s="17">
        <v>906</v>
      </c>
      <c r="C542" s="21" t="s">
        <v>303</v>
      </c>
      <c r="D542" s="21" t="s">
        <v>157</v>
      </c>
      <c r="E542" s="21" t="s">
        <v>333</v>
      </c>
      <c r="F542" s="21" t="s">
        <v>314</v>
      </c>
      <c r="G542" s="28">
        <f>2937.2-58.2</f>
        <v>2879</v>
      </c>
      <c r="H542" s="195"/>
      <c r="I542" s="135"/>
    </row>
    <row r="543" spans="1:8" ht="157.5" hidden="1">
      <c r="A543" s="26" t="s">
        <v>463</v>
      </c>
      <c r="B543" s="17">
        <v>906</v>
      </c>
      <c r="C543" s="21" t="s">
        <v>303</v>
      </c>
      <c r="D543" s="21" t="s">
        <v>157</v>
      </c>
      <c r="E543" s="21" t="s">
        <v>464</v>
      </c>
      <c r="F543" s="21"/>
      <c r="G543" s="28">
        <f>G544</f>
        <v>0</v>
      </c>
      <c r="H543" s="195"/>
    </row>
    <row r="544" spans="1:8" ht="47.25" hidden="1">
      <c r="A544" s="26" t="s">
        <v>311</v>
      </c>
      <c r="B544" s="17">
        <v>906</v>
      </c>
      <c r="C544" s="21" t="s">
        <v>303</v>
      </c>
      <c r="D544" s="21" t="s">
        <v>157</v>
      </c>
      <c r="E544" s="21" t="s">
        <v>464</v>
      </c>
      <c r="F544" s="21" t="s">
        <v>312</v>
      </c>
      <c r="G544" s="28">
        <f>G545</f>
        <v>0</v>
      </c>
      <c r="H544" s="195"/>
    </row>
    <row r="545" spans="1:9" ht="15.75" hidden="1">
      <c r="A545" s="26" t="s">
        <v>313</v>
      </c>
      <c r="B545" s="17">
        <v>906</v>
      </c>
      <c r="C545" s="21" t="s">
        <v>303</v>
      </c>
      <c r="D545" s="21" t="s">
        <v>157</v>
      </c>
      <c r="E545" s="21" t="s">
        <v>464</v>
      </c>
      <c r="F545" s="21" t="s">
        <v>314</v>
      </c>
      <c r="G545" s="28">
        <f>276.5-276.5</f>
        <v>0</v>
      </c>
      <c r="H545" s="195"/>
      <c r="I545" s="135"/>
    </row>
    <row r="546" spans="1:8" ht="15.75">
      <c r="A546" s="24" t="s">
        <v>465</v>
      </c>
      <c r="B546" s="20">
        <v>906</v>
      </c>
      <c r="C546" s="25" t="s">
        <v>303</v>
      </c>
      <c r="D546" s="25" t="s">
        <v>252</v>
      </c>
      <c r="E546" s="25"/>
      <c r="F546" s="25"/>
      <c r="G546" s="22">
        <f>G547+G580</f>
        <v>130684.4</v>
      </c>
      <c r="H546" s="195"/>
    </row>
    <row r="547" spans="1:8" ht="47.25">
      <c r="A547" s="26" t="s">
        <v>466</v>
      </c>
      <c r="B547" s="17">
        <v>906</v>
      </c>
      <c r="C547" s="21" t="s">
        <v>303</v>
      </c>
      <c r="D547" s="21" t="s">
        <v>252</v>
      </c>
      <c r="E547" s="21" t="s">
        <v>446</v>
      </c>
      <c r="F547" s="21"/>
      <c r="G547" s="27">
        <f>G548+G552</f>
        <v>40826.6</v>
      </c>
      <c r="H547" s="195"/>
    </row>
    <row r="548" spans="1:8" ht="47.25">
      <c r="A548" s="26" t="s">
        <v>447</v>
      </c>
      <c r="B548" s="17">
        <v>906</v>
      </c>
      <c r="C548" s="21" t="s">
        <v>303</v>
      </c>
      <c r="D548" s="21" t="s">
        <v>252</v>
      </c>
      <c r="E548" s="21" t="s">
        <v>448</v>
      </c>
      <c r="F548" s="21"/>
      <c r="G548" s="27">
        <f>G549</f>
        <v>34151.2</v>
      </c>
      <c r="H548" s="195"/>
    </row>
    <row r="549" spans="1:8" ht="47.25">
      <c r="A549" s="26" t="s">
        <v>467</v>
      </c>
      <c r="B549" s="17">
        <v>906</v>
      </c>
      <c r="C549" s="21" t="s">
        <v>303</v>
      </c>
      <c r="D549" s="21" t="s">
        <v>252</v>
      </c>
      <c r="E549" s="21" t="s">
        <v>468</v>
      </c>
      <c r="F549" s="21"/>
      <c r="G549" s="27">
        <f>G550</f>
        <v>34151.2</v>
      </c>
      <c r="H549" s="195"/>
    </row>
    <row r="550" spans="1:8" ht="47.25">
      <c r="A550" s="26" t="s">
        <v>311</v>
      </c>
      <c r="B550" s="17">
        <v>906</v>
      </c>
      <c r="C550" s="21" t="s">
        <v>303</v>
      </c>
      <c r="D550" s="21" t="s">
        <v>252</v>
      </c>
      <c r="E550" s="21" t="s">
        <v>468</v>
      </c>
      <c r="F550" s="21" t="s">
        <v>312</v>
      </c>
      <c r="G550" s="27">
        <f>G551</f>
        <v>34151.2</v>
      </c>
      <c r="H550" s="195"/>
    </row>
    <row r="551" spans="1:9" ht="15.75">
      <c r="A551" s="26" t="s">
        <v>313</v>
      </c>
      <c r="B551" s="17">
        <v>906</v>
      </c>
      <c r="C551" s="21" t="s">
        <v>303</v>
      </c>
      <c r="D551" s="21" t="s">
        <v>252</v>
      </c>
      <c r="E551" s="21" t="s">
        <v>468</v>
      </c>
      <c r="F551" s="21" t="s">
        <v>314</v>
      </c>
      <c r="G551" s="28">
        <f>21817.5+13206.2-481.7+562.6-953.4</f>
        <v>34151.2</v>
      </c>
      <c r="H551" s="197"/>
      <c r="I551" s="145"/>
    </row>
    <row r="552" spans="1:8" ht="31.5">
      <c r="A552" s="26" t="s">
        <v>470</v>
      </c>
      <c r="B552" s="17">
        <v>906</v>
      </c>
      <c r="C552" s="21" t="s">
        <v>303</v>
      </c>
      <c r="D552" s="21" t="s">
        <v>252</v>
      </c>
      <c r="E552" s="21" t="s">
        <v>471</v>
      </c>
      <c r="F552" s="21"/>
      <c r="G552" s="27">
        <f>G558+G574+G571+G577+G568+G553+G559+G562+G565</f>
        <v>6675.4</v>
      </c>
      <c r="H552" s="195"/>
    </row>
    <row r="553" spans="1:8" ht="63" hidden="1">
      <c r="A553" s="26" t="s">
        <v>472</v>
      </c>
      <c r="B553" s="17">
        <v>906</v>
      </c>
      <c r="C553" s="21" t="s">
        <v>303</v>
      </c>
      <c r="D553" s="21" t="s">
        <v>252</v>
      </c>
      <c r="E553" s="21" t="s">
        <v>473</v>
      </c>
      <c r="F553" s="21"/>
      <c r="G553" s="27">
        <f>G554</f>
        <v>0</v>
      </c>
      <c r="H553" s="195"/>
    </row>
    <row r="554" spans="1:8" ht="47.25" hidden="1">
      <c r="A554" s="26" t="s">
        <v>311</v>
      </c>
      <c r="B554" s="17">
        <v>906</v>
      </c>
      <c r="C554" s="21" t="s">
        <v>303</v>
      </c>
      <c r="D554" s="21" t="s">
        <v>252</v>
      </c>
      <c r="E554" s="21" t="s">
        <v>473</v>
      </c>
      <c r="F554" s="21" t="s">
        <v>312</v>
      </c>
      <c r="G554" s="27">
        <f>G555</f>
        <v>0</v>
      </c>
      <c r="H554" s="195"/>
    </row>
    <row r="555" spans="1:8" ht="15.75" hidden="1">
      <c r="A555" s="26" t="s">
        <v>313</v>
      </c>
      <c r="B555" s="17">
        <v>906</v>
      </c>
      <c r="C555" s="21" t="s">
        <v>303</v>
      </c>
      <c r="D555" s="21" t="s">
        <v>252</v>
      </c>
      <c r="E555" s="21" t="s">
        <v>473</v>
      </c>
      <c r="F555" s="21" t="s">
        <v>314</v>
      </c>
      <c r="G555" s="27">
        <v>0</v>
      </c>
      <c r="H555" s="195"/>
    </row>
    <row r="556" spans="1:8" ht="48.75" customHeight="1" hidden="1">
      <c r="A556" s="26" t="s">
        <v>474</v>
      </c>
      <c r="B556" s="17">
        <v>906</v>
      </c>
      <c r="C556" s="21" t="s">
        <v>303</v>
      </c>
      <c r="D556" s="21" t="s">
        <v>252</v>
      </c>
      <c r="E556" s="21" t="s">
        <v>475</v>
      </c>
      <c r="F556" s="21"/>
      <c r="G556" s="27">
        <f>G557</f>
        <v>0</v>
      </c>
      <c r="H556" s="195"/>
    </row>
    <row r="557" spans="1:8" ht="47.25" hidden="1">
      <c r="A557" s="26" t="s">
        <v>311</v>
      </c>
      <c r="B557" s="17">
        <v>906</v>
      </c>
      <c r="C557" s="21" t="s">
        <v>303</v>
      </c>
      <c r="D557" s="21" t="s">
        <v>252</v>
      </c>
      <c r="E557" s="21" t="s">
        <v>475</v>
      </c>
      <c r="F557" s="21" t="s">
        <v>312</v>
      </c>
      <c r="G557" s="27">
        <f>G558</f>
        <v>0</v>
      </c>
      <c r="H557" s="195"/>
    </row>
    <row r="558" spans="1:8" ht="15.75" hidden="1">
      <c r="A558" s="26" t="s">
        <v>313</v>
      </c>
      <c r="B558" s="17">
        <v>906</v>
      </c>
      <c r="C558" s="21" t="s">
        <v>303</v>
      </c>
      <c r="D558" s="21" t="s">
        <v>252</v>
      </c>
      <c r="E558" s="21" t="s">
        <v>475</v>
      </c>
      <c r="F558" s="21" t="s">
        <v>314</v>
      </c>
      <c r="G558" s="27">
        <v>0</v>
      </c>
      <c r="H558" s="195"/>
    </row>
    <row r="559" spans="1:8" ht="63">
      <c r="A559" s="26" t="s">
        <v>476</v>
      </c>
      <c r="B559" s="17">
        <v>906</v>
      </c>
      <c r="C559" s="21" t="s">
        <v>303</v>
      </c>
      <c r="D559" s="21" t="s">
        <v>252</v>
      </c>
      <c r="E559" s="21" t="s">
        <v>477</v>
      </c>
      <c r="F559" s="21"/>
      <c r="G559" s="27">
        <f>G560</f>
        <v>2690</v>
      </c>
      <c r="H559" s="195"/>
    </row>
    <row r="560" spans="1:8" ht="47.25">
      <c r="A560" s="26" t="s">
        <v>311</v>
      </c>
      <c r="B560" s="17">
        <v>906</v>
      </c>
      <c r="C560" s="21" t="s">
        <v>303</v>
      </c>
      <c r="D560" s="21" t="s">
        <v>252</v>
      </c>
      <c r="E560" s="21" t="s">
        <v>477</v>
      </c>
      <c r="F560" s="21" t="s">
        <v>312</v>
      </c>
      <c r="G560" s="27">
        <f>G561</f>
        <v>2690</v>
      </c>
      <c r="H560" s="195"/>
    </row>
    <row r="561" spans="1:8" ht="15.75">
      <c r="A561" s="26" t="s">
        <v>313</v>
      </c>
      <c r="B561" s="17">
        <v>906</v>
      </c>
      <c r="C561" s="21" t="s">
        <v>303</v>
      </c>
      <c r="D561" s="21" t="s">
        <v>252</v>
      </c>
      <c r="E561" s="21" t="s">
        <v>477</v>
      </c>
      <c r="F561" s="21" t="s">
        <v>314</v>
      </c>
      <c r="G561" s="28">
        <f>3010-320</f>
        <v>2690</v>
      </c>
      <c r="H561" s="195"/>
    </row>
    <row r="562" spans="1:8" ht="63">
      <c r="A562" s="26" t="s">
        <v>478</v>
      </c>
      <c r="B562" s="17">
        <v>906</v>
      </c>
      <c r="C562" s="21" t="s">
        <v>303</v>
      </c>
      <c r="D562" s="21" t="s">
        <v>252</v>
      </c>
      <c r="E562" s="21" t="s">
        <v>479</v>
      </c>
      <c r="F562" s="21"/>
      <c r="G562" s="27">
        <f>G563</f>
        <v>320</v>
      </c>
      <c r="H562" s="195"/>
    </row>
    <row r="563" spans="1:8" ht="47.25">
      <c r="A563" s="26" t="s">
        <v>311</v>
      </c>
      <c r="B563" s="17">
        <v>906</v>
      </c>
      <c r="C563" s="21" t="s">
        <v>303</v>
      </c>
      <c r="D563" s="21" t="s">
        <v>252</v>
      </c>
      <c r="E563" s="21" t="s">
        <v>479</v>
      </c>
      <c r="F563" s="21" t="s">
        <v>312</v>
      </c>
      <c r="G563" s="27">
        <f>G564</f>
        <v>320</v>
      </c>
      <c r="H563" s="195"/>
    </row>
    <row r="564" spans="1:8" ht="15.75">
      <c r="A564" s="26" t="s">
        <v>313</v>
      </c>
      <c r="B564" s="17">
        <v>906</v>
      </c>
      <c r="C564" s="21" t="s">
        <v>303</v>
      </c>
      <c r="D564" s="21" t="s">
        <v>252</v>
      </c>
      <c r="E564" s="21" t="s">
        <v>479</v>
      </c>
      <c r="F564" s="21" t="s">
        <v>314</v>
      </c>
      <c r="G564" s="27">
        <v>320</v>
      </c>
      <c r="H564" s="195"/>
    </row>
    <row r="565" spans="1:8" ht="47.25" hidden="1">
      <c r="A565" s="26" t="s">
        <v>480</v>
      </c>
      <c r="B565" s="17">
        <v>906</v>
      </c>
      <c r="C565" s="21" t="s">
        <v>303</v>
      </c>
      <c r="D565" s="21" t="s">
        <v>252</v>
      </c>
      <c r="E565" s="21" t="s">
        <v>481</v>
      </c>
      <c r="F565" s="21"/>
      <c r="G565" s="27">
        <f>G566</f>
        <v>0</v>
      </c>
      <c r="H565" s="195"/>
    </row>
    <row r="566" spans="1:8" ht="47.25" hidden="1">
      <c r="A566" s="26" t="s">
        <v>311</v>
      </c>
      <c r="B566" s="17">
        <v>906</v>
      </c>
      <c r="C566" s="21" t="s">
        <v>303</v>
      </c>
      <c r="D566" s="21" t="s">
        <v>252</v>
      </c>
      <c r="E566" s="21" t="s">
        <v>481</v>
      </c>
      <c r="F566" s="21" t="s">
        <v>312</v>
      </c>
      <c r="G566" s="27">
        <f>G567</f>
        <v>0</v>
      </c>
      <c r="H566" s="195"/>
    </row>
    <row r="567" spans="1:8" ht="15.75" hidden="1">
      <c r="A567" s="26" t="s">
        <v>313</v>
      </c>
      <c r="B567" s="17">
        <v>906</v>
      </c>
      <c r="C567" s="21" t="s">
        <v>303</v>
      </c>
      <c r="D567" s="21" t="s">
        <v>252</v>
      </c>
      <c r="E567" s="21" t="s">
        <v>481</v>
      </c>
      <c r="F567" s="21" t="s">
        <v>314</v>
      </c>
      <c r="G567" s="27">
        <v>0</v>
      </c>
      <c r="H567" s="195"/>
    </row>
    <row r="568" spans="1:8" ht="47.25">
      <c r="A568" s="26" t="s">
        <v>317</v>
      </c>
      <c r="B568" s="17">
        <v>906</v>
      </c>
      <c r="C568" s="21" t="s">
        <v>303</v>
      </c>
      <c r="D568" s="21" t="s">
        <v>252</v>
      </c>
      <c r="E568" s="21" t="s">
        <v>482</v>
      </c>
      <c r="F568" s="21"/>
      <c r="G568" s="27">
        <f>G569</f>
        <v>3309</v>
      </c>
      <c r="H568" s="195"/>
    </row>
    <row r="569" spans="1:8" ht="47.25">
      <c r="A569" s="26" t="s">
        <v>311</v>
      </c>
      <c r="B569" s="17">
        <v>906</v>
      </c>
      <c r="C569" s="21" t="s">
        <v>303</v>
      </c>
      <c r="D569" s="21" t="s">
        <v>252</v>
      </c>
      <c r="E569" s="21" t="s">
        <v>482</v>
      </c>
      <c r="F569" s="21" t="s">
        <v>312</v>
      </c>
      <c r="G569" s="27">
        <f>G570</f>
        <v>3309</v>
      </c>
      <c r="H569" s="195"/>
    </row>
    <row r="570" spans="1:8" ht="15.75">
      <c r="A570" s="26" t="s">
        <v>313</v>
      </c>
      <c r="B570" s="17">
        <v>906</v>
      </c>
      <c r="C570" s="21" t="s">
        <v>303</v>
      </c>
      <c r="D570" s="21" t="s">
        <v>252</v>
      </c>
      <c r="E570" s="21" t="s">
        <v>482</v>
      </c>
      <c r="F570" s="21" t="s">
        <v>314</v>
      </c>
      <c r="G570" s="27">
        <f>341+2968</f>
        <v>3309</v>
      </c>
      <c r="H570" s="140"/>
    </row>
    <row r="571" spans="1:8" ht="31.5" hidden="1">
      <c r="A571" s="26" t="s">
        <v>319</v>
      </c>
      <c r="B571" s="17">
        <v>906</v>
      </c>
      <c r="C571" s="21" t="s">
        <v>303</v>
      </c>
      <c r="D571" s="21" t="s">
        <v>252</v>
      </c>
      <c r="E571" s="21" t="s">
        <v>483</v>
      </c>
      <c r="F571" s="21"/>
      <c r="G571" s="27">
        <f>G572</f>
        <v>0</v>
      </c>
      <c r="H571" s="195"/>
    </row>
    <row r="572" spans="1:8" ht="47.25" hidden="1">
      <c r="A572" s="26" t="s">
        <v>311</v>
      </c>
      <c r="B572" s="17">
        <v>906</v>
      </c>
      <c r="C572" s="21" t="s">
        <v>303</v>
      </c>
      <c r="D572" s="21" t="s">
        <v>252</v>
      </c>
      <c r="E572" s="21" t="s">
        <v>483</v>
      </c>
      <c r="F572" s="21" t="s">
        <v>312</v>
      </c>
      <c r="G572" s="27">
        <f>G573</f>
        <v>0</v>
      </c>
      <c r="H572" s="195"/>
    </row>
    <row r="573" spans="1:8" ht="15.75" hidden="1">
      <c r="A573" s="26" t="s">
        <v>313</v>
      </c>
      <c r="B573" s="17">
        <v>906</v>
      </c>
      <c r="C573" s="21" t="s">
        <v>303</v>
      </c>
      <c r="D573" s="21" t="s">
        <v>252</v>
      </c>
      <c r="E573" s="21" t="s">
        <v>483</v>
      </c>
      <c r="F573" s="21" t="s">
        <v>314</v>
      </c>
      <c r="G573" s="27">
        <v>0</v>
      </c>
      <c r="H573" s="195"/>
    </row>
    <row r="574" spans="1:8" ht="47.25">
      <c r="A574" s="26" t="s">
        <v>321</v>
      </c>
      <c r="B574" s="17">
        <v>906</v>
      </c>
      <c r="C574" s="21" t="s">
        <v>303</v>
      </c>
      <c r="D574" s="21" t="s">
        <v>252</v>
      </c>
      <c r="E574" s="21" t="s">
        <v>484</v>
      </c>
      <c r="F574" s="21"/>
      <c r="G574" s="27">
        <f>G575</f>
        <v>127</v>
      </c>
      <c r="H574" s="195"/>
    </row>
    <row r="575" spans="1:8" ht="47.25">
      <c r="A575" s="26" t="s">
        <v>311</v>
      </c>
      <c r="B575" s="17">
        <v>906</v>
      </c>
      <c r="C575" s="21" t="s">
        <v>303</v>
      </c>
      <c r="D575" s="21" t="s">
        <v>252</v>
      </c>
      <c r="E575" s="21" t="s">
        <v>484</v>
      </c>
      <c r="F575" s="21" t="s">
        <v>312</v>
      </c>
      <c r="G575" s="27">
        <f>G576</f>
        <v>127</v>
      </c>
      <c r="H575" s="195"/>
    </row>
    <row r="576" spans="1:8" ht="15.75">
      <c r="A576" s="26" t="s">
        <v>313</v>
      </c>
      <c r="B576" s="17">
        <v>906</v>
      </c>
      <c r="C576" s="21" t="s">
        <v>303</v>
      </c>
      <c r="D576" s="21" t="s">
        <v>252</v>
      </c>
      <c r="E576" s="21" t="s">
        <v>484</v>
      </c>
      <c r="F576" s="21" t="s">
        <v>314</v>
      </c>
      <c r="G576" s="27">
        <v>127</v>
      </c>
      <c r="H576" s="195"/>
    </row>
    <row r="577" spans="1:8" ht="31.5">
      <c r="A577" s="26" t="s">
        <v>323</v>
      </c>
      <c r="B577" s="17">
        <v>906</v>
      </c>
      <c r="C577" s="21" t="s">
        <v>303</v>
      </c>
      <c r="D577" s="21" t="s">
        <v>252</v>
      </c>
      <c r="E577" s="21" t="s">
        <v>485</v>
      </c>
      <c r="F577" s="21"/>
      <c r="G577" s="27">
        <f>G578</f>
        <v>229.4</v>
      </c>
      <c r="H577" s="195"/>
    </row>
    <row r="578" spans="1:8" ht="47.25">
      <c r="A578" s="26" t="s">
        <v>311</v>
      </c>
      <c r="B578" s="17">
        <v>906</v>
      </c>
      <c r="C578" s="21" t="s">
        <v>303</v>
      </c>
      <c r="D578" s="21" t="s">
        <v>252</v>
      </c>
      <c r="E578" s="21" t="s">
        <v>485</v>
      </c>
      <c r="F578" s="21" t="s">
        <v>312</v>
      </c>
      <c r="G578" s="27">
        <f>G579</f>
        <v>229.4</v>
      </c>
      <c r="H578" s="195"/>
    </row>
    <row r="579" spans="1:9" ht="15.75">
      <c r="A579" s="26" t="s">
        <v>313</v>
      </c>
      <c r="B579" s="17">
        <v>906</v>
      </c>
      <c r="C579" s="21" t="s">
        <v>303</v>
      </c>
      <c r="D579" s="21" t="s">
        <v>252</v>
      </c>
      <c r="E579" s="21" t="s">
        <v>485</v>
      </c>
      <c r="F579" s="21" t="s">
        <v>314</v>
      </c>
      <c r="G579" s="27">
        <v>229.4</v>
      </c>
      <c r="H579" s="126"/>
      <c r="I579" s="144"/>
    </row>
    <row r="580" spans="1:8" ht="15.75">
      <c r="A580" s="26" t="s">
        <v>160</v>
      </c>
      <c r="B580" s="17">
        <v>906</v>
      </c>
      <c r="C580" s="21" t="s">
        <v>303</v>
      </c>
      <c r="D580" s="21" t="s">
        <v>252</v>
      </c>
      <c r="E580" s="21" t="s">
        <v>161</v>
      </c>
      <c r="F580" s="21"/>
      <c r="G580" s="27">
        <f>G581</f>
        <v>89857.8</v>
      </c>
      <c r="H580" s="195"/>
    </row>
    <row r="581" spans="1:8" ht="31.5">
      <c r="A581" s="26" t="s">
        <v>224</v>
      </c>
      <c r="B581" s="17">
        <v>906</v>
      </c>
      <c r="C581" s="21" t="s">
        <v>303</v>
      </c>
      <c r="D581" s="21" t="s">
        <v>252</v>
      </c>
      <c r="E581" s="21" t="s">
        <v>225</v>
      </c>
      <c r="F581" s="21"/>
      <c r="G581" s="27">
        <f>G588+G591+G597+G600+G603+G606+G582+G585+G609+G594</f>
        <v>89857.8</v>
      </c>
      <c r="H581" s="195"/>
    </row>
    <row r="582" spans="1:8" ht="47.25" hidden="1">
      <c r="A582" s="26" t="s">
        <v>490</v>
      </c>
      <c r="B582" s="17">
        <v>906</v>
      </c>
      <c r="C582" s="21" t="s">
        <v>303</v>
      </c>
      <c r="D582" s="21" t="s">
        <v>252</v>
      </c>
      <c r="E582" s="21" t="s">
        <v>491</v>
      </c>
      <c r="F582" s="21"/>
      <c r="G582" s="27">
        <f>G583</f>
        <v>0</v>
      </c>
      <c r="H582" s="195"/>
    </row>
    <row r="583" spans="1:8" ht="47.25" hidden="1">
      <c r="A583" s="26" t="s">
        <v>311</v>
      </c>
      <c r="B583" s="17">
        <v>906</v>
      </c>
      <c r="C583" s="21" t="s">
        <v>303</v>
      </c>
      <c r="D583" s="21" t="s">
        <v>252</v>
      </c>
      <c r="E583" s="21" t="s">
        <v>491</v>
      </c>
      <c r="F583" s="21" t="s">
        <v>312</v>
      </c>
      <c r="G583" s="27">
        <f>G584</f>
        <v>0</v>
      </c>
      <c r="H583" s="195"/>
    </row>
    <row r="584" spans="1:8" ht="15.75" hidden="1">
      <c r="A584" s="26" t="s">
        <v>313</v>
      </c>
      <c r="B584" s="17">
        <v>906</v>
      </c>
      <c r="C584" s="21" t="s">
        <v>303</v>
      </c>
      <c r="D584" s="21" t="s">
        <v>252</v>
      </c>
      <c r="E584" s="21" t="s">
        <v>491</v>
      </c>
      <c r="F584" s="21" t="s">
        <v>314</v>
      </c>
      <c r="G584" s="27">
        <v>0</v>
      </c>
      <c r="H584" s="195"/>
    </row>
    <row r="585" spans="1:8" ht="15.75" hidden="1">
      <c r="A585" s="26" t="s">
        <v>492</v>
      </c>
      <c r="B585" s="17">
        <v>906</v>
      </c>
      <c r="C585" s="21" t="s">
        <v>303</v>
      </c>
      <c r="D585" s="21" t="s">
        <v>252</v>
      </c>
      <c r="E585" s="21" t="s">
        <v>493</v>
      </c>
      <c r="F585" s="21"/>
      <c r="G585" s="27">
        <f>G586</f>
        <v>0</v>
      </c>
      <c r="H585" s="195"/>
    </row>
    <row r="586" spans="1:8" ht="47.25" hidden="1">
      <c r="A586" s="26" t="s">
        <v>311</v>
      </c>
      <c r="B586" s="17">
        <v>906</v>
      </c>
      <c r="C586" s="21" t="s">
        <v>303</v>
      </c>
      <c r="D586" s="21" t="s">
        <v>252</v>
      </c>
      <c r="E586" s="21" t="s">
        <v>493</v>
      </c>
      <c r="F586" s="21" t="s">
        <v>312</v>
      </c>
      <c r="G586" s="27">
        <f>G587</f>
        <v>0</v>
      </c>
      <c r="H586" s="195"/>
    </row>
    <row r="587" spans="1:8" ht="15.75" hidden="1">
      <c r="A587" s="26" t="s">
        <v>313</v>
      </c>
      <c r="B587" s="17">
        <v>906</v>
      </c>
      <c r="C587" s="21" t="s">
        <v>303</v>
      </c>
      <c r="D587" s="21" t="s">
        <v>252</v>
      </c>
      <c r="E587" s="21" t="s">
        <v>493</v>
      </c>
      <c r="F587" s="21" t="s">
        <v>314</v>
      </c>
      <c r="G587" s="28">
        <v>0</v>
      </c>
      <c r="H587" s="195"/>
    </row>
    <row r="588" spans="1:8" ht="31.5" hidden="1">
      <c r="A588" s="26" t="s">
        <v>494</v>
      </c>
      <c r="B588" s="17">
        <v>906</v>
      </c>
      <c r="C588" s="21" t="s">
        <v>303</v>
      </c>
      <c r="D588" s="21" t="s">
        <v>252</v>
      </c>
      <c r="E588" s="21" t="s">
        <v>495</v>
      </c>
      <c r="F588" s="21"/>
      <c r="G588" s="27">
        <f>G589</f>
        <v>0</v>
      </c>
      <c r="H588" s="195"/>
    </row>
    <row r="589" spans="1:8" ht="47.25" hidden="1">
      <c r="A589" s="26" t="s">
        <v>311</v>
      </c>
      <c r="B589" s="17">
        <v>906</v>
      </c>
      <c r="C589" s="21" t="s">
        <v>303</v>
      </c>
      <c r="D589" s="21" t="s">
        <v>252</v>
      </c>
      <c r="E589" s="21" t="s">
        <v>495</v>
      </c>
      <c r="F589" s="21" t="s">
        <v>312</v>
      </c>
      <c r="G589" s="27">
        <f>G590</f>
        <v>0</v>
      </c>
      <c r="H589" s="195"/>
    </row>
    <row r="590" spans="1:9" ht="15.75" hidden="1">
      <c r="A590" s="26" t="s">
        <v>313</v>
      </c>
      <c r="B590" s="17">
        <v>906</v>
      </c>
      <c r="C590" s="21" t="s">
        <v>303</v>
      </c>
      <c r="D590" s="21" t="s">
        <v>252</v>
      </c>
      <c r="E590" s="21" t="s">
        <v>495</v>
      </c>
      <c r="F590" s="21" t="s">
        <v>314</v>
      </c>
      <c r="G590" s="27">
        <f>157.3-157.3</f>
        <v>0</v>
      </c>
      <c r="H590" s="195"/>
      <c r="I590" s="135"/>
    </row>
    <row r="591" spans="1:8" ht="31.5">
      <c r="A591" s="26" t="s">
        <v>496</v>
      </c>
      <c r="B591" s="17">
        <v>906</v>
      </c>
      <c r="C591" s="21" t="s">
        <v>303</v>
      </c>
      <c r="D591" s="21" t="s">
        <v>252</v>
      </c>
      <c r="E591" s="21" t="s">
        <v>497</v>
      </c>
      <c r="F591" s="21"/>
      <c r="G591" s="27">
        <f>G592</f>
        <v>1293.6</v>
      </c>
      <c r="H591" s="195"/>
    </row>
    <row r="592" spans="1:12" ht="47.25">
      <c r="A592" s="26" t="s">
        <v>311</v>
      </c>
      <c r="B592" s="17">
        <v>906</v>
      </c>
      <c r="C592" s="21" t="s">
        <v>303</v>
      </c>
      <c r="D592" s="21" t="s">
        <v>252</v>
      </c>
      <c r="E592" s="21" t="s">
        <v>497</v>
      </c>
      <c r="F592" s="21" t="s">
        <v>312</v>
      </c>
      <c r="G592" s="27">
        <f>G593</f>
        <v>1293.6</v>
      </c>
      <c r="H592" s="195"/>
      <c r="L592" s="136"/>
    </row>
    <row r="593" spans="1:9" ht="15.75">
      <c r="A593" s="26" t="s">
        <v>313</v>
      </c>
      <c r="B593" s="17">
        <v>906</v>
      </c>
      <c r="C593" s="21" t="s">
        <v>303</v>
      </c>
      <c r="D593" s="21" t="s">
        <v>252</v>
      </c>
      <c r="E593" s="21" t="s">
        <v>497</v>
      </c>
      <c r="F593" s="21" t="s">
        <v>314</v>
      </c>
      <c r="G593" s="28">
        <f>1572.5-278.9</f>
        <v>1293.6</v>
      </c>
      <c r="H593" s="195"/>
      <c r="I593" s="135"/>
    </row>
    <row r="594" spans="1:8" ht="47.25">
      <c r="A594" s="26" t="s">
        <v>498</v>
      </c>
      <c r="B594" s="17">
        <v>906</v>
      </c>
      <c r="C594" s="21" t="s">
        <v>303</v>
      </c>
      <c r="D594" s="21" t="s">
        <v>252</v>
      </c>
      <c r="E594" s="21" t="s">
        <v>499</v>
      </c>
      <c r="F594" s="21"/>
      <c r="G594" s="28">
        <f>G595</f>
        <v>488.7</v>
      </c>
      <c r="H594" s="195"/>
    </row>
    <row r="595" spans="1:8" ht="47.25">
      <c r="A595" s="26" t="s">
        <v>311</v>
      </c>
      <c r="B595" s="17">
        <v>906</v>
      </c>
      <c r="C595" s="21" t="s">
        <v>303</v>
      </c>
      <c r="D595" s="21" t="s">
        <v>252</v>
      </c>
      <c r="E595" s="21" t="s">
        <v>499</v>
      </c>
      <c r="F595" s="21" t="s">
        <v>312</v>
      </c>
      <c r="G595" s="28">
        <f>G596</f>
        <v>488.7</v>
      </c>
      <c r="H595" s="195"/>
    </row>
    <row r="596" spans="1:9" ht="15.75">
      <c r="A596" s="26" t="s">
        <v>313</v>
      </c>
      <c r="B596" s="17">
        <v>906</v>
      </c>
      <c r="C596" s="21" t="s">
        <v>303</v>
      </c>
      <c r="D596" s="21" t="s">
        <v>252</v>
      </c>
      <c r="E596" s="21" t="s">
        <v>499</v>
      </c>
      <c r="F596" s="21" t="s">
        <v>314</v>
      </c>
      <c r="G596" s="28">
        <f>733.5-244.8</f>
        <v>488.7</v>
      </c>
      <c r="H596" s="195"/>
      <c r="I596" s="135"/>
    </row>
    <row r="597" spans="1:8" ht="94.5">
      <c r="A597" s="33" t="s">
        <v>500</v>
      </c>
      <c r="B597" s="17">
        <v>906</v>
      </c>
      <c r="C597" s="21" t="s">
        <v>303</v>
      </c>
      <c r="D597" s="21" t="s">
        <v>252</v>
      </c>
      <c r="E597" s="21" t="s">
        <v>501</v>
      </c>
      <c r="F597" s="21"/>
      <c r="G597" s="27">
        <f>G598</f>
        <v>79753.6</v>
      </c>
      <c r="H597" s="195"/>
    </row>
    <row r="598" spans="1:8" ht="47.25">
      <c r="A598" s="26" t="s">
        <v>311</v>
      </c>
      <c r="B598" s="17">
        <v>906</v>
      </c>
      <c r="C598" s="21" t="s">
        <v>303</v>
      </c>
      <c r="D598" s="21" t="s">
        <v>252</v>
      </c>
      <c r="E598" s="21" t="s">
        <v>501</v>
      </c>
      <c r="F598" s="21" t="s">
        <v>312</v>
      </c>
      <c r="G598" s="27">
        <f>G599</f>
        <v>79753.6</v>
      </c>
      <c r="H598" s="195"/>
    </row>
    <row r="599" spans="1:9" ht="15.75">
      <c r="A599" s="26" t="s">
        <v>313</v>
      </c>
      <c r="B599" s="17">
        <v>906</v>
      </c>
      <c r="C599" s="21" t="s">
        <v>303</v>
      </c>
      <c r="D599" s="21" t="s">
        <v>252</v>
      </c>
      <c r="E599" s="21" t="s">
        <v>501</v>
      </c>
      <c r="F599" s="21" t="s">
        <v>314</v>
      </c>
      <c r="G599" s="28">
        <f>93568.6-13815</f>
        <v>79753.6</v>
      </c>
      <c r="H599" s="195"/>
      <c r="I599" s="135"/>
    </row>
    <row r="600" spans="1:8" ht="63">
      <c r="A600" s="33" t="s">
        <v>328</v>
      </c>
      <c r="B600" s="17">
        <v>906</v>
      </c>
      <c r="C600" s="21" t="s">
        <v>303</v>
      </c>
      <c r="D600" s="21" t="s">
        <v>252</v>
      </c>
      <c r="E600" s="21" t="s">
        <v>329</v>
      </c>
      <c r="F600" s="21"/>
      <c r="G600" s="27">
        <f>G601</f>
        <v>910.9000000000001</v>
      </c>
      <c r="H600" s="195"/>
    </row>
    <row r="601" spans="1:8" ht="47.25">
      <c r="A601" s="26" t="s">
        <v>311</v>
      </c>
      <c r="B601" s="17">
        <v>906</v>
      </c>
      <c r="C601" s="21" t="s">
        <v>303</v>
      </c>
      <c r="D601" s="21" t="s">
        <v>252</v>
      </c>
      <c r="E601" s="21" t="s">
        <v>329</v>
      </c>
      <c r="F601" s="21" t="s">
        <v>312</v>
      </c>
      <c r="G601" s="27">
        <f>G602</f>
        <v>910.9000000000001</v>
      </c>
      <c r="H601" s="195"/>
    </row>
    <row r="602" spans="1:9" ht="15.75">
      <c r="A602" s="26" t="s">
        <v>313</v>
      </c>
      <c r="B602" s="17">
        <v>906</v>
      </c>
      <c r="C602" s="21" t="s">
        <v>303</v>
      </c>
      <c r="D602" s="21" t="s">
        <v>252</v>
      </c>
      <c r="E602" s="21" t="s">
        <v>329</v>
      </c>
      <c r="F602" s="21" t="s">
        <v>314</v>
      </c>
      <c r="G602" s="28">
        <f>1101.7-190.8</f>
        <v>910.9000000000001</v>
      </c>
      <c r="H602" s="195"/>
      <c r="I602" s="135"/>
    </row>
    <row r="603" spans="1:8" ht="78.75">
      <c r="A603" s="33" t="s">
        <v>330</v>
      </c>
      <c r="B603" s="17">
        <v>906</v>
      </c>
      <c r="C603" s="21" t="s">
        <v>303</v>
      </c>
      <c r="D603" s="21" t="s">
        <v>252</v>
      </c>
      <c r="E603" s="21" t="s">
        <v>331</v>
      </c>
      <c r="F603" s="21"/>
      <c r="G603" s="27">
        <f>G604</f>
        <v>2155.5</v>
      </c>
      <c r="H603" s="195"/>
    </row>
    <row r="604" spans="1:8" ht="47.25">
      <c r="A604" s="26" t="s">
        <v>311</v>
      </c>
      <c r="B604" s="17">
        <v>906</v>
      </c>
      <c r="C604" s="21" t="s">
        <v>303</v>
      </c>
      <c r="D604" s="21" t="s">
        <v>252</v>
      </c>
      <c r="E604" s="21" t="s">
        <v>331</v>
      </c>
      <c r="F604" s="21" t="s">
        <v>312</v>
      </c>
      <c r="G604" s="27">
        <f>G605</f>
        <v>2155.5</v>
      </c>
      <c r="H604" s="195"/>
    </row>
    <row r="605" spans="1:9" ht="15.75">
      <c r="A605" s="26" t="s">
        <v>313</v>
      </c>
      <c r="B605" s="17">
        <v>906</v>
      </c>
      <c r="C605" s="21" t="s">
        <v>303</v>
      </c>
      <c r="D605" s="21" t="s">
        <v>252</v>
      </c>
      <c r="E605" s="21" t="s">
        <v>331</v>
      </c>
      <c r="F605" s="21" t="s">
        <v>314</v>
      </c>
      <c r="G605" s="28">
        <f>2823.2-667.7</f>
        <v>2155.5</v>
      </c>
      <c r="H605" s="195"/>
      <c r="I605" s="135"/>
    </row>
    <row r="606" spans="1:8" ht="47.25">
      <c r="A606" s="33" t="s">
        <v>502</v>
      </c>
      <c r="B606" s="17">
        <v>906</v>
      </c>
      <c r="C606" s="21" t="s">
        <v>303</v>
      </c>
      <c r="D606" s="21" t="s">
        <v>252</v>
      </c>
      <c r="E606" s="21" t="s">
        <v>503</v>
      </c>
      <c r="F606" s="21"/>
      <c r="G606" s="27">
        <f>G607</f>
        <v>886.5</v>
      </c>
      <c r="H606" s="195"/>
    </row>
    <row r="607" spans="1:8" ht="47.25">
      <c r="A607" s="26" t="s">
        <v>311</v>
      </c>
      <c r="B607" s="17">
        <v>906</v>
      </c>
      <c r="C607" s="21" t="s">
        <v>303</v>
      </c>
      <c r="D607" s="21" t="s">
        <v>252</v>
      </c>
      <c r="E607" s="21" t="s">
        <v>503</v>
      </c>
      <c r="F607" s="21" t="s">
        <v>312</v>
      </c>
      <c r="G607" s="27">
        <f>G608</f>
        <v>886.5</v>
      </c>
      <c r="H607" s="195"/>
    </row>
    <row r="608" spans="1:9" ht="15.75">
      <c r="A608" s="26" t="s">
        <v>313</v>
      </c>
      <c r="B608" s="17">
        <v>906</v>
      </c>
      <c r="C608" s="21" t="s">
        <v>303</v>
      </c>
      <c r="D608" s="21" t="s">
        <v>252</v>
      </c>
      <c r="E608" s="21" t="s">
        <v>503</v>
      </c>
      <c r="F608" s="21" t="s">
        <v>314</v>
      </c>
      <c r="G608" s="28">
        <f>998.4-111.9</f>
        <v>886.5</v>
      </c>
      <c r="H608" s="195"/>
      <c r="I608" s="135"/>
    </row>
    <row r="609" spans="1:8" ht="110.25">
      <c r="A609" s="33" t="s">
        <v>504</v>
      </c>
      <c r="B609" s="17">
        <v>906</v>
      </c>
      <c r="C609" s="21" t="s">
        <v>303</v>
      </c>
      <c r="D609" s="21" t="s">
        <v>252</v>
      </c>
      <c r="E609" s="21" t="s">
        <v>333</v>
      </c>
      <c r="F609" s="21"/>
      <c r="G609" s="27">
        <f>G610</f>
        <v>4369</v>
      </c>
      <c r="H609" s="195"/>
    </row>
    <row r="610" spans="1:8" ht="47.25">
      <c r="A610" s="26" t="s">
        <v>311</v>
      </c>
      <c r="B610" s="17">
        <v>906</v>
      </c>
      <c r="C610" s="21" t="s">
        <v>303</v>
      </c>
      <c r="D610" s="21" t="s">
        <v>252</v>
      </c>
      <c r="E610" s="21" t="s">
        <v>333</v>
      </c>
      <c r="F610" s="21" t="s">
        <v>312</v>
      </c>
      <c r="G610" s="27">
        <f>G611</f>
        <v>4369</v>
      </c>
      <c r="H610" s="195"/>
    </row>
    <row r="611" spans="1:9" ht="15.75">
      <c r="A611" s="26" t="s">
        <v>313</v>
      </c>
      <c r="B611" s="17">
        <v>906</v>
      </c>
      <c r="C611" s="21" t="s">
        <v>303</v>
      </c>
      <c r="D611" s="21" t="s">
        <v>252</v>
      </c>
      <c r="E611" s="21" t="s">
        <v>333</v>
      </c>
      <c r="F611" s="21" t="s">
        <v>314</v>
      </c>
      <c r="G611" s="28">
        <f>5441.9-1072.9</f>
        <v>4369</v>
      </c>
      <c r="H611" s="195"/>
      <c r="I611" s="135"/>
    </row>
    <row r="612" spans="1:9" ht="15.75">
      <c r="A612" s="24" t="s">
        <v>304</v>
      </c>
      <c r="B612" s="20">
        <v>906</v>
      </c>
      <c r="C612" s="25" t="s">
        <v>303</v>
      </c>
      <c r="D612" s="25" t="s">
        <v>254</v>
      </c>
      <c r="E612" s="25"/>
      <c r="F612" s="25"/>
      <c r="G612" s="46">
        <f>G613+G622</f>
        <v>23062.100000000002</v>
      </c>
      <c r="H612" s="195"/>
      <c r="I612" s="135"/>
    </row>
    <row r="613" spans="1:9" ht="47.25">
      <c r="A613" s="26" t="s">
        <v>466</v>
      </c>
      <c r="B613" s="17">
        <v>906</v>
      </c>
      <c r="C613" s="21" t="s">
        <v>303</v>
      </c>
      <c r="D613" s="21" t="s">
        <v>254</v>
      </c>
      <c r="E613" s="21" t="s">
        <v>446</v>
      </c>
      <c r="F613" s="21"/>
      <c r="G613" s="28">
        <f>G614+G620</f>
        <v>21479.9</v>
      </c>
      <c r="H613" s="195"/>
      <c r="I613" s="135"/>
    </row>
    <row r="614" spans="1:9" ht="47.25">
      <c r="A614" s="26" t="s">
        <v>447</v>
      </c>
      <c r="B614" s="17">
        <v>906</v>
      </c>
      <c r="C614" s="21" t="s">
        <v>303</v>
      </c>
      <c r="D614" s="21" t="s">
        <v>254</v>
      </c>
      <c r="E614" s="21" t="s">
        <v>448</v>
      </c>
      <c r="F614" s="21"/>
      <c r="G614" s="28">
        <f>G615</f>
        <v>21124</v>
      </c>
      <c r="H614" s="195"/>
      <c r="I614" s="135"/>
    </row>
    <row r="615" spans="1:9" ht="47.25">
      <c r="A615" s="26" t="s">
        <v>309</v>
      </c>
      <c r="B615" s="17">
        <v>906</v>
      </c>
      <c r="C615" s="21" t="s">
        <v>303</v>
      </c>
      <c r="D615" s="21" t="s">
        <v>254</v>
      </c>
      <c r="E615" s="21" t="s">
        <v>469</v>
      </c>
      <c r="F615" s="21"/>
      <c r="G615" s="28">
        <f>G616</f>
        <v>21124</v>
      </c>
      <c r="H615" s="195"/>
      <c r="I615" s="135"/>
    </row>
    <row r="616" spans="1:9" ht="47.25">
      <c r="A616" s="26" t="s">
        <v>311</v>
      </c>
      <c r="B616" s="17">
        <v>906</v>
      </c>
      <c r="C616" s="21" t="s">
        <v>303</v>
      </c>
      <c r="D616" s="21" t="s">
        <v>254</v>
      </c>
      <c r="E616" s="21" t="s">
        <v>469</v>
      </c>
      <c r="F616" s="21" t="s">
        <v>312</v>
      </c>
      <c r="G616" s="28">
        <f>G617</f>
        <v>21124</v>
      </c>
      <c r="H616" s="195"/>
      <c r="I616" s="135"/>
    </row>
    <row r="617" spans="1:9" ht="15.75">
      <c r="A617" s="26" t="s">
        <v>313</v>
      </c>
      <c r="B617" s="17">
        <v>906</v>
      </c>
      <c r="C617" s="21" t="s">
        <v>303</v>
      </c>
      <c r="D617" s="21" t="s">
        <v>254</v>
      </c>
      <c r="E617" s="21" t="s">
        <v>469</v>
      </c>
      <c r="F617" s="21" t="s">
        <v>314</v>
      </c>
      <c r="G617" s="28">
        <f>21044+80</f>
        <v>21124</v>
      </c>
      <c r="H617" s="126"/>
      <c r="I617" s="145"/>
    </row>
    <row r="618" spans="1:9" ht="47.25">
      <c r="A618" s="33" t="s">
        <v>768</v>
      </c>
      <c r="B618" s="17">
        <v>906</v>
      </c>
      <c r="C618" s="21" t="s">
        <v>303</v>
      </c>
      <c r="D618" s="21" t="s">
        <v>254</v>
      </c>
      <c r="E618" s="21" t="s">
        <v>487</v>
      </c>
      <c r="F618" s="21"/>
      <c r="G618" s="28">
        <f>G619</f>
        <v>355.9</v>
      </c>
      <c r="H618" s="195"/>
      <c r="I618" s="135"/>
    </row>
    <row r="619" spans="1:9" ht="31.5">
      <c r="A619" s="47" t="s">
        <v>769</v>
      </c>
      <c r="B619" s="17">
        <v>906</v>
      </c>
      <c r="C619" s="21" t="s">
        <v>303</v>
      </c>
      <c r="D619" s="21" t="s">
        <v>254</v>
      </c>
      <c r="E619" s="21" t="s">
        <v>770</v>
      </c>
      <c r="F619" s="21"/>
      <c r="G619" s="28">
        <f>G620</f>
        <v>355.9</v>
      </c>
      <c r="H619" s="195"/>
      <c r="I619" s="135"/>
    </row>
    <row r="620" spans="1:9" ht="47.25">
      <c r="A620" s="33" t="s">
        <v>311</v>
      </c>
      <c r="B620" s="17">
        <v>906</v>
      </c>
      <c r="C620" s="21" t="s">
        <v>303</v>
      </c>
      <c r="D620" s="21" t="s">
        <v>254</v>
      </c>
      <c r="E620" s="21" t="s">
        <v>770</v>
      </c>
      <c r="F620" s="21" t="s">
        <v>312</v>
      </c>
      <c r="G620" s="28">
        <f>G621</f>
        <v>355.9</v>
      </c>
      <c r="H620" s="126"/>
      <c r="I620" s="135"/>
    </row>
    <row r="621" spans="1:9" ht="15.75">
      <c r="A621" s="33" t="s">
        <v>313</v>
      </c>
      <c r="B621" s="17">
        <v>906</v>
      </c>
      <c r="C621" s="21" t="s">
        <v>303</v>
      </c>
      <c r="D621" s="21" t="s">
        <v>254</v>
      </c>
      <c r="E621" s="21" t="s">
        <v>770</v>
      </c>
      <c r="F621" s="21" t="s">
        <v>314</v>
      </c>
      <c r="G621" s="28">
        <v>355.9</v>
      </c>
      <c r="H621" s="195"/>
      <c r="I621" s="135"/>
    </row>
    <row r="622" spans="1:9" ht="15.75">
      <c r="A622" s="26" t="s">
        <v>505</v>
      </c>
      <c r="B622" s="17">
        <v>906</v>
      </c>
      <c r="C622" s="21" t="s">
        <v>303</v>
      </c>
      <c r="D622" s="21" t="s">
        <v>254</v>
      </c>
      <c r="E622" s="21" t="s">
        <v>161</v>
      </c>
      <c r="F622" s="21"/>
      <c r="G622" s="28">
        <f>G623</f>
        <v>1582.2</v>
      </c>
      <c r="H622" s="195"/>
      <c r="I622" s="135"/>
    </row>
    <row r="623" spans="1:9" ht="31.5">
      <c r="A623" s="26" t="s">
        <v>224</v>
      </c>
      <c r="B623" s="17">
        <v>906</v>
      </c>
      <c r="C623" s="21" t="s">
        <v>303</v>
      </c>
      <c r="D623" s="21" t="s">
        <v>254</v>
      </c>
      <c r="E623" s="21" t="s">
        <v>225</v>
      </c>
      <c r="F623" s="21"/>
      <c r="G623" s="28">
        <f>G624+G627+G630</f>
        <v>1582.2</v>
      </c>
      <c r="H623" s="195"/>
      <c r="I623" s="135"/>
    </row>
    <row r="624" spans="1:9" ht="63">
      <c r="A624" s="33" t="s">
        <v>328</v>
      </c>
      <c r="B624" s="17">
        <v>906</v>
      </c>
      <c r="C624" s="21" t="s">
        <v>303</v>
      </c>
      <c r="D624" s="21" t="s">
        <v>254</v>
      </c>
      <c r="E624" s="21" t="s">
        <v>329</v>
      </c>
      <c r="F624" s="21"/>
      <c r="G624" s="28">
        <f>G625</f>
        <v>110</v>
      </c>
      <c r="H624" s="195"/>
      <c r="I624" s="135"/>
    </row>
    <row r="625" spans="1:9" ht="47.25">
      <c r="A625" s="26" t="s">
        <v>311</v>
      </c>
      <c r="B625" s="17">
        <v>906</v>
      </c>
      <c r="C625" s="21" t="s">
        <v>303</v>
      </c>
      <c r="D625" s="21" t="s">
        <v>254</v>
      </c>
      <c r="E625" s="21" t="s">
        <v>329</v>
      </c>
      <c r="F625" s="21" t="s">
        <v>312</v>
      </c>
      <c r="G625" s="28">
        <f>G626</f>
        <v>110</v>
      </c>
      <c r="H625" s="195"/>
      <c r="I625" s="135"/>
    </row>
    <row r="626" spans="1:9" ht="15.75">
      <c r="A626" s="26" t="s">
        <v>313</v>
      </c>
      <c r="B626" s="17">
        <v>906</v>
      </c>
      <c r="C626" s="21" t="s">
        <v>303</v>
      </c>
      <c r="D626" s="21" t="s">
        <v>254</v>
      </c>
      <c r="E626" s="21" t="s">
        <v>329</v>
      </c>
      <c r="F626" s="21" t="s">
        <v>314</v>
      </c>
      <c r="G626" s="28">
        <v>110</v>
      </c>
      <c r="H626" s="195"/>
      <c r="I626" s="135"/>
    </row>
    <row r="627" spans="1:9" ht="78.75">
      <c r="A627" s="33" t="s">
        <v>330</v>
      </c>
      <c r="B627" s="17">
        <v>906</v>
      </c>
      <c r="C627" s="21" t="s">
        <v>303</v>
      </c>
      <c r="D627" s="21" t="s">
        <v>254</v>
      </c>
      <c r="E627" s="21" t="s">
        <v>331</v>
      </c>
      <c r="F627" s="21"/>
      <c r="G627" s="28">
        <f>G628</f>
        <v>572.2</v>
      </c>
      <c r="H627" s="195"/>
      <c r="I627" s="135"/>
    </row>
    <row r="628" spans="1:9" ht="47.25">
      <c r="A628" s="26" t="s">
        <v>311</v>
      </c>
      <c r="B628" s="17">
        <v>906</v>
      </c>
      <c r="C628" s="21" t="s">
        <v>303</v>
      </c>
      <c r="D628" s="21" t="s">
        <v>254</v>
      </c>
      <c r="E628" s="21" t="s">
        <v>331</v>
      </c>
      <c r="F628" s="21" t="s">
        <v>312</v>
      </c>
      <c r="G628" s="28">
        <f>G629</f>
        <v>572.2</v>
      </c>
      <c r="H628" s="195"/>
      <c r="I628" s="135"/>
    </row>
    <row r="629" spans="1:9" ht="15.75">
      <c r="A629" s="26" t="s">
        <v>313</v>
      </c>
      <c r="B629" s="17">
        <v>906</v>
      </c>
      <c r="C629" s="21" t="s">
        <v>303</v>
      </c>
      <c r="D629" s="21" t="s">
        <v>254</v>
      </c>
      <c r="E629" s="21" t="s">
        <v>331</v>
      </c>
      <c r="F629" s="21" t="s">
        <v>314</v>
      </c>
      <c r="G629" s="28">
        <v>572.2</v>
      </c>
      <c r="H629" s="195"/>
      <c r="I629" s="135"/>
    </row>
    <row r="630" spans="1:9" ht="110.25">
      <c r="A630" s="33" t="s">
        <v>332</v>
      </c>
      <c r="B630" s="17">
        <v>906</v>
      </c>
      <c r="C630" s="21" t="s">
        <v>303</v>
      </c>
      <c r="D630" s="21" t="s">
        <v>254</v>
      </c>
      <c r="E630" s="21" t="s">
        <v>333</v>
      </c>
      <c r="F630" s="21"/>
      <c r="G630" s="28">
        <f>G631</f>
        <v>900</v>
      </c>
      <c r="H630" s="195"/>
      <c r="I630" s="135"/>
    </row>
    <row r="631" spans="1:9" ht="47.25">
      <c r="A631" s="26" t="s">
        <v>311</v>
      </c>
      <c r="B631" s="17">
        <v>906</v>
      </c>
      <c r="C631" s="21" t="s">
        <v>303</v>
      </c>
      <c r="D631" s="21" t="s">
        <v>254</v>
      </c>
      <c r="E631" s="21" t="s">
        <v>333</v>
      </c>
      <c r="F631" s="21" t="s">
        <v>312</v>
      </c>
      <c r="G631" s="28">
        <f>G632</f>
        <v>900</v>
      </c>
      <c r="H631" s="195"/>
      <c r="I631" s="135"/>
    </row>
    <row r="632" spans="1:9" ht="15.75">
      <c r="A632" s="26" t="s">
        <v>313</v>
      </c>
      <c r="B632" s="17">
        <v>906</v>
      </c>
      <c r="C632" s="21" t="s">
        <v>303</v>
      </c>
      <c r="D632" s="21" t="s">
        <v>254</v>
      </c>
      <c r="E632" s="21" t="s">
        <v>333</v>
      </c>
      <c r="F632" s="21" t="s">
        <v>314</v>
      </c>
      <c r="G632" s="28">
        <v>900</v>
      </c>
      <c r="H632" s="195"/>
      <c r="I632" s="135"/>
    </row>
    <row r="633" spans="1:8" ht="31.5">
      <c r="A633" s="24" t="s">
        <v>506</v>
      </c>
      <c r="B633" s="20">
        <v>906</v>
      </c>
      <c r="C633" s="25" t="s">
        <v>303</v>
      </c>
      <c r="D633" s="25" t="s">
        <v>303</v>
      </c>
      <c r="E633" s="25"/>
      <c r="F633" s="25"/>
      <c r="G633" s="22">
        <f>G634+G639</f>
        <v>4788.6</v>
      </c>
      <c r="H633" s="195"/>
    </row>
    <row r="634" spans="1:8" ht="47.25">
      <c r="A634" s="26" t="s">
        <v>466</v>
      </c>
      <c r="B634" s="17">
        <v>906</v>
      </c>
      <c r="C634" s="21" t="s">
        <v>303</v>
      </c>
      <c r="D634" s="21" t="s">
        <v>303</v>
      </c>
      <c r="E634" s="21" t="s">
        <v>446</v>
      </c>
      <c r="F634" s="21"/>
      <c r="G634" s="27">
        <f>G635</f>
        <v>3484.8</v>
      </c>
      <c r="H634" s="195"/>
    </row>
    <row r="635" spans="1:8" ht="31.5">
      <c r="A635" s="26" t="s">
        <v>507</v>
      </c>
      <c r="B635" s="17">
        <v>906</v>
      </c>
      <c r="C635" s="21" t="s">
        <v>303</v>
      </c>
      <c r="D635" s="21" t="s">
        <v>508</v>
      </c>
      <c r="E635" s="21" t="s">
        <v>509</v>
      </c>
      <c r="F635" s="21"/>
      <c r="G635" s="27">
        <f>G636</f>
        <v>3484.8</v>
      </c>
      <c r="H635" s="195"/>
    </row>
    <row r="636" spans="1:8" ht="47.25">
      <c r="A636" s="26" t="s">
        <v>510</v>
      </c>
      <c r="B636" s="17">
        <v>906</v>
      </c>
      <c r="C636" s="21" t="s">
        <v>303</v>
      </c>
      <c r="D636" s="21" t="s">
        <v>303</v>
      </c>
      <c r="E636" s="21" t="s">
        <v>511</v>
      </c>
      <c r="F636" s="21"/>
      <c r="G636" s="27">
        <f>G637</f>
        <v>3484.8</v>
      </c>
      <c r="H636" s="195"/>
    </row>
    <row r="637" spans="1:8" ht="47.25">
      <c r="A637" s="26" t="s">
        <v>311</v>
      </c>
      <c r="B637" s="17">
        <v>906</v>
      </c>
      <c r="C637" s="21" t="s">
        <v>303</v>
      </c>
      <c r="D637" s="21" t="s">
        <v>303</v>
      </c>
      <c r="E637" s="21" t="s">
        <v>511</v>
      </c>
      <c r="F637" s="21" t="s">
        <v>312</v>
      </c>
      <c r="G637" s="27">
        <f aca="true" t="shared" si="3" ref="G637:G642">G638</f>
        <v>3484.8</v>
      </c>
      <c r="H637" s="195"/>
    </row>
    <row r="638" spans="1:8" ht="15.75">
      <c r="A638" s="26" t="s">
        <v>313</v>
      </c>
      <c r="B638" s="17">
        <v>906</v>
      </c>
      <c r="C638" s="21" t="s">
        <v>303</v>
      </c>
      <c r="D638" s="21" t="s">
        <v>303</v>
      </c>
      <c r="E638" s="21" t="s">
        <v>511</v>
      </c>
      <c r="F638" s="21" t="s">
        <v>314</v>
      </c>
      <c r="G638" s="28">
        <v>3484.8</v>
      </c>
      <c r="H638" s="195"/>
    </row>
    <row r="639" spans="1:8" ht="15.75">
      <c r="A639" s="26" t="s">
        <v>160</v>
      </c>
      <c r="B639" s="17">
        <v>906</v>
      </c>
      <c r="C639" s="21" t="s">
        <v>303</v>
      </c>
      <c r="D639" s="21" t="s">
        <v>303</v>
      </c>
      <c r="E639" s="21" t="s">
        <v>161</v>
      </c>
      <c r="F639" s="21"/>
      <c r="G639" s="27">
        <f>G640</f>
        <v>1303.8000000000002</v>
      </c>
      <c r="H639" s="195"/>
    </row>
    <row r="640" spans="1:8" ht="31.5">
      <c r="A640" s="26" t="s">
        <v>224</v>
      </c>
      <c r="B640" s="17">
        <v>906</v>
      </c>
      <c r="C640" s="21" t="s">
        <v>303</v>
      </c>
      <c r="D640" s="21" t="s">
        <v>303</v>
      </c>
      <c r="E640" s="21" t="s">
        <v>225</v>
      </c>
      <c r="F640" s="21"/>
      <c r="G640" s="27">
        <f>G642</f>
        <v>1303.8000000000002</v>
      </c>
      <c r="H640" s="195"/>
    </row>
    <row r="641" spans="1:8" ht="63" hidden="1">
      <c r="A641" s="26" t="s">
        <v>512</v>
      </c>
      <c r="B641" s="17">
        <v>906</v>
      </c>
      <c r="C641" s="21" t="s">
        <v>303</v>
      </c>
      <c r="D641" s="21" t="s">
        <v>303</v>
      </c>
      <c r="E641" s="21" t="s">
        <v>513</v>
      </c>
      <c r="F641" s="21"/>
      <c r="G641" s="27">
        <f t="shared" si="3"/>
        <v>1303.8000000000002</v>
      </c>
      <c r="H641" s="195"/>
    </row>
    <row r="642" spans="1:8" ht="31.5">
      <c r="A642" s="33" t="s">
        <v>514</v>
      </c>
      <c r="B642" s="17">
        <v>906</v>
      </c>
      <c r="C642" s="21" t="s">
        <v>303</v>
      </c>
      <c r="D642" s="21" t="s">
        <v>303</v>
      </c>
      <c r="E642" s="21" t="s">
        <v>515</v>
      </c>
      <c r="F642" s="21"/>
      <c r="G642" s="27">
        <f t="shared" si="3"/>
        <v>1303.8000000000002</v>
      </c>
      <c r="H642" s="195"/>
    </row>
    <row r="643" spans="1:8" ht="47.25">
      <c r="A643" s="26" t="s">
        <v>311</v>
      </c>
      <c r="B643" s="17">
        <v>906</v>
      </c>
      <c r="C643" s="21" t="s">
        <v>303</v>
      </c>
      <c r="D643" s="21" t="s">
        <v>303</v>
      </c>
      <c r="E643" s="21" t="s">
        <v>515</v>
      </c>
      <c r="F643" s="21" t="s">
        <v>312</v>
      </c>
      <c r="G643" s="27">
        <f>G644</f>
        <v>1303.8000000000002</v>
      </c>
      <c r="H643" s="195"/>
    </row>
    <row r="644" spans="1:9" ht="15.75">
      <c r="A644" s="26" t="s">
        <v>313</v>
      </c>
      <c r="B644" s="17">
        <v>906</v>
      </c>
      <c r="C644" s="21" t="s">
        <v>303</v>
      </c>
      <c r="D644" s="21" t="s">
        <v>303</v>
      </c>
      <c r="E644" s="21" t="s">
        <v>515</v>
      </c>
      <c r="F644" s="21" t="s">
        <v>314</v>
      </c>
      <c r="G644" s="28">
        <f>1660.4-356.6</f>
        <v>1303.8000000000002</v>
      </c>
      <c r="H644" s="195"/>
      <c r="I644" s="135"/>
    </row>
    <row r="645" spans="1:8" ht="15.75">
      <c r="A645" s="24" t="s">
        <v>334</v>
      </c>
      <c r="B645" s="20">
        <v>906</v>
      </c>
      <c r="C645" s="25" t="s">
        <v>303</v>
      </c>
      <c r="D645" s="25" t="s">
        <v>258</v>
      </c>
      <c r="E645" s="25"/>
      <c r="F645" s="25"/>
      <c r="G645" s="22">
        <f>G646+G655</f>
        <v>18322.300000000003</v>
      </c>
      <c r="H645" s="195"/>
    </row>
    <row r="646" spans="1:9" ht="47.25">
      <c r="A646" s="26" t="s">
        <v>373</v>
      </c>
      <c r="B646" s="17">
        <v>906</v>
      </c>
      <c r="C646" s="21" t="s">
        <v>303</v>
      </c>
      <c r="D646" s="21" t="s">
        <v>258</v>
      </c>
      <c r="E646" s="21" t="s">
        <v>374</v>
      </c>
      <c r="F646" s="21"/>
      <c r="G646" s="27">
        <f>G647+G650</f>
        <v>20</v>
      </c>
      <c r="H646" s="195"/>
      <c r="I646" s="135"/>
    </row>
    <row r="647" spans="1:8" ht="31.5" hidden="1">
      <c r="A647" s="26" t="s">
        <v>375</v>
      </c>
      <c r="B647" s="17">
        <v>906</v>
      </c>
      <c r="C647" s="21" t="s">
        <v>303</v>
      </c>
      <c r="D647" s="21" t="s">
        <v>258</v>
      </c>
      <c r="E647" s="21" t="s">
        <v>376</v>
      </c>
      <c r="F647" s="21"/>
      <c r="G647" s="27">
        <f>G648</f>
        <v>0</v>
      </c>
      <c r="H647" s="195"/>
    </row>
    <row r="648" spans="1:8" ht="31.5" hidden="1">
      <c r="A648" s="26" t="s">
        <v>170</v>
      </c>
      <c r="B648" s="17">
        <v>906</v>
      </c>
      <c r="C648" s="21" t="s">
        <v>303</v>
      </c>
      <c r="D648" s="21" t="s">
        <v>258</v>
      </c>
      <c r="E648" s="21" t="s">
        <v>376</v>
      </c>
      <c r="F648" s="21" t="s">
        <v>171</v>
      </c>
      <c r="G648" s="27">
        <f>G649</f>
        <v>0</v>
      </c>
      <c r="H648" s="195"/>
    </row>
    <row r="649" spans="1:9" ht="47.25" hidden="1">
      <c r="A649" s="26" t="s">
        <v>172</v>
      </c>
      <c r="B649" s="17">
        <v>906</v>
      </c>
      <c r="C649" s="21" t="s">
        <v>303</v>
      </c>
      <c r="D649" s="21" t="s">
        <v>258</v>
      </c>
      <c r="E649" s="21" t="s">
        <v>376</v>
      </c>
      <c r="F649" s="21" t="s">
        <v>173</v>
      </c>
      <c r="G649" s="27">
        <f>50-50</f>
        <v>0</v>
      </c>
      <c r="H649" s="126"/>
      <c r="I649" s="144"/>
    </row>
    <row r="650" spans="1:8" ht="63">
      <c r="A650" s="26" t="s">
        <v>516</v>
      </c>
      <c r="B650" s="17">
        <v>906</v>
      </c>
      <c r="C650" s="21" t="s">
        <v>303</v>
      </c>
      <c r="D650" s="21" t="s">
        <v>258</v>
      </c>
      <c r="E650" s="21" t="s">
        <v>517</v>
      </c>
      <c r="F650" s="21"/>
      <c r="G650" s="27">
        <f>G651+G653</f>
        <v>20</v>
      </c>
      <c r="H650" s="195"/>
    </row>
    <row r="651" spans="1:8" ht="94.5">
      <c r="A651" s="26" t="s">
        <v>166</v>
      </c>
      <c r="B651" s="17">
        <v>906</v>
      </c>
      <c r="C651" s="21" t="s">
        <v>303</v>
      </c>
      <c r="D651" s="21" t="s">
        <v>258</v>
      </c>
      <c r="E651" s="21" t="s">
        <v>517</v>
      </c>
      <c r="F651" s="21" t="s">
        <v>167</v>
      </c>
      <c r="G651" s="27">
        <f>G652</f>
        <v>5</v>
      </c>
      <c r="H651" s="195"/>
    </row>
    <row r="652" spans="1:8" ht="31.5">
      <c r="A652" s="26" t="s">
        <v>381</v>
      </c>
      <c r="B652" s="17">
        <v>906</v>
      </c>
      <c r="C652" s="21" t="s">
        <v>303</v>
      </c>
      <c r="D652" s="21" t="s">
        <v>258</v>
      </c>
      <c r="E652" s="21" t="s">
        <v>517</v>
      </c>
      <c r="F652" s="21" t="s">
        <v>248</v>
      </c>
      <c r="G652" s="27">
        <v>5</v>
      </c>
      <c r="H652" s="195"/>
    </row>
    <row r="653" spans="1:8" ht="31.5">
      <c r="A653" s="26" t="s">
        <v>170</v>
      </c>
      <c r="B653" s="17">
        <v>906</v>
      </c>
      <c r="C653" s="21" t="s">
        <v>303</v>
      </c>
      <c r="D653" s="21" t="s">
        <v>258</v>
      </c>
      <c r="E653" s="21" t="s">
        <v>517</v>
      </c>
      <c r="F653" s="21" t="s">
        <v>171</v>
      </c>
      <c r="G653" s="27">
        <f>G654</f>
        <v>15</v>
      </c>
      <c r="H653" s="195"/>
    </row>
    <row r="654" spans="1:8" ht="47.25">
      <c r="A654" s="26" t="s">
        <v>172</v>
      </c>
      <c r="B654" s="17">
        <v>906</v>
      </c>
      <c r="C654" s="21" t="s">
        <v>303</v>
      </c>
      <c r="D654" s="21" t="s">
        <v>258</v>
      </c>
      <c r="E654" s="21" t="s">
        <v>517</v>
      </c>
      <c r="F654" s="21" t="s">
        <v>173</v>
      </c>
      <c r="G654" s="27">
        <v>15</v>
      </c>
      <c r="H654" s="195"/>
    </row>
    <row r="655" spans="1:8" ht="15.75">
      <c r="A655" s="26" t="s">
        <v>160</v>
      </c>
      <c r="B655" s="17">
        <v>906</v>
      </c>
      <c r="C655" s="21" t="s">
        <v>303</v>
      </c>
      <c r="D655" s="21" t="s">
        <v>258</v>
      </c>
      <c r="E655" s="21" t="s">
        <v>161</v>
      </c>
      <c r="F655" s="21"/>
      <c r="G655" s="27">
        <f>G656+G662</f>
        <v>18302.300000000003</v>
      </c>
      <c r="H655" s="195"/>
    </row>
    <row r="656" spans="1:8" ht="31.5">
      <c r="A656" s="26" t="s">
        <v>162</v>
      </c>
      <c r="B656" s="17">
        <v>906</v>
      </c>
      <c r="C656" s="21" t="s">
        <v>303</v>
      </c>
      <c r="D656" s="21" t="s">
        <v>258</v>
      </c>
      <c r="E656" s="21" t="s">
        <v>163</v>
      </c>
      <c r="F656" s="21"/>
      <c r="G656" s="27">
        <f>G657</f>
        <v>5138.7</v>
      </c>
      <c r="H656" s="195"/>
    </row>
    <row r="657" spans="1:8" ht="47.25">
      <c r="A657" s="26" t="s">
        <v>164</v>
      </c>
      <c r="B657" s="17">
        <v>906</v>
      </c>
      <c r="C657" s="21" t="s">
        <v>303</v>
      </c>
      <c r="D657" s="21" t="s">
        <v>258</v>
      </c>
      <c r="E657" s="21" t="s">
        <v>165</v>
      </c>
      <c r="F657" s="21"/>
      <c r="G657" s="27">
        <f>G658+G660</f>
        <v>5138.7</v>
      </c>
      <c r="H657" s="195"/>
    </row>
    <row r="658" spans="1:8" ht="94.5">
      <c r="A658" s="26" t="s">
        <v>166</v>
      </c>
      <c r="B658" s="17">
        <v>906</v>
      </c>
      <c r="C658" s="21" t="s">
        <v>303</v>
      </c>
      <c r="D658" s="21" t="s">
        <v>258</v>
      </c>
      <c r="E658" s="21" t="s">
        <v>165</v>
      </c>
      <c r="F658" s="21" t="s">
        <v>167</v>
      </c>
      <c r="G658" s="27">
        <f>G659</f>
        <v>4981.5</v>
      </c>
      <c r="H658" s="195"/>
    </row>
    <row r="659" spans="1:8" ht="31.5">
      <c r="A659" s="26" t="s">
        <v>168</v>
      </c>
      <c r="B659" s="17">
        <v>906</v>
      </c>
      <c r="C659" s="21" t="s">
        <v>303</v>
      </c>
      <c r="D659" s="21" t="s">
        <v>258</v>
      </c>
      <c r="E659" s="21" t="s">
        <v>165</v>
      </c>
      <c r="F659" s="21" t="s">
        <v>169</v>
      </c>
      <c r="G659" s="174">
        <f>4975.7+5.8</f>
        <v>4981.5</v>
      </c>
      <c r="H659" s="175" t="s">
        <v>794</v>
      </c>
    </row>
    <row r="660" spans="1:8" ht="31.5">
      <c r="A660" s="26" t="s">
        <v>170</v>
      </c>
      <c r="B660" s="17">
        <v>906</v>
      </c>
      <c r="C660" s="21" t="s">
        <v>303</v>
      </c>
      <c r="D660" s="21" t="s">
        <v>258</v>
      </c>
      <c r="E660" s="21" t="s">
        <v>165</v>
      </c>
      <c r="F660" s="21" t="s">
        <v>171</v>
      </c>
      <c r="G660" s="27">
        <f>G661</f>
        <v>157.2</v>
      </c>
      <c r="H660" s="195"/>
    </row>
    <row r="661" spans="1:8" ht="47.25">
      <c r="A661" s="26" t="s">
        <v>172</v>
      </c>
      <c r="B661" s="17">
        <v>906</v>
      </c>
      <c r="C661" s="21" t="s">
        <v>303</v>
      </c>
      <c r="D661" s="21" t="s">
        <v>258</v>
      </c>
      <c r="E661" s="21" t="s">
        <v>165</v>
      </c>
      <c r="F661" s="21" t="s">
        <v>173</v>
      </c>
      <c r="G661" s="176">
        <f>163-5.8</f>
        <v>157.2</v>
      </c>
      <c r="H661" s="175" t="s">
        <v>793</v>
      </c>
    </row>
    <row r="662" spans="1:8" ht="15.75">
      <c r="A662" s="26" t="s">
        <v>180</v>
      </c>
      <c r="B662" s="17">
        <v>906</v>
      </c>
      <c r="C662" s="21" t="s">
        <v>303</v>
      </c>
      <c r="D662" s="21" t="s">
        <v>258</v>
      </c>
      <c r="E662" s="21" t="s">
        <v>181</v>
      </c>
      <c r="F662" s="21"/>
      <c r="G662" s="27">
        <f>G666+G663</f>
        <v>13163.600000000002</v>
      </c>
      <c r="H662" s="195"/>
    </row>
    <row r="663" spans="1:8" ht="15.75">
      <c r="A663" s="26" t="s">
        <v>518</v>
      </c>
      <c r="B663" s="17">
        <v>906</v>
      </c>
      <c r="C663" s="21" t="s">
        <v>303</v>
      </c>
      <c r="D663" s="21" t="s">
        <v>258</v>
      </c>
      <c r="E663" s="21" t="s">
        <v>519</v>
      </c>
      <c r="F663" s="21"/>
      <c r="G663" s="27">
        <f>G664</f>
        <v>375</v>
      </c>
      <c r="H663" s="195"/>
    </row>
    <row r="664" spans="1:8" ht="31.5">
      <c r="A664" s="26" t="s">
        <v>170</v>
      </c>
      <c r="B664" s="17">
        <v>906</v>
      </c>
      <c r="C664" s="21" t="s">
        <v>303</v>
      </c>
      <c r="D664" s="21" t="s">
        <v>258</v>
      </c>
      <c r="E664" s="21" t="s">
        <v>519</v>
      </c>
      <c r="F664" s="21" t="s">
        <v>171</v>
      </c>
      <c r="G664" s="27">
        <f>G665</f>
        <v>375</v>
      </c>
      <c r="H664" s="195"/>
    </row>
    <row r="665" spans="1:9" ht="47.25">
      <c r="A665" s="26" t="s">
        <v>172</v>
      </c>
      <c r="B665" s="17">
        <v>906</v>
      </c>
      <c r="C665" s="21" t="s">
        <v>303</v>
      </c>
      <c r="D665" s="21" t="s">
        <v>258</v>
      </c>
      <c r="E665" s="21" t="s">
        <v>519</v>
      </c>
      <c r="F665" s="21" t="s">
        <v>173</v>
      </c>
      <c r="G665" s="180">
        <f>206.3+143.7+25</f>
        <v>375</v>
      </c>
      <c r="H665" s="175" t="s">
        <v>810</v>
      </c>
      <c r="I665" s="135"/>
    </row>
    <row r="666" spans="1:11" ht="31.5">
      <c r="A666" s="26" t="s">
        <v>379</v>
      </c>
      <c r="B666" s="17">
        <v>906</v>
      </c>
      <c r="C666" s="21" t="s">
        <v>303</v>
      </c>
      <c r="D666" s="21" t="s">
        <v>258</v>
      </c>
      <c r="E666" s="21" t="s">
        <v>380</v>
      </c>
      <c r="F666" s="21"/>
      <c r="G666" s="27">
        <f>G667+G669+G671</f>
        <v>12788.600000000002</v>
      </c>
      <c r="H666" s="195"/>
      <c r="J666" s="373"/>
      <c r="K666" s="373"/>
    </row>
    <row r="667" spans="1:11" ht="94.5">
      <c r="A667" s="26" t="s">
        <v>166</v>
      </c>
      <c r="B667" s="17">
        <v>906</v>
      </c>
      <c r="C667" s="21" t="s">
        <v>303</v>
      </c>
      <c r="D667" s="21" t="s">
        <v>258</v>
      </c>
      <c r="E667" s="21" t="s">
        <v>380</v>
      </c>
      <c r="F667" s="21" t="s">
        <v>167</v>
      </c>
      <c r="G667" s="27">
        <f>G668</f>
        <v>11519.300000000001</v>
      </c>
      <c r="H667" s="195"/>
      <c r="J667" s="373"/>
      <c r="K667" s="373"/>
    </row>
    <row r="668" spans="1:11" ht="31.5">
      <c r="A668" s="26" t="s">
        <v>381</v>
      </c>
      <c r="B668" s="17">
        <v>906</v>
      </c>
      <c r="C668" s="21" t="s">
        <v>303</v>
      </c>
      <c r="D668" s="21" t="s">
        <v>258</v>
      </c>
      <c r="E668" s="21" t="s">
        <v>380</v>
      </c>
      <c r="F668" s="21" t="s">
        <v>248</v>
      </c>
      <c r="G668" s="28">
        <f>11988.7-469.4</f>
        <v>11519.300000000001</v>
      </c>
      <c r="H668" s="126"/>
      <c r="I668" s="144"/>
      <c r="J668" s="373"/>
      <c r="K668" s="373"/>
    </row>
    <row r="669" spans="1:11" ht="31.5">
      <c r="A669" s="26" t="s">
        <v>170</v>
      </c>
      <c r="B669" s="17">
        <v>906</v>
      </c>
      <c r="C669" s="21" t="s">
        <v>303</v>
      </c>
      <c r="D669" s="21" t="s">
        <v>258</v>
      </c>
      <c r="E669" s="21" t="s">
        <v>380</v>
      </c>
      <c r="F669" s="21" t="s">
        <v>171</v>
      </c>
      <c r="G669" s="27">
        <f>G670</f>
        <v>1264.1</v>
      </c>
      <c r="H669" s="195"/>
      <c r="J669" s="373"/>
      <c r="K669" s="373"/>
    </row>
    <row r="670" spans="1:11" ht="47.25">
      <c r="A670" s="26" t="s">
        <v>172</v>
      </c>
      <c r="B670" s="17">
        <v>906</v>
      </c>
      <c r="C670" s="21" t="s">
        <v>303</v>
      </c>
      <c r="D670" s="21" t="s">
        <v>258</v>
      </c>
      <c r="E670" s="21" t="s">
        <v>380</v>
      </c>
      <c r="F670" s="21" t="s">
        <v>173</v>
      </c>
      <c r="G670" s="27">
        <f>1416.8-152.7</f>
        <v>1264.1</v>
      </c>
      <c r="H670" s="126"/>
      <c r="I670" s="144"/>
      <c r="J670" s="373"/>
      <c r="K670" s="373"/>
    </row>
    <row r="671" spans="1:11" ht="15.75">
      <c r="A671" s="26" t="s">
        <v>174</v>
      </c>
      <c r="B671" s="17">
        <v>906</v>
      </c>
      <c r="C671" s="21" t="s">
        <v>303</v>
      </c>
      <c r="D671" s="21" t="s">
        <v>258</v>
      </c>
      <c r="E671" s="21" t="s">
        <v>380</v>
      </c>
      <c r="F671" s="21" t="s">
        <v>184</v>
      </c>
      <c r="G671" s="27">
        <f>G672</f>
        <v>5.2</v>
      </c>
      <c r="H671" s="195"/>
      <c r="J671" s="373"/>
      <c r="K671" s="373"/>
    </row>
    <row r="672" spans="1:11" ht="15.75">
      <c r="A672" s="26" t="s">
        <v>608</v>
      </c>
      <c r="B672" s="17">
        <v>906</v>
      </c>
      <c r="C672" s="21" t="s">
        <v>303</v>
      </c>
      <c r="D672" s="21" t="s">
        <v>258</v>
      </c>
      <c r="E672" s="21" t="s">
        <v>380</v>
      </c>
      <c r="F672" s="21" t="s">
        <v>177</v>
      </c>
      <c r="G672" s="27">
        <f>7-1.8</f>
        <v>5.2</v>
      </c>
      <c r="H672" s="126"/>
      <c r="I672" s="144"/>
      <c r="J672" s="373"/>
      <c r="K672" s="373"/>
    </row>
    <row r="673" spans="1:8" ht="47.25">
      <c r="A673" s="20" t="s">
        <v>520</v>
      </c>
      <c r="B673" s="20">
        <v>907</v>
      </c>
      <c r="C673" s="21"/>
      <c r="D673" s="21"/>
      <c r="E673" s="21"/>
      <c r="F673" s="21"/>
      <c r="G673" s="22">
        <f>G674+G704</f>
        <v>46187.799999999996</v>
      </c>
      <c r="H673" s="195"/>
    </row>
    <row r="674" spans="1:8" ht="15.75">
      <c r="A674" s="24" t="s">
        <v>302</v>
      </c>
      <c r="B674" s="20">
        <v>907</v>
      </c>
      <c r="C674" s="25" t="s">
        <v>508</v>
      </c>
      <c r="D674" s="25"/>
      <c r="E674" s="25"/>
      <c r="F674" s="25"/>
      <c r="G674" s="22">
        <f>G675</f>
        <v>11485.1</v>
      </c>
      <c r="H674" s="195"/>
    </row>
    <row r="675" spans="1:10" ht="15.75">
      <c r="A675" s="24" t="s">
        <v>304</v>
      </c>
      <c r="B675" s="20">
        <v>907</v>
      </c>
      <c r="C675" s="25" t="s">
        <v>303</v>
      </c>
      <c r="D675" s="25" t="s">
        <v>254</v>
      </c>
      <c r="E675" s="25"/>
      <c r="F675" s="25"/>
      <c r="G675" s="22">
        <f>G676+G693</f>
        <v>11485.1</v>
      </c>
      <c r="H675" s="195"/>
      <c r="J675" s="136"/>
    </row>
    <row r="676" spans="1:8" ht="47.25">
      <c r="A676" s="26" t="s">
        <v>521</v>
      </c>
      <c r="B676" s="17">
        <v>907</v>
      </c>
      <c r="C676" s="21" t="s">
        <v>303</v>
      </c>
      <c r="D676" s="21" t="s">
        <v>254</v>
      </c>
      <c r="E676" s="21" t="s">
        <v>522</v>
      </c>
      <c r="F676" s="21"/>
      <c r="G676" s="27">
        <f>G677</f>
        <v>10758</v>
      </c>
      <c r="H676" s="195"/>
    </row>
    <row r="677" spans="1:8" ht="47.25">
      <c r="A677" s="26" t="s">
        <v>523</v>
      </c>
      <c r="B677" s="17">
        <v>907</v>
      </c>
      <c r="C677" s="21" t="s">
        <v>303</v>
      </c>
      <c r="D677" s="21" t="s">
        <v>254</v>
      </c>
      <c r="E677" s="21" t="s">
        <v>524</v>
      </c>
      <c r="F677" s="21"/>
      <c r="G677" s="27">
        <f>G678+G681+G684+G690+G687</f>
        <v>10758</v>
      </c>
      <c r="H677" s="195"/>
    </row>
    <row r="678" spans="1:8" ht="47.25">
      <c r="A678" s="26" t="s">
        <v>309</v>
      </c>
      <c r="B678" s="17">
        <v>907</v>
      </c>
      <c r="C678" s="21" t="s">
        <v>303</v>
      </c>
      <c r="D678" s="21" t="s">
        <v>254</v>
      </c>
      <c r="E678" s="21" t="s">
        <v>525</v>
      </c>
      <c r="F678" s="21"/>
      <c r="G678" s="27">
        <f>G679</f>
        <v>10722</v>
      </c>
      <c r="H678" s="195"/>
    </row>
    <row r="679" spans="1:8" ht="47.25">
      <c r="A679" s="26" t="s">
        <v>311</v>
      </c>
      <c r="B679" s="17">
        <v>907</v>
      </c>
      <c r="C679" s="21" t="s">
        <v>303</v>
      </c>
      <c r="D679" s="21" t="s">
        <v>254</v>
      </c>
      <c r="E679" s="21" t="s">
        <v>525</v>
      </c>
      <c r="F679" s="21" t="s">
        <v>312</v>
      </c>
      <c r="G679" s="27">
        <f>G680</f>
        <v>10722</v>
      </c>
      <c r="H679" s="195"/>
    </row>
    <row r="680" spans="1:9" ht="15.75">
      <c r="A680" s="26" t="s">
        <v>313</v>
      </c>
      <c r="B680" s="17">
        <v>907</v>
      </c>
      <c r="C680" s="21" t="s">
        <v>303</v>
      </c>
      <c r="D680" s="21" t="s">
        <v>254</v>
      </c>
      <c r="E680" s="21" t="s">
        <v>525</v>
      </c>
      <c r="F680" s="21" t="s">
        <v>314</v>
      </c>
      <c r="G680" s="28">
        <f>10500+753.9-531.9</f>
        <v>10722</v>
      </c>
      <c r="H680" s="126"/>
      <c r="I680" s="145"/>
    </row>
    <row r="681" spans="1:8" ht="47.25" hidden="1">
      <c r="A681" s="26" t="s">
        <v>317</v>
      </c>
      <c r="B681" s="17">
        <v>907</v>
      </c>
      <c r="C681" s="21" t="s">
        <v>303</v>
      </c>
      <c r="D681" s="21" t="s">
        <v>252</v>
      </c>
      <c r="E681" s="21" t="s">
        <v>526</v>
      </c>
      <c r="F681" s="21"/>
      <c r="G681" s="27">
        <f>G682</f>
        <v>0</v>
      </c>
      <c r="H681" s="195"/>
    </row>
    <row r="682" spans="1:8" ht="47.25" hidden="1">
      <c r="A682" s="26" t="s">
        <v>311</v>
      </c>
      <c r="B682" s="17">
        <v>907</v>
      </c>
      <c r="C682" s="21" t="s">
        <v>303</v>
      </c>
      <c r="D682" s="21" t="s">
        <v>252</v>
      </c>
      <c r="E682" s="21" t="s">
        <v>526</v>
      </c>
      <c r="F682" s="21" t="s">
        <v>312</v>
      </c>
      <c r="G682" s="27">
        <f>G683</f>
        <v>0</v>
      </c>
      <c r="H682" s="195"/>
    </row>
    <row r="683" spans="1:8" ht="15.75" hidden="1">
      <c r="A683" s="26" t="s">
        <v>313</v>
      </c>
      <c r="B683" s="17">
        <v>907</v>
      </c>
      <c r="C683" s="21" t="s">
        <v>303</v>
      </c>
      <c r="D683" s="21" t="s">
        <v>252</v>
      </c>
      <c r="E683" s="21" t="s">
        <v>526</v>
      </c>
      <c r="F683" s="21" t="s">
        <v>314</v>
      </c>
      <c r="G683" s="27">
        <v>0</v>
      </c>
      <c r="H683" s="195"/>
    </row>
    <row r="684" spans="1:8" ht="31.5" hidden="1">
      <c r="A684" s="26" t="s">
        <v>319</v>
      </c>
      <c r="B684" s="17">
        <v>907</v>
      </c>
      <c r="C684" s="21" t="s">
        <v>303</v>
      </c>
      <c r="D684" s="21" t="s">
        <v>252</v>
      </c>
      <c r="E684" s="21" t="s">
        <v>527</v>
      </c>
      <c r="F684" s="21"/>
      <c r="G684" s="27">
        <f>G685</f>
        <v>0</v>
      </c>
      <c r="H684" s="195"/>
    </row>
    <row r="685" spans="1:8" ht="47.25" hidden="1">
      <c r="A685" s="26" t="s">
        <v>311</v>
      </c>
      <c r="B685" s="17">
        <v>907</v>
      </c>
      <c r="C685" s="21" t="s">
        <v>303</v>
      </c>
      <c r="D685" s="21" t="s">
        <v>252</v>
      </c>
      <c r="E685" s="21" t="s">
        <v>527</v>
      </c>
      <c r="F685" s="21" t="s">
        <v>312</v>
      </c>
      <c r="G685" s="27">
        <f>G686</f>
        <v>0</v>
      </c>
      <c r="H685" s="195"/>
    </row>
    <row r="686" spans="1:8" ht="15.75" hidden="1">
      <c r="A686" s="26" t="s">
        <v>313</v>
      </c>
      <c r="B686" s="17">
        <v>907</v>
      </c>
      <c r="C686" s="21" t="s">
        <v>303</v>
      </c>
      <c r="D686" s="21" t="s">
        <v>252</v>
      </c>
      <c r="E686" s="21" t="s">
        <v>527</v>
      </c>
      <c r="F686" s="21" t="s">
        <v>314</v>
      </c>
      <c r="G686" s="27">
        <v>0</v>
      </c>
      <c r="H686" s="195"/>
    </row>
    <row r="687" spans="1:8" ht="47.25">
      <c r="A687" s="26" t="s">
        <v>321</v>
      </c>
      <c r="B687" s="17">
        <v>907</v>
      </c>
      <c r="C687" s="21" t="s">
        <v>303</v>
      </c>
      <c r="D687" s="21" t="s">
        <v>254</v>
      </c>
      <c r="E687" s="21" t="s">
        <v>528</v>
      </c>
      <c r="F687" s="21"/>
      <c r="G687" s="27">
        <f>G688</f>
        <v>36</v>
      </c>
      <c r="H687" s="195"/>
    </row>
    <row r="688" spans="1:8" ht="47.25">
      <c r="A688" s="26" t="s">
        <v>311</v>
      </c>
      <c r="B688" s="17">
        <v>907</v>
      </c>
      <c r="C688" s="21" t="s">
        <v>303</v>
      </c>
      <c r="D688" s="21" t="s">
        <v>254</v>
      </c>
      <c r="E688" s="21" t="s">
        <v>528</v>
      </c>
      <c r="F688" s="21" t="s">
        <v>312</v>
      </c>
      <c r="G688" s="27">
        <f>G689</f>
        <v>36</v>
      </c>
      <c r="H688" s="195"/>
    </row>
    <row r="689" spans="1:8" ht="15.75">
      <c r="A689" s="26" t="s">
        <v>313</v>
      </c>
      <c r="B689" s="17">
        <v>907</v>
      </c>
      <c r="C689" s="21" t="s">
        <v>303</v>
      </c>
      <c r="D689" s="21" t="s">
        <v>254</v>
      </c>
      <c r="E689" s="21" t="s">
        <v>528</v>
      </c>
      <c r="F689" s="21" t="s">
        <v>314</v>
      </c>
      <c r="G689" s="27">
        <v>36</v>
      </c>
      <c r="H689" s="195"/>
    </row>
    <row r="690" spans="1:8" ht="31.5" hidden="1">
      <c r="A690" s="26" t="s">
        <v>323</v>
      </c>
      <c r="B690" s="17">
        <v>907</v>
      </c>
      <c r="C690" s="21" t="s">
        <v>303</v>
      </c>
      <c r="D690" s="21" t="s">
        <v>252</v>
      </c>
      <c r="E690" s="21" t="s">
        <v>529</v>
      </c>
      <c r="F690" s="21"/>
      <c r="G690" s="27">
        <f>G691</f>
        <v>0</v>
      </c>
      <c r="H690" s="195"/>
    </row>
    <row r="691" spans="1:8" ht="47.25" hidden="1">
      <c r="A691" s="26" t="s">
        <v>311</v>
      </c>
      <c r="B691" s="17">
        <v>907</v>
      </c>
      <c r="C691" s="21" t="s">
        <v>303</v>
      </c>
      <c r="D691" s="21" t="s">
        <v>252</v>
      </c>
      <c r="E691" s="21" t="s">
        <v>529</v>
      </c>
      <c r="F691" s="21" t="s">
        <v>312</v>
      </c>
      <c r="G691" s="27">
        <f>G692</f>
        <v>0</v>
      </c>
      <c r="H691" s="195"/>
    </row>
    <row r="692" spans="1:8" ht="15.75" hidden="1">
      <c r="A692" s="26" t="s">
        <v>313</v>
      </c>
      <c r="B692" s="17">
        <v>907</v>
      </c>
      <c r="C692" s="21" t="s">
        <v>303</v>
      </c>
      <c r="D692" s="21" t="s">
        <v>252</v>
      </c>
      <c r="E692" s="21" t="s">
        <v>529</v>
      </c>
      <c r="F692" s="21" t="s">
        <v>314</v>
      </c>
      <c r="G692" s="27">
        <v>0</v>
      </c>
      <c r="H692" s="195"/>
    </row>
    <row r="693" spans="1:8" ht="15.75">
      <c r="A693" s="26" t="s">
        <v>160</v>
      </c>
      <c r="B693" s="17">
        <v>907</v>
      </c>
      <c r="C693" s="21" t="s">
        <v>303</v>
      </c>
      <c r="D693" s="21" t="s">
        <v>254</v>
      </c>
      <c r="E693" s="21" t="s">
        <v>161</v>
      </c>
      <c r="F693" s="21"/>
      <c r="G693" s="27">
        <f>G694</f>
        <v>727.1</v>
      </c>
      <c r="H693" s="195"/>
    </row>
    <row r="694" spans="1:8" ht="31.5">
      <c r="A694" s="26" t="s">
        <v>224</v>
      </c>
      <c r="B694" s="17">
        <v>907</v>
      </c>
      <c r="C694" s="21" t="s">
        <v>303</v>
      </c>
      <c r="D694" s="21" t="s">
        <v>254</v>
      </c>
      <c r="E694" s="21" t="s">
        <v>225</v>
      </c>
      <c r="F694" s="21"/>
      <c r="G694" s="27">
        <f>G695+G698+G701</f>
        <v>727.1</v>
      </c>
      <c r="H694" s="195"/>
    </row>
    <row r="695" spans="1:8" ht="63">
      <c r="A695" s="33" t="s">
        <v>328</v>
      </c>
      <c r="B695" s="17">
        <v>907</v>
      </c>
      <c r="C695" s="21" t="s">
        <v>303</v>
      </c>
      <c r="D695" s="21" t="s">
        <v>254</v>
      </c>
      <c r="E695" s="21" t="s">
        <v>329</v>
      </c>
      <c r="F695" s="21"/>
      <c r="G695" s="27">
        <f>G696</f>
        <v>50</v>
      </c>
      <c r="H695" s="195"/>
    </row>
    <row r="696" spans="1:8" ht="47.25">
      <c r="A696" s="26" t="s">
        <v>311</v>
      </c>
      <c r="B696" s="17">
        <v>907</v>
      </c>
      <c r="C696" s="21" t="s">
        <v>303</v>
      </c>
      <c r="D696" s="21" t="s">
        <v>254</v>
      </c>
      <c r="E696" s="21" t="s">
        <v>329</v>
      </c>
      <c r="F696" s="21" t="s">
        <v>312</v>
      </c>
      <c r="G696" s="27">
        <f>G697</f>
        <v>50</v>
      </c>
      <c r="H696" s="195"/>
    </row>
    <row r="697" spans="1:8" ht="15.75">
      <c r="A697" s="26" t="s">
        <v>313</v>
      </c>
      <c r="B697" s="17">
        <v>907</v>
      </c>
      <c r="C697" s="21" t="s">
        <v>303</v>
      </c>
      <c r="D697" s="21" t="s">
        <v>254</v>
      </c>
      <c r="E697" s="21" t="s">
        <v>329</v>
      </c>
      <c r="F697" s="21" t="s">
        <v>314</v>
      </c>
      <c r="G697" s="27">
        <v>50</v>
      </c>
      <c r="H697" s="195"/>
    </row>
    <row r="698" spans="1:8" ht="78.75">
      <c r="A698" s="33" t="s">
        <v>330</v>
      </c>
      <c r="B698" s="17">
        <v>907</v>
      </c>
      <c r="C698" s="21" t="s">
        <v>303</v>
      </c>
      <c r="D698" s="21" t="s">
        <v>254</v>
      </c>
      <c r="E698" s="21" t="s">
        <v>331</v>
      </c>
      <c r="F698" s="21"/>
      <c r="G698" s="27">
        <f>G699</f>
        <v>197.3</v>
      </c>
      <c r="H698" s="195"/>
    </row>
    <row r="699" spans="1:8" ht="47.25">
      <c r="A699" s="26" t="s">
        <v>311</v>
      </c>
      <c r="B699" s="17">
        <v>907</v>
      </c>
      <c r="C699" s="21" t="s">
        <v>303</v>
      </c>
      <c r="D699" s="21" t="s">
        <v>254</v>
      </c>
      <c r="E699" s="21" t="s">
        <v>331</v>
      </c>
      <c r="F699" s="21" t="s">
        <v>312</v>
      </c>
      <c r="G699" s="27">
        <f>G700</f>
        <v>197.3</v>
      </c>
      <c r="H699" s="195"/>
    </row>
    <row r="700" spans="1:10" ht="15.75">
      <c r="A700" s="26" t="s">
        <v>313</v>
      </c>
      <c r="B700" s="17">
        <v>907</v>
      </c>
      <c r="C700" s="21" t="s">
        <v>303</v>
      </c>
      <c r="D700" s="21" t="s">
        <v>254</v>
      </c>
      <c r="E700" s="21" t="s">
        <v>331</v>
      </c>
      <c r="F700" s="21" t="s">
        <v>314</v>
      </c>
      <c r="G700" s="27">
        <f>200-2.7</f>
        <v>197.3</v>
      </c>
      <c r="H700" s="195"/>
      <c r="I700" s="135"/>
      <c r="J700" s="136"/>
    </row>
    <row r="701" spans="1:8" ht="110.25">
      <c r="A701" s="33" t="s">
        <v>504</v>
      </c>
      <c r="B701" s="17">
        <v>907</v>
      </c>
      <c r="C701" s="21" t="s">
        <v>303</v>
      </c>
      <c r="D701" s="21" t="s">
        <v>254</v>
      </c>
      <c r="E701" s="21" t="s">
        <v>333</v>
      </c>
      <c r="F701" s="21"/>
      <c r="G701" s="27">
        <f>G702</f>
        <v>479.8</v>
      </c>
      <c r="H701" s="195"/>
    </row>
    <row r="702" spans="1:8" ht="47.25">
      <c r="A702" s="26" t="s">
        <v>311</v>
      </c>
      <c r="B702" s="17">
        <v>907</v>
      </c>
      <c r="C702" s="21" t="s">
        <v>303</v>
      </c>
      <c r="D702" s="21" t="s">
        <v>254</v>
      </c>
      <c r="E702" s="21" t="s">
        <v>333</v>
      </c>
      <c r="F702" s="21" t="s">
        <v>312</v>
      </c>
      <c r="G702" s="27">
        <f>G703</f>
        <v>479.8</v>
      </c>
      <c r="H702" s="195"/>
    </row>
    <row r="703" spans="1:9" ht="15.75">
      <c r="A703" s="26" t="s">
        <v>313</v>
      </c>
      <c r="B703" s="17">
        <v>907</v>
      </c>
      <c r="C703" s="21" t="s">
        <v>303</v>
      </c>
      <c r="D703" s="21" t="s">
        <v>254</v>
      </c>
      <c r="E703" s="21" t="s">
        <v>333</v>
      </c>
      <c r="F703" s="21" t="s">
        <v>314</v>
      </c>
      <c r="G703" s="27">
        <f>500-20.2</f>
        <v>479.8</v>
      </c>
      <c r="H703" s="195"/>
      <c r="I703" s="135"/>
    </row>
    <row r="704" spans="1:8" ht="15.75">
      <c r="A704" s="24" t="s">
        <v>530</v>
      </c>
      <c r="B704" s="20">
        <v>907</v>
      </c>
      <c r="C704" s="25" t="s">
        <v>531</v>
      </c>
      <c r="D704" s="21"/>
      <c r="E704" s="21"/>
      <c r="F704" s="21"/>
      <c r="G704" s="22">
        <f>G705+G725</f>
        <v>34702.7</v>
      </c>
      <c r="H704" s="195"/>
    </row>
    <row r="705" spans="1:8" ht="15.75">
      <c r="A705" s="24" t="s">
        <v>532</v>
      </c>
      <c r="B705" s="20">
        <v>907</v>
      </c>
      <c r="C705" s="25" t="s">
        <v>531</v>
      </c>
      <c r="D705" s="25" t="s">
        <v>157</v>
      </c>
      <c r="E705" s="21"/>
      <c r="F705" s="21"/>
      <c r="G705" s="22">
        <f>G706+G721</f>
        <v>23173.9</v>
      </c>
      <c r="H705" s="195"/>
    </row>
    <row r="706" spans="1:8" ht="47.25">
      <c r="A706" s="26" t="s">
        <v>521</v>
      </c>
      <c r="B706" s="17">
        <v>907</v>
      </c>
      <c r="C706" s="21" t="s">
        <v>531</v>
      </c>
      <c r="D706" s="21" t="s">
        <v>157</v>
      </c>
      <c r="E706" s="21" t="s">
        <v>522</v>
      </c>
      <c r="F706" s="21"/>
      <c r="G706" s="27">
        <f>G707</f>
        <v>22673.9</v>
      </c>
      <c r="H706" s="195"/>
    </row>
    <row r="707" spans="1:8" ht="47.25">
      <c r="A707" s="26" t="s">
        <v>533</v>
      </c>
      <c r="B707" s="17">
        <v>907</v>
      </c>
      <c r="C707" s="21" t="s">
        <v>531</v>
      </c>
      <c r="D707" s="21" t="s">
        <v>157</v>
      </c>
      <c r="E707" s="21" t="s">
        <v>534</v>
      </c>
      <c r="F707" s="21"/>
      <c r="G707" s="27">
        <f>G708+G711+G714+G717</f>
        <v>22673.9</v>
      </c>
      <c r="H707" s="195"/>
    </row>
    <row r="708" spans="1:8" ht="47.25">
      <c r="A708" s="26" t="s">
        <v>535</v>
      </c>
      <c r="B708" s="17">
        <v>907</v>
      </c>
      <c r="C708" s="21" t="s">
        <v>531</v>
      </c>
      <c r="D708" s="21" t="s">
        <v>157</v>
      </c>
      <c r="E708" s="21" t="s">
        <v>536</v>
      </c>
      <c r="F708" s="21"/>
      <c r="G708" s="27">
        <f>G709</f>
        <v>22376.4</v>
      </c>
      <c r="H708" s="195"/>
    </row>
    <row r="709" spans="1:8" ht="47.25">
      <c r="A709" s="26" t="s">
        <v>311</v>
      </c>
      <c r="B709" s="17">
        <v>907</v>
      </c>
      <c r="C709" s="21" t="s">
        <v>531</v>
      </c>
      <c r="D709" s="21" t="s">
        <v>157</v>
      </c>
      <c r="E709" s="21" t="s">
        <v>536</v>
      </c>
      <c r="F709" s="21" t="s">
        <v>312</v>
      </c>
      <c r="G709" s="27">
        <f>G710</f>
        <v>22376.4</v>
      </c>
      <c r="H709" s="195"/>
    </row>
    <row r="710" spans="1:9" ht="15.75">
      <c r="A710" s="26" t="s">
        <v>313</v>
      </c>
      <c r="B710" s="17">
        <v>907</v>
      </c>
      <c r="C710" s="21" t="s">
        <v>531</v>
      </c>
      <c r="D710" s="21" t="s">
        <v>157</v>
      </c>
      <c r="E710" s="21" t="s">
        <v>536</v>
      </c>
      <c r="F710" s="21" t="s">
        <v>314</v>
      </c>
      <c r="G710" s="181">
        <f>10890+1490.1+9887.3-199+308</f>
        <v>22376.4</v>
      </c>
      <c r="H710" s="126" t="s">
        <v>803</v>
      </c>
      <c r="I710" s="145"/>
    </row>
    <row r="711" spans="1:8" ht="47.25">
      <c r="A711" s="26" t="s">
        <v>317</v>
      </c>
      <c r="B711" s="17">
        <v>907</v>
      </c>
      <c r="C711" s="21" t="s">
        <v>531</v>
      </c>
      <c r="D711" s="21" t="s">
        <v>157</v>
      </c>
      <c r="E711" s="21" t="s">
        <v>537</v>
      </c>
      <c r="F711" s="21"/>
      <c r="G711" s="27">
        <f>G712</f>
        <v>297.5</v>
      </c>
      <c r="H711" s="195"/>
    </row>
    <row r="712" spans="1:8" ht="47.25">
      <c r="A712" s="26" t="s">
        <v>311</v>
      </c>
      <c r="B712" s="17">
        <v>907</v>
      </c>
      <c r="C712" s="21" t="s">
        <v>531</v>
      </c>
      <c r="D712" s="21" t="s">
        <v>157</v>
      </c>
      <c r="E712" s="21" t="s">
        <v>537</v>
      </c>
      <c r="F712" s="21" t="s">
        <v>312</v>
      </c>
      <c r="G712" s="27">
        <f>G713</f>
        <v>297.5</v>
      </c>
      <c r="H712" s="195"/>
    </row>
    <row r="713" spans="1:8" ht="15.75">
      <c r="A713" s="26" t="s">
        <v>313</v>
      </c>
      <c r="B713" s="17">
        <v>907</v>
      </c>
      <c r="C713" s="21" t="s">
        <v>531</v>
      </c>
      <c r="D713" s="21" t="s">
        <v>157</v>
      </c>
      <c r="E713" s="21" t="s">
        <v>537</v>
      </c>
      <c r="F713" s="21" t="s">
        <v>314</v>
      </c>
      <c r="G713" s="176">
        <f>797.5-500</f>
        <v>297.5</v>
      </c>
      <c r="H713" s="175" t="s">
        <v>801</v>
      </c>
    </row>
    <row r="714" spans="1:8" ht="31.5" hidden="1">
      <c r="A714" s="26" t="s">
        <v>319</v>
      </c>
      <c r="B714" s="17">
        <v>907</v>
      </c>
      <c r="C714" s="21" t="s">
        <v>531</v>
      </c>
      <c r="D714" s="21" t="s">
        <v>157</v>
      </c>
      <c r="E714" s="21" t="s">
        <v>538</v>
      </c>
      <c r="F714" s="21"/>
      <c r="G714" s="27">
        <f>G715</f>
        <v>0</v>
      </c>
      <c r="H714" s="195"/>
    </row>
    <row r="715" spans="1:8" ht="47.25" hidden="1">
      <c r="A715" s="26" t="s">
        <v>311</v>
      </c>
      <c r="B715" s="17">
        <v>907</v>
      </c>
      <c r="C715" s="21" t="s">
        <v>531</v>
      </c>
      <c r="D715" s="21" t="s">
        <v>157</v>
      </c>
      <c r="E715" s="21" t="s">
        <v>538</v>
      </c>
      <c r="F715" s="21" t="s">
        <v>312</v>
      </c>
      <c r="G715" s="27">
        <f>G716</f>
        <v>0</v>
      </c>
      <c r="H715" s="195"/>
    </row>
    <row r="716" spans="1:8" ht="15.75" hidden="1">
      <c r="A716" s="26" t="s">
        <v>313</v>
      </c>
      <c r="B716" s="17">
        <v>907</v>
      </c>
      <c r="C716" s="21" t="s">
        <v>531</v>
      </c>
      <c r="D716" s="21" t="s">
        <v>157</v>
      </c>
      <c r="E716" s="21" t="s">
        <v>538</v>
      </c>
      <c r="F716" s="21" t="s">
        <v>314</v>
      </c>
      <c r="G716" s="27">
        <v>0</v>
      </c>
      <c r="H716" s="195"/>
    </row>
    <row r="717" spans="1:8" ht="31.5" hidden="1">
      <c r="A717" s="26" t="s">
        <v>323</v>
      </c>
      <c r="B717" s="17">
        <v>907</v>
      </c>
      <c r="C717" s="21" t="s">
        <v>531</v>
      </c>
      <c r="D717" s="21" t="s">
        <v>157</v>
      </c>
      <c r="E717" s="21" t="s">
        <v>539</v>
      </c>
      <c r="F717" s="21"/>
      <c r="G717" s="27">
        <f>G718</f>
        <v>0</v>
      </c>
      <c r="H717" s="195"/>
    </row>
    <row r="718" spans="1:8" ht="47.25" hidden="1">
      <c r="A718" s="26" t="s">
        <v>311</v>
      </c>
      <c r="B718" s="17">
        <v>907</v>
      </c>
      <c r="C718" s="21" t="s">
        <v>531</v>
      </c>
      <c r="D718" s="21" t="s">
        <v>157</v>
      </c>
      <c r="E718" s="21" t="s">
        <v>539</v>
      </c>
      <c r="F718" s="21" t="s">
        <v>312</v>
      </c>
      <c r="G718" s="27">
        <f>G719</f>
        <v>0</v>
      </c>
      <c r="H718" s="195"/>
    </row>
    <row r="719" spans="1:8" ht="15.75" hidden="1">
      <c r="A719" s="26" t="s">
        <v>313</v>
      </c>
      <c r="B719" s="17">
        <v>907</v>
      </c>
      <c r="C719" s="21" t="s">
        <v>531</v>
      </c>
      <c r="D719" s="21" t="s">
        <v>157</v>
      </c>
      <c r="E719" s="21" t="s">
        <v>539</v>
      </c>
      <c r="F719" s="21" t="s">
        <v>314</v>
      </c>
      <c r="G719" s="27">
        <v>0</v>
      </c>
      <c r="H719" s="195"/>
    </row>
    <row r="720" spans="1:8" ht="15.75">
      <c r="A720" s="26" t="s">
        <v>160</v>
      </c>
      <c r="B720" s="17">
        <v>907</v>
      </c>
      <c r="C720" s="21" t="s">
        <v>531</v>
      </c>
      <c r="D720" s="21" t="s">
        <v>157</v>
      </c>
      <c r="E720" s="21" t="s">
        <v>161</v>
      </c>
      <c r="F720" s="21"/>
      <c r="G720" s="27">
        <f>G721</f>
        <v>500</v>
      </c>
      <c r="H720" s="195"/>
    </row>
    <row r="721" spans="1:8" ht="31.5">
      <c r="A721" s="26" t="s">
        <v>224</v>
      </c>
      <c r="B721" s="17">
        <v>907</v>
      </c>
      <c r="C721" s="21" t="s">
        <v>531</v>
      </c>
      <c r="D721" s="21" t="s">
        <v>157</v>
      </c>
      <c r="E721" s="21" t="s">
        <v>225</v>
      </c>
      <c r="F721" s="21"/>
      <c r="G721" s="27">
        <f>G722</f>
        <v>500</v>
      </c>
      <c r="H721" s="195"/>
    </row>
    <row r="722" spans="1:8" ht="31.5">
      <c r="A722" s="26" t="s">
        <v>800</v>
      </c>
      <c r="B722" s="17">
        <v>907</v>
      </c>
      <c r="C722" s="21" t="s">
        <v>531</v>
      </c>
      <c r="D722" s="21" t="s">
        <v>157</v>
      </c>
      <c r="E722" s="21" t="s">
        <v>798</v>
      </c>
      <c r="F722" s="21"/>
      <c r="G722" s="27">
        <f>G724</f>
        <v>500</v>
      </c>
      <c r="H722" s="195"/>
    </row>
    <row r="723" spans="1:8" ht="47.25">
      <c r="A723" s="26" t="s">
        <v>311</v>
      </c>
      <c r="B723" s="17">
        <v>907</v>
      </c>
      <c r="C723" s="21" t="s">
        <v>531</v>
      </c>
      <c r="D723" s="21" t="s">
        <v>157</v>
      </c>
      <c r="E723" s="21" t="s">
        <v>798</v>
      </c>
      <c r="F723" s="21" t="s">
        <v>312</v>
      </c>
      <c r="G723" s="27">
        <f>G724</f>
        <v>500</v>
      </c>
      <c r="H723" s="195"/>
    </row>
    <row r="724" spans="1:8" ht="15.75">
      <c r="A724" s="26" t="s">
        <v>313</v>
      </c>
      <c r="B724" s="17">
        <v>907</v>
      </c>
      <c r="C724" s="21" t="s">
        <v>531</v>
      </c>
      <c r="D724" s="21" t="s">
        <v>157</v>
      </c>
      <c r="E724" s="21" t="s">
        <v>798</v>
      </c>
      <c r="F724" s="21" t="s">
        <v>314</v>
      </c>
      <c r="G724" s="176">
        <v>500</v>
      </c>
      <c r="H724" s="175" t="s">
        <v>802</v>
      </c>
    </row>
    <row r="725" spans="1:8" ht="31.5">
      <c r="A725" s="24" t="s">
        <v>540</v>
      </c>
      <c r="B725" s="20">
        <v>907</v>
      </c>
      <c r="C725" s="25" t="s">
        <v>531</v>
      </c>
      <c r="D725" s="25" t="s">
        <v>273</v>
      </c>
      <c r="E725" s="25"/>
      <c r="F725" s="25"/>
      <c r="G725" s="22">
        <f>G733+G726</f>
        <v>11528.8</v>
      </c>
      <c r="H725" s="195"/>
    </row>
    <row r="726" spans="1:8" ht="47.25">
      <c r="A726" s="31" t="s">
        <v>521</v>
      </c>
      <c r="B726" s="17">
        <v>907</v>
      </c>
      <c r="C726" s="21" t="s">
        <v>531</v>
      </c>
      <c r="D726" s="21" t="s">
        <v>273</v>
      </c>
      <c r="E726" s="42" t="s">
        <v>522</v>
      </c>
      <c r="F726" s="21"/>
      <c r="G726" s="27">
        <f>G727</f>
        <v>3047</v>
      </c>
      <c r="H726" s="195"/>
    </row>
    <row r="727" spans="1:8" ht="47.25">
      <c r="A727" s="47" t="s">
        <v>541</v>
      </c>
      <c r="B727" s="17">
        <v>907</v>
      </c>
      <c r="C727" s="21" t="s">
        <v>531</v>
      </c>
      <c r="D727" s="21" t="s">
        <v>273</v>
      </c>
      <c r="E727" s="42" t="s">
        <v>542</v>
      </c>
      <c r="F727" s="21"/>
      <c r="G727" s="27">
        <f>G728</f>
        <v>3047</v>
      </c>
      <c r="H727" s="195"/>
    </row>
    <row r="728" spans="1:8" ht="31.5">
      <c r="A728" s="31" t="s">
        <v>196</v>
      </c>
      <c r="B728" s="17">
        <v>907</v>
      </c>
      <c r="C728" s="21" t="s">
        <v>531</v>
      </c>
      <c r="D728" s="21" t="s">
        <v>273</v>
      </c>
      <c r="E728" s="42" t="s">
        <v>543</v>
      </c>
      <c r="F728" s="21"/>
      <c r="G728" s="27">
        <f>G731+G729</f>
        <v>3047</v>
      </c>
      <c r="H728" s="195"/>
    </row>
    <row r="729" spans="1:8" ht="94.5">
      <c r="A729" s="26" t="s">
        <v>166</v>
      </c>
      <c r="B729" s="17">
        <v>907</v>
      </c>
      <c r="C729" s="21" t="s">
        <v>531</v>
      </c>
      <c r="D729" s="21" t="s">
        <v>273</v>
      </c>
      <c r="E729" s="42" t="s">
        <v>543</v>
      </c>
      <c r="F729" s="21" t="s">
        <v>167</v>
      </c>
      <c r="G729" s="27">
        <f>G730</f>
        <v>2111</v>
      </c>
      <c r="H729" s="195"/>
    </row>
    <row r="730" spans="1:9" ht="31.5">
      <c r="A730" s="26" t="s">
        <v>168</v>
      </c>
      <c r="B730" s="17">
        <v>907</v>
      </c>
      <c r="C730" s="21" t="s">
        <v>531</v>
      </c>
      <c r="D730" s="21" t="s">
        <v>273</v>
      </c>
      <c r="E730" s="42" t="s">
        <v>543</v>
      </c>
      <c r="F730" s="21" t="s">
        <v>169</v>
      </c>
      <c r="G730" s="27">
        <v>2111</v>
      </c>
      <c r="H730" s="195"/>
      <c r="I730" s="135"/>
    </row>
    <row r="731" spans="1:8" ht="31.5">
      <c r="A731" s="31" t="s">
        <v>170</v>
      </c>
      <c r="B731" s="17">
        <v>907</v>
      </c>
      <c r="C731" s="21" t="s">
        <v>531</v>
      </c>
      <c r="D731" s="21" t="s">
        <v>273</v>
      </c>
      <c r="E731" s="42" t="s">
        <v>543</v>
      </c>
      <c r="F731" s="21" t="s">
        <v>171</v>
      </c>
      <c r="G731" s="27">
        <f>G732</f>
        <v>936</v>
      </c>
      <c r="H731" s="195"/>
    </row>
    <row r="732" spans="1:9" ht="47.25">
      <c r="A732" s="31" t="s">
        <v>172</v>
      </c>
      <c r="B732" s="17">
        <v>907</v>
      </c>
      <c r="C732" s="21" t="s">
        <v>531</v>
      </c>
      <c r="D732" s="21" t="s">
        <v>273</v>
      </c>
      <c r="E732" s="42" t="s">
        <v>543</v>
      </c>
      <c r="F732" s="21" t="s">
        <v>173</v>
      </c>
      <c r="G732" s="27">
        <f>3047-2111</f>
        <v>936</v>
      </c>
      <c r="H732" s="195"/>
      <c r="I732" s="135"/>
    </row>
    <row r="733" spans="1:8" ht="15.75">
      <c r="A733" s="26" t="s">
        <v>160</v>
      </c>
      <c r="B733" s="17">
        <v>907</v>
      </c>
      <c r="C733" s="21" t="s">
        <v>531</v>
      </c>
      <c r="D733" s="21" t="s">
        <v>273</v>
      </c>
      <c r="E733" s="21" t="s">
        <v>161</v>
      </c>
      <c r="F733" s="21"/>
      <c r="G733" s="27">
        <f>G734+G740</f>
        <v>8481.8</v>
      </c>
      <c r="H733" s="195"/>
    </row>
    <row r="734" spans="1:8" ht="31.5">
      <c r="A734" s="26" t="s">
        <v>162</v>
      </c>
      <c r="B734" s="17">
        <v>907</v>
      </c>
      <c r="C734" s="21" t="s">
        <v>531</v>
      </c>
      <c r="D734" s="21" t="s">
        <v>273</v>
      </c>
      <c r="E734" s="21" t="s">
        <v>163</v>
      </c>
      <c r="F734" s="21"/>
      <c r="G734" s="27">
        <f>G735</f>
        <v>3599.8</v>
      </c>
      <c r="H734" s="195"/>
    </row>
    <row r="735" spans="1:8" ht="47.25">
      <c r="A735" s="26" t="s">
        <v>164</v>
      </c>
      <c r="B735" s="17">
        <v>907</v>
      </c>
      <c r="C735" s="21" t="s">
        <v>531</v>
      </c>
      <c r="D735" s="21" t="s">
        <v>273</v>
      </c>
      <c r="E735" s="21" t="s">
        <v>165</v>
      </c>
      <c r="F735" s="21"/>
      <c r="G735" s="27">
        <f>G736+G738</f>
        <v>3599.8</v>
      </c>
      <c r="H735" s="195"/>
    </row>
    <row r="736" spans="1:8" ht="94.5">
      <c r="A736" s="26" t="s">
        <v>166</v>
      </c>
      <c r="B736" s="17">
        <v>907</v>
      </c>
      <c r="C736" s="21" t="s">
        <v>531</v>
      </c>
      <c r="D736" s="21" t="s">
        <v>273</v>
      </c>
      <c r="E736" s="21" t="s">
        <v>165</v>
      </c>
      <c r="F736" s="21" t="s">
        <v>167</v>
      </c>
      <c r="G736" s="27">
        <f>G737</f>
        <v>3599.8</v>
      </c>
      <c r="H736" s="195"/>
    </row>
    <row r="737" spans="1:8" ht="31.5">
      <c r="A737" s="26" t="s">
        <v>168</v>
      </c>
      <c r="B737" s="17">
        <v>907</v>
      </c>
      <c r="C737" s="21" t="s">
        <v>531</v>
      </c>
      <c r="D737" s="21" t="s">
        <v>273</v>
      </c>
      <c r="E737" s="21" t="s">
        <v>165</v>
      </c>
      <c r="F737" s="21" t="s">
        <v>169</v>
      </c>
      <c r="G737" s="28">
        <v>3599.8</v>
      </c>
      <c r="H737" s="195"/>
    </row>
    <row r="738" spans="1:8" ht="31.5" hidden="1">
      <c r="A738" s="26" t="s">
        <v>170</v>
      </c>
      <c r="B738" s="17">
        <v>907</v>
      </c>
      <c r="C738" s="21" t="s">
        <v>531</v>
      </c>
      <c r="D738" s="21" t="s">
        <v>273</v>
      </c>
      <c r="E738" s="21" t="s">
        <v>165</v>
      </c>
      <c r="F738" s="21" t="s">
        <v>171</v>
      </c>
      <c r="G738" s="27">
        <f>G739</f>
        <v>0</v>
      </c>
      <c r="H738" s="195"/>
    </row>
    <row r="739" spans="1:8" ht="47.25" hidden="1">
      <c r="A739" s="26" t="s">
        <v>172</v>
      </c>
      <c r="B739" s="17">
        <v>907</v>
      </c>
      <c r="C739" s="21" t="s">
        <v>531</v>
      </c>
      <c r="D739" s="21" t="s">
        <v>273</v>
      </c>
      <c r="E739" s="21" t="s">
        <v>165</v>
      </c>
      <c r="F739" s="21" t="s">
        <v>173</v>
      </c>
      <c r="G739" s="27"/>
      <c r="H739" s="195"/>
    </row>
    <row r="740" spans="1:8" ht="15.75">
      <c r="A740" s="26" t="s">
        <v>180</v>
      </c>
      <c r="B740" s="17">
        <v>907</v>
      </c>
      <c r="C740" s="21" t="s">
        <v>531</v>
      </c>
      <c r="D740" s="21" t="s">
        <v>273</v>
      </c>
      <c r="E740" s="21" t="s">
        <v>181</v>
      </c>
      <c r="F740" s="21"/>
      <c r="G740" s="27">
        <f>G741</f>
        <v>4882</v>
      </c>
      <c r="H740" s="195"/>
    </row>
    <row r="741" spans="1:11" ht="31.5">
      <c r="A741" s="26" t="s">
        <v>379</v>
      </c>
      <c r="B741" s="17">
        <v>907</v>
      </c>
      <c r="C741" s="21" t="s">
        <v>531</v>
      </c>
      <c r="D741" s="21" t="s">
        <v>273</v>
      </c>
      <c r="E741" s="21" t="s">
        <v>380</v>
      </c>
      <c r="F741" s="21"/>
      <c r="G741" s="27">
        <f>G742+G744+G746</f>
        <v>4882</v>
      </c>
      <c r="H741" s="195"/>
      <c r="J741" s="373"/>
      <c r="K741" s="373"/>
    </row>
    <row r="742" spans="1:11" ht="94.5">
      <c r="A742" s="26" t="s">
        <v>166</v>
      </c>
      <c r="B742" s="17">
        <v>907</v>
      </c>
      <c r="C742" s="21" t="s">
        <v>531</v>
      </c>
      <c r="D742" s="21" t="s">
        <v>273</v>
      </c>
      <c r="E742" s="21" t="s">
        <v>380</v>
      </c>
      <c r="F742" s="21" t="s">
        <v>167</v>
      </c>
      <c r="G742" s="27">
        <f>G743</f>
        <v>3660.7</v>
      </c>
      <c r="H742" s="195"/>
      <c r="J742" s="373"/>
      <c r="K742" s="373"/>
    </row>
    <row r="743" spans="1:11" ht="31.5">
      <c r="A743" s="26" t="s">
        <v>381</v>
      </c>
      <c r="B743" s="17">
        <v>907</v>
      </c>
      <c r="C743" s="21" t="s">
        <v>531</v>
      </c>
      <c r="D743" s="21" t="s">
        <v>273</v>
      </c>
      <c r="E743" s="21" t="s">
        <v>380</v>
      </c>
      <c r="F743" s="21" t="s">
        <v>248</v>
      </c>
      <c r="G743" s="28">
        <f>4240.2-579.5</f>
        <v>3660.7</v>
      </c>
      <c r="H743" s="126"/>
      <c r="I743" s="144"/>
      <c r="J743" s="373"/>
      <c r="K743" s="373"/>
    </row>
    <row r="744" spans="1:11" ht="31.5">
      <c r="A744" s="26" t="s">
        <v>170</v>
      </c>
      <c r="B744" s="17">
        <v>907</v>
      </c>
      <c r="C744" s="21" t="s">
        <v>531</v>
      </c>
      <c r="D744" s="21" t="s">
        <v>273</v>
      </c>
      <c r="E744" s="21" t="s">
        <v>380</v>
      </c>
      <c r="F744" s="21" t="s">
        <v>171</v>
      </c>
      <c r="G744" s="27">
        <f>G745</f>
        <v>1194.1999999999998</v>
      </c>
      <c r="H744" s="195"/>
      <c r="J744" s="373"/>
      <c r="K744" s="373"/>
    </row>
    <row r="745" spans="1:11" ht="47.25">
      <c r="A745" s="26" t="s">
        <v>172</v>
      </c>
      <c r="B745" s="17">
        <v>907</v>
      </c>
      <c r="C745" s="21" t="s">
        <v>531</v>
      </c>
      <c r="D745" s="21" t="s">
        <v>273</v>
      </c>
      <c r="E745" s="21" t="s">
        <v>380</v>
      </c>
      <c r="F745" s="21" t="s">
        <v>173</v>
      </c>
      <c r="G745" s="28">
        <f>1339.6-145.4</f>
        <v>1194.1999999999998</v>
      </c>
      <c r="H745" s="126"/>
      <c r="I745" s="144"/>
      <c r="J745" s="373"/>
      <c r="K745" s="373"/>
    </row>
    <row r="746" spans="1:11" ht="15.75">
      <c r="A746" s="26" t="s">
        <v>174</v>
      </c>
      <c r="B746" s="17">
        <v>907</v>
      </c>
      <c r="C746" s="21" t="s">
        <v>531</v>
      </c>
      <c r="D746" s="21" t="s">
        <v>273</v>
      </c>
      <c r="E746" s="21" t="s">
        <v>380</v>
      </c>
      <c r="F746" s="21" t="s">
        <v>184</v>
      </c>
      <c r="G746" s="27">
        <f>G747</f>
        <v>27.1</v>
      </c>
      <c r="H746" s="195"/>
      <c r="J746" s="373"/>
      <c r="K746" s="373"/>
    </row>
    <row r="747" spans="1:11" ht="15.75">
      <c r="A747" s="26" t="s">
        <v>608</v>
      </c>
      <c r="B747" s="17">
        <v>907</v>
      </c>
      <c r="C747" s="21" t="s">
        <v>531</v>
      </c>
      <c r="D747" s="21" t="s">
        <v>273</v>
      </c>
      <c r="E747" s="21" t="s">
        <v>380</v>
      </c>
      <c r="F747" s="21" t="s">
        <v>177</v>
      </c>
      <c r="G747" s="27">
        <f>27.1</f>
        <v>27.1</v>
      </c>
      <c r="H747" s="126"/>
      <c r="I747" s="144"/>
      <c r="J747" s="373"/>
      <c r="K747" s="373"/>
    </row>
    <row r="748" spans="1:12" ht="47.25">
      <c r="A748" s="20" t="s">
        <v>544</v>
      </c>
      <c r="B748" s="20">
        <v>908</v>
      </c>
      <c r="C748" s="21"/>
      <c r="D748" s="21"/>
      <c r="E748" s="21"/>
      <c r="F748" s="21"/>
      <c r="G748" s="22">
        <f>G763+G770+G784+G918+G749</f>
        <v>143249.49000000002</v>
      </c>
      <c r="H748" s="195"/>
      <c r="L748" s="136"/>
    </row>
    <row r="749" spans="1:12" ht="15.75">
      <c r="A749" s="36" t="s">
        <v>156</v>
      </c>
      <c r="B749" s="20">
        <v>908</v>
      </c>
      <c r="C749" s="25" t="s">
        <v>157</v>
      </c>
      <c r="D749" s="21"/>
      <c r="E749" s="21"/>
      <c r="F749" s="21"/>
      <c r="G749" s="22">
        <f>G750</f>
        <v>16714.8</v>
      </c>
      <c r="H749" s="195"/>
      <c r="L749" s="136"/>
    </row>
    <row r="750" spans="1:12" ht="15.75">
      <c r="A750" s="36" t="s">
        <v>178</v>
      </c>
      <c r="B750" s="20">
        <v>908</v>
      </c>
      <c r="C750" s="25" t="s">
        <v>157</v>
      </c>
      <c r="D750" s="25" t="s">
        <v>179</v>
      </c>
      <c r="E750" s="21"/>
      <c r="F750" s="21"/>
      <c r="G750" s="22">
        <f>G752+G755</f>
        <v>16714.8</v>
      </c>
      <c r="H750" s="195"/>
      <c r="L750" s="136"/>
    </row>
    <row r="751" spans="1:12" ht="15.75">
      <c r="A751" s="26" t="s">
        <v>180</v>
      </c>
      <c r="B751" s="17">
        <v>908</v>
      </c>
      <c r="C751" s="21" t="s">
        <v>157</v>
      </c>
      <c r="D751" s="21" t="s">
        <v>179</v>
      </c>
      <c r="E751" s="21" t="s">
        <v>181</v>
      </c>
      <c r="F751" s="21"/>
      <c r="G751" s="27">
        <f>G752</f>
        <v>262.5</v>
      </c>
      <c r="H751" s="195"/>
      <c r="L751" s="136"/>
    </row>
    <row r="752" spans="1:12" ht="15.75">
      <c r="A752" s="26" t="s">
        <v>182</v>
      </c>
      <c r="B752" s="17">
        <v>908</v>
      </c>
      <c r="C752" s="21" t="s">
        <v>157</v>
      </c>
      <c r="D752" s="21" t="s">
        <v>179</v>
      </c>
      <c r="E752" s="21" t="s">
        <v>183</v>
      </c>
      <c r="F752" s="21"/>
      <c r="G752" s="27">
        <f>G753</f>
        <v>262.5</v>
      </c>
      <c r="H752" s="195"/>
      <c r="L752" s="136"/>
    </row>
    <row r="753" spans="1:12" ht="15.75">
      <c r="A753" s="26" t="s">
        <v>174</v>
      </c>
      <c r="B753" s="17">
        <v>908</v>
      </c>
      <c r="C753" s="21" t="s">
        <v>157</v>
      </c>
      <c r="D753" s="21" t="s">
        <v>179</v>
      </c>
      <c r="E753" s="21" t="s">
        <v>183</v>
      </c>
      <c r="F753" s="21" t="s">
        <v>184</v>
      </c>
      <c r="G753" s="27">
        <f>G754</f>
        <v>262.5</v>
      </c>
      <c r="H753" s="195"/>
      <c r="L753" s="136"/>
    </row>
    <row r="754" spans="1:12" ht="15.75">
      <c r="A754" s="26" t="s">
        <v>608</v>
      </c>
      <c r="B754" s="17">
        <v>908</v>
      </c>
      <c r="C754" s="21" t="s">
        <v>157</v>
      </c>
      <c r="D754" s="21" t="s">
        <v>179</v>
      </c>
      <c r="E754" s="21" t="s">
        <v>183</v>
      </c>
      <c r="F754" s="21" t="s">
        <v>177</v>
      </c>
      <c r="G754" s="27">
        <v>262.5</v>
      </c>
      <c r="H754" s="126"/>
      <c r="I754" s="144"/>
      <c r="L754" s="136"/>
    </row>
    <row r="755" spans="1:8" ht="31.5">
      <c r="A755" s="26" t="s">
        <v>624</v>
      </c>
      <c r="B755" s="17">
        <v>908</v>
      </c>
      <c r="C755" s="21" t="s">
        <v>157</v>
      </c>
      <c r="D755" s="21" t="s">
        <v>179</v>
      </c>
      <c r="E755" s="21" t="s">
        <v>625</v>
      </c>
      <c r="F755" s="21"/>
      <c r="G755" s="28">
        <f>G756</f>
        <v>16452.3</v>
      </c>
      <c r="H755" s="195"/>
    </row>
    <row r="756" spans="1:8" ht="31.5">
      <c r="A756" s="26" t="s">
        <v>349</v>
      </c>
      <c r="B756" s="17">
        <v>908</v>
      </c>
      <c r="C756" s="21" t="s">
        <v>157</v>
      </c>
      <c r="D756" s="21" t="s">
        <v>179</v>
      </c>
      <c r="E756" s="21" t="s">
        <v>626</v>
      </c>
      <c r="F756" s="21"/>
      <c r="G756" s="28">
        <f>G757+G759+G761</f>
        <v>16452.3</v>
      </c>
      <c r="H756" s="195"/>
    </row>
    <row r="757" spans="1:8" ht="94.5">
      <c r="A757" s="26" t="s">
        <v>166</v>
      </c>
      <c r="B757" s="17">
        <v>908</v>
      </c>
      <c r="C757" s="21" t="s">
        <v>157</v>
      </c>
      <c r="D757" s="21" t="s">
        <v>179</v>
      </c>
      <c r="E757" s="21" t="s">
        <v>626</v>
      </c>
      <c r="F757" s="21" t="s">
        <v>167</v>
      </c>
      <c r="G757" s="28">
        <f>G758</f>
        <v>13760</v>
      </c>
      <c r="H757" s="195"/>
    </row>
    <row r="758" spans="1:12" ht="31.5">
      <c r="A758" s="48" t="s">
        <v>381</v>
      </c>
      <c r="B758" s="17">
        <v>908</v>
      </c>
      <c r="C758" s="21" t="s">
        <v>157</v>
      </c>
      <c r="D758" s="21" t="s">
        <v>179</v>
      </c>
      <c r="E758" s="21" t="s">
        <v>626</v>
      </c>
      <c r="F758" s="21" t="s">
        <v>248</v>
      </c>
      <c r="G758" s="184">
        <f>13403.8+356.2</f>
        <v>13760</v>
      </c>
      <c r="H758" s="126" t="s">
        <v>812</v>
      </c>
      <c r="I758" s="144"/>
      <c r="L758" s="136"/>
    </row>
    <row r="759" spans="1:12" ht="31.5">
      <c r="A759" s="26" t="s">
        <v>170</v>
      </c>
      <c r="B759" s="17">
        <v>908</v>
      </c>
      <c r="C759" s="21" t="s">
        <v>157</v>
      </c>
      <c r="D759" s="21" t="s">
        <v>179</v>
      </c>
      <c r="E759" s="21" t="s">
        <v>626</v>
      </c>
      <c r="F759" s="21" t="s">
        <v>171</v>
      </c>
      <c r="G759" s="28">
        <f>G760</f>
        <v>2678</v>
      </c>
      <c r="H759" s="195"/>
      <c r="L759" s="136"/>
    </row>
    <row r="760" spans="1:12" ht="47.25">
      <c r="A760" s="26" t="s">
        <v>172</v>
      </c>
      <c r="B760" s="17">
        <v>908</v>
      </c>
      <c r="C760" s="21" t="s">
        <v>157</v>
      </c>
      <c r="D760" s="21" t="s">
        <v>179</v>
      </c>
      <c r="E760" s="21" t="s">
        <v>626</v>
      </c>
      <c r="F760" s="21" t="s">
        <v>173</v>
      </c>
      <c r="G760" s="184">
        <f>3034.2-356.2</f>
        <v>2678</v>
      </c>
      <c r="H760" s="126" t="s">
        <v>813</v>
      </c>
      <c r="I760" s="144"/>
      <c r="L760" s="136"/>
    </row>
    <row r="761" spans="1:12" ht="15.75">
      <c r="A761" s="26" t="s">
        <v>174</v>
      </c>
      <c r="B761" s="17">
        <v>908</v>
      </c>
      <c r="C761" s="21" t="s">
        <v>157</v>
      </c>
      <c r="D761" s="21" t="s">
        <v>179</v>
      </c>
      <c r="E761" s="21" t="s">
        <v>626</v>
      </c>
      <c r="F761" s="21" t="s">
        <v>184</v>
      </c>
      <c r="G761" s="28">
        <f>G762</f>
        <v>14.3</v>
      </c>
      <c r="H761" s="195"/>
      <c r="L761" s="136"/>
    </row>
    <row r="762" spans="1:12" ht="15.75">
      <c r="A762" s="26" t="s">
        <v>774</v>
      </c>
      <c r="B762" s="17">
        <v>908</v>
      </c>
      <c r="C762" s="21" t="s">
        <v>157</v>
      </c>
      <c r="D762" s="21" t="s">
        <v>179</v>
      </c>
      <c r="E762" s="21" t="s">
        <v>626</v>
      </c>
      <c r="F762" s="21" t="s">
        <v>177</v>
      </c>
      <c r="G762" s="28">
        <v>14.3</v>
      </c>
      <c r="H762" s="126"/>
      <c r="I762" s="144"/>
      <c r="L762" s="136"/>
    </row>
    <row r="763" spans="1:8" ht="31.5">
      <c r="A763" s="24" t="s">
        <v>261</v>
      </c>
      <c r="B763" s="20">
        <v>908</v>
      </c>
      <c r="C763" s="25" t="s">
        <v>254</v>
      </c>
      <c r="D763" s="25"/>
      <c r="E763" s="25"/>
      <c r="F763" s="25"/>
      <c r="G763" s="22">
        <f aca="true" t="shared" si="4" ref="G763:G768">G764</f>
        <v>50</v>
      </c>
      <c r="H763" s="195"/>
    </row>
    <row r="764" spans="1:8" ht="63">
      <c r="A764" s="24" t="s">
        <v>262</v>
      </c>
      <c r="B764" s="20">
        <v>908</v>
      </c>
      <c r="C764" s="25" t="s">
        <v>254</v>
      </c>
      <c r="D764" s="25" t="s">
        <v>258</v>
      </c>
      <c r="E764" s="25"/>
      <c r="F764" s="25"/>
      <c r="G764" s="22">
        <f t="shared" si="4"/>
        <v>50</v>
      </c>
      <c r="H764" s="195"/>
    </row>
    <row r="765" spans="1:8" ht="21.75" customHeight="1">
      <c r="A765" s="26" t="s">
        <v>160</v>
      </c>
      <c r="B765" s="17">
        <v>908</v>
      </c>
      <c r="C765" s="21" t="s">
        <v>254</v>
      </c>
      <c r="D765" s="21" t="s">
        <v>258</v>
      </c>
      <c r="E765" s="21" t="s">
        <v>161</v>
      </c>
      <c r="F765" s="21"/>
      <c r="G765" s="27">
        <f t="shared" si="4"/>
        <v>50</v>
      </c>
      <c r="H765" s="195"/>
    </row>
    <row r="766" spans="1:8" ht="15.75">
      <c r="A766" s="26" t="s">
        <v>180</v>
      </c>
      <c r="B766" s="17">
        <v>908</v>
      </c>
      <c r="C766" s="21" t="s">
        <v>254</v>
      </c>
      <c r="D766" s="21" t="s">
        <v>258</v>
      </c>
      <c r="E766" s="21" t="s">
        <v>181</v>
      </c>
      <c r="F766" s="21"/>
      <c r="G766" s="27">
        <f t="shared" si="4"/>
        <v>50</v>
      </c>
      <c r="H766" s="195"/>
    </row>
    <row r="767" spans="1:8" ht="15.75">
      <c r="A767" s="26" t="s">
        <v>269</v>
      </c>
      <c r="B767" s="17">
        <v>908</v>
      </c>
      <c r="C767" s="21" t="s">
        <v>254</v>
      </c>
      <c r="D767" s="21" t="s">
        <v>258</v>
      </c>
      <c r="E767" s="21" t="s">
        <v>270</v>
      </c>
      <c r="F767" s="21"/>
      <c r="G767" s="27">
        <f t="shared" si="4"/>
        <v>50</v>
      </c>
      <c r="H767" s="195"/>
    </row>
    <row r="768" spans="1:8" ht="31.5">
      <c r="A768" s="26" t="s">
        <v>170</v>
      </c>
      <c r="B768" s="17">
        <v>908</v>
      </c>
      <c r="C768" s="21" t="s">
        <v>254</v>
      </c>
      <c r="D768" s="21" t="s">
        <v>258</v>
      </c>
      <c r="E768" s="21" t="s">
        <v>270</v>
      </c>
      <c r="F768" s="21" t="s">
        <v>171</v>
      </c>
      <c r="G768" s="27">
        <f t="shared" si="4"/>
        <v>50</v>
      </c>
      <c r="H768" s="195"/>
    </row>
    <row r="769" spans="1:8" ht="47.25">
      <c r="A769" s="26" t="s">
        <v>172</v>
      </c>
      <c r="B769" s="17">
        <v>908</v>
      </c>
      <c r="C769" s="21" t="s">
        <v>254</v>
      </c>
      <c r="D769" s="21" t="s">
        <v>258</v>
      </c>
      <c r="E769" s="21" t="s">
        <v>270</v>
      </c>
      <c r="F769" s="21" t="s">
        <v>173</v>
      </c>
      <c r="G769" s="27">
        <v>50</v>
      </c>
      <c r="H769" s="195"/>
    </row>
    <row r="770" spans="1:8" ht="15.75">
      <c r="A770" s="24" t="s">
        <v>271</v>
      </c>
      <c r="B770" s="20">
        <v>908</v>
      </c>
      <c r="C770" s="25" t="s">
        <v>189</v>
      </c>
      <c r="D770" s="25"/>
      <c r="E770" s="25"/>
      <c r="F770" s="25"/>
      <c r="G770" s="22">
        <f>G771+G777</f>
        <v>18331.8</v>
      </c>
      <c r="H770" s="195"/>
    </row>
    <row r="771" spans="1:8" ht="15.75">
      <c r="A771" s="24" t="s">
        <v>545</v>
      </c>
      <c r="B771" s="20">
        <v>908</v>
      </c>
      <c r="C771" s="25" t="s">
        <v>189</v>
      </c>
      <c r="D771" s="25" t="s">
        <v>338</v>
      </c>
      <c r="E771" s="25"/>
      <c r="F771" s="25"/>
      <c r="G771" s="22">
        <f>G772</f>
        <v>3207.7</v>
      </c>
      <c r="H771" s="195"/>
    </row>
    <row r="772" spans="1:8" ht="15.75">
      <c r="A772" s="26" t="s">
        <v>160</v>
      </c>
      <c r="B772" s="17">
        <v>908</v>
      </c>
      <c r="C772" s="21" t="s">
        <v>189</v>
      </c>
      <c r="D772" s="21" t="s">
        <v>338</v>
      </c>
      <c r="E772" s="21" t="s">
        <v>161</v>
      </c>
      <c r="F772" s="25"/>
      <c r="G772" s="27">
        <f>G773</f>
        <v>3207.7</v>
      </c>
      <c r="H772" s="195"/>
    </row>
    <row r="773" spans="1:8" ht="15.75">
      <c r="A773" s="26" t="s">
        <v>180</v>
      </c>
      <c r="B773" s="17">
        <v>908</v>
      </c>
      <c r="C773" s="21" t="s">
        <v>189</v>
      </c>
      <c r="D773" s="21" t="s">
        <v>338</v>
      </c>
      <c r="E773" s="21" t="s">
        <v>181</v>
      </c>
      <c r="F773" s="25"/>
      <c r="G773" s="27">
        <f>G774</f>
        <v>3207.7</v>
      </c>
      <c r="H773" s="195"/>
    </row>
    <row r="774" spans="1:8" ht="39" customHeight="1">
      <c r="A774" s="26" t="s">
        <v>546</v>
      </c>
      <c r="B774" s="17">
        <v>908</v>
      </c>
      <c r="C774" s="21" t="s">
        <v>189</v>
      </c>
      <c r="D774" s="21" t="s">
        <v>338</v>
      </c>
      <c r="E774" s="21" t="s">
        <v>547</v>
      </c>
      <c r="F774" s="21"/>
      <c r="G774" s="27">
        <f>G775</f>
        <v>3207.7</v>
      </c>
      <c r="H774" s="195"/>
    </row>
    <row r="775" spans="1:8" ht="31.5">
      <c r="A775" s="26" t="s">
        <v>170</v>
      </c>
      <c r="B775" s="17">
        <v>908</v>
      </c>
      <c r="C775" s="21" t="s">
        <v>189</v>
      </c>
      <c r="D775" s="21" t="s">
        <v>338</v>
      </c>
      <c r="E775" s="21" t="s">
        <v>547</v>
      </c>
      <c r="F775" s="21" t="s">
        <v>171</v>
      </c>
      <c r="G775" s="27">
        <f>G776</f>
        <v>3207.7</v>
      </c>
      <c r="H775" s="195"/>
    </row>
    <row r="776" spans="1:8" ht="47.25">
      <c r="A776" s="26" t="s">
        <v>172</v>
      </c>
      <c r="B776" s="17">
        <v>908</v>
      </c>
      <c r="C776" s="21" t="s">
        <v>189</v>
      </c>
      <c r="D776" s="21" t="s">
        <v>338</v>
      </c>
      <c r="E776" s="21" t="s">
        <v>547</v>
      </c>
      <c r="F776" s="21" t="s">
        <v>173</v>
      </c>
      <c r="G776" s="27">
        <v>3207.7</v>
      </c>
      <c r="H776" s="195"/>
    </row>
    <row r="777" spans="1:8" ht="15.75">
      <c r="A777" s="24" t="s">
        <v>548</v>
      </c>
      <c r="B777" s="20">
        <v>908</v>
      </c>
      <c r="C777" s="25" t="s">
        <v>189</v>
      </c>
      <c r="D777" s="25" t="s">
        <v>258</v>
      </c>
      <c r="E777" s="21"/>
      <c r="F777" s="25"/>
      <c r="G777" s="22">
        <f>G778</f>
        <v>15124.1</v>
      </c>
      <c r="H777" s="195"/>
    </row>
    <row r="778" spans="1:8" ht="47.25">
      <c r="A778" s="33" t="s">
        <v>549</v>
      </c>
      <c r="B778" s="17">
        <v>908</v>
      </c>
      <c r="C778" s="21" t="s">
        <v>189</v>
      </c>
      <c r="D778" s="21" t="s">
        <v>258</v>
      </c>
      <c r="E778" s="21" t="s">
        <v>550</v>
      </c>
      <c r="F778" s="21"/>
      <c r="G778" s="27">
        <f>G779</f>
        <v>15124.1</v>
      </c>
      <c r="H778" s="195"/>
    </row>
    <row r="779" spans="1:8" ht="15.75">
      <c r="A779" s="31" t="s">
        <v>551</v>
      </c>
      <c r="B779" s="17">
        <v>908</v>
      </c>
      <c r="C779" s="21" t="s">
        <v>189</v>
      </c>
      <c r="D779" s="21" t="s">
        <v>258</v>
      </c>
      <c r="E779" s="42" t="s">
        <v>552</v>
      </c>
      <c r="F779" s="21"/>
      <c r="G779" s="27">
        <f>G780+G782</f>
        <v>15124.1</v>
      </c>
      <c r="H779" s="195"/>
    </row>
    <row r="780" spans="1:8" ht="31.5">
      <c r="A780" s="26" t="s">
        <v>170</v>
      </c>
      <c r="B780" s="17">
        <v>908</v>
      </c>
      <c r="C780" s="21" t="s">
        <v>189</v>
      </c>
      <c r="D780" s="21" t="s">
        <v>258</v>
      </c>
      <c r="E780" s="42" t="s">
        <v>552</v>
      </c>
      <c r="F780" s="21" t="s">
        <v>171</v>
      </c>
      <c r="G780" s="27">
        <f>G781</f>
        <v>15108.1</v>
      </c>
      <c r="H780" s="195"/>
    </row>
    <row r="781" spans="1:8" ht="47.25">
      <c r="A781" s="26" t="s">
        <v>172</v>
      </c>
      <c r="B781" s="17">
        <v>908</v>
      </c>
      <c r="C781" s="21" t="s">
        <v>189</v>
      </c>
      <c r="D781" s="21" t="s">
        <v>258</v>
      </c>
      <c r="E781" s="42" t="s">
        <v>552</v>
      </c>
      <c r="F781" s="21" t="s">
        <v>173</v>
      </c>
      <c r="G781" s="27">
        <f>15124.1-10-6</f>
        <v>15108.1</v>
      </c>
      <c r="H781" s="140" t="s">
        <v>834</v>
      </c>
    </row>
    <row r="782" spans="1:8" ht="15.75">
      <c r="A782" s="26" t="s">
        <v>174</v>
      </c>
      <c r="B782" s="17">
        <v>908</v>
      </c>
      <c r="C782" s="21" t="s">
        <v>189</v>
      </c>
      <c r="D782" s="21" t="s">
        <v>258</v>
      </c>
      <c r="E782" s="42" t="s">
        <v>552</v>
      </c>
      <c r="F782" s="21" t="s">
        <v>184</v>
      </c>
      <c r="G782" s="27">
        <f>G783</f>
        <v>16</v>
      </c>
      <c r="H782" s="195"/>
    </row>
    <row r="783" spans="1:8" ht="15.75">
      <c r="A783" s="26" t="s">
        <v>608</v>
      </c>
      <c r="B783" s="17">
        <v>908</v>
      </c>
      <c r="C783" s="21" t="s">
        <v>189</v>
      </c>
      <c r="D783" s="21" t="s">
        <v>258</v>
      </c>
      <c r="E783" s="42" t="s">
        <v>552</v>
      </c>
      <c r="F783" s="21" t="s">
        <v>177</v>
      </c>
      <c r="G783" s="27">
        <f>10+6</f>
        <v>16</v>
      </c>
      <c r="H783" s="175" t="s">
        <v>835</v>
      </c>
    </row>
    <row r="784" spans="1:9" ht="15.75">
      <c r="A784" s="24" t="s">
        <v>430</v>
      </c>
      <c r="B784" s="20">
        <v>908</v>
      </c>
      <c r="C784" s="25" t="s">
        <v>273</v>
      </c>
      <c r="D784" s="25"/>
      <c r="E784" s="25"/>
      <c r="F784" s="25"/>
      <c r="G784" s="22">
        <f>G785+G800+G847+G899</f>
        <v>108065.79000000001</v>
      </c>
      <c r="H784" s="195"/>
      <c r="I784" s="134"/>
    </row>
    <row r="785" spans="1:8" ht="15.75">
      <c r="A785" s="24" t="s">
        <v>431</v>
      </c>
      <c r="B785" s="20">
        <v>908</v>
      </c>
      <c r="C785" s="25" t="s">
        <v>273</v>
      </c>
      <c r="D785" s="25" t="s">
        <v>157</v>
      </c>
      <c r="E785" s="25"/>
      <c r="F785" s="25"/>
      <c r="G785" s="22">
        <f>G786</f>
        <v>7765.400000000001</v>
      </c>
      <c r="H785" s="195"/>
    </row>
    <row r="786" spans="1:8" ht="15.75">
      <c r="A786" s="26" t="s">
        <v>160</v>
      </c>
      <c r="B786" s="17">
        <v>908</v>
      </c>
      <c r="C786" s="21" t="s">
        <v>273</v>
      </c>
      <c r="D786" s="21" t="s">
        <v>157</v>
      </c>
      <c r="E786" s="21" t="s">
        <v>161</v>
      </c>
      <c r="F786" s="21"/>
      <c r="G786" s="27">
        <f>G791</f>
        <v>7765.400000000001</v>
      </c>
      <c r="H786" s="195"/>
    </row>
    <row r="787" spans="1:8" ht="31.5" hidden="1">
      <c r="A787" s="26" t="s">
        <v>224</v>
      </c>
      <c r="B787" s="17">
        <v>908</v>
      </c>
      <c r="C787" s="21" t="s">
        <v>273</v>
      </c>
      <c r="D787" s="21" t="s">
        <v>157</v>
      </c>
      <c r="E787" s="21" t="s">
        <v>225</v>
      </c>
      <c r="F787" s="21"/>
      <c r="G787" s="27">
        <f>G788</f>
        <v>0</v>
      </c>
      <c r="H787" s="195"/>
    </row>
    <row r="788" spans="1:8" ht="15.75" hidden="1">
      <c r="A788" s="26" t="s">
        <v>553</v>
      </c>
      <c r="B788" s="17">
        <v>908</v>
      </c>
      <c r="C788" s="21" t="s">
        <v>273</v>
      </c>
      <c r="D788" s="21" t="s">
        <v>157</v>
      </c>
      <c r="E788" s="21" t="s">
        <v>554</v>
      </c>
      <c r="F788" s="21"/>
      <c r="G788" s="27">
        <f>G789</f>
        <v>0</v>
      </c>
      <c r="H788" s="195"/>
    </row>
    <row r="789" spans="1:8" ht="15.75" hidden="1">
      <c r="A789" s="26" t="s">
        <v>174</v>
      </c>
      <c r="B789" s="17">
        <v>908</v>
      </c>
      <c r="C789" s="21" t="s">
        <v>273</v>
      </c>
      <c r="D789" s="21" t="s">
        <v>157</v>
      </c>
      <c r="E789" s="21" t="s">
        <v>554</v>
      </c>
      <c r="F789" s="21" t="s">
        <v>184</v>
      </c>
      <c r="G789" s="27">
        <f>G790</f>
        <v>0</v>
      </c>
      <c r="H789" s="195"/>
    </row>
    <row r="790" spans="1:8" ht="63" hidden="1">
      <c r="A790" s="26" t="s">
        <v>223</v>
      </c>
      <c r="B790" s="17">
        <v>908</v>
      </c>
      <c r="C790" s="21" t="s">
        <v>273</v>
      </c>
      <c r="D790" s="21" t="s">
        <v>157</v>
      </c>
      <c r="E790" s="21" t="s">
        <v>554</v>
      </c>
      <c r="F790" s="21" t="s">
        <v>199</v>
      </c>
      <c r="G790" s="27">
        <v>0</v>
      </c>
      <c r="H790" s="195"/>
    </row>
    <row r="791" spans="1:8" ht="15.75">
      <c r="A791" s="26" t="s">
        <v>180</v>
      </c>
      <c r="B791" s="17">
        <v>908</v>
      </c>
      <c r="C791" s="21" t="s">
        <v>273</v>
      </c>
      <c r="D791" s="21" t="s">
        <v>157</v>
      </c>
      <c r="E791" s="21" t="s">
        <v>181</v>
      </c>
      <c r="F791" s="25"/>
      <c r="G791" s="27">
        <f>G792+G797</f>
        <v>7765.400000000001</v>
      </c>
      <c r="H791" s="195"/>
    </row>
    <row r="792" spans="1:8" ht="15.75">
      <c r="A792" s="26" t="s">
        <v>555</v>
      </c>
      <c r="B792" s="17">
        <v>908</v>
      </c>
      <c r="C792" s="21" t="s">
        <v>273</v>
      </c>
      <c r="D792" s="21" t="s">
        <v>157</v>
      </c>
      <c r="E792" s="21" t="s">
        <v>556</v>
      </c>
      <c r="F792" s="25"/>
      <c r="G792" s="27">
        <f>G795+G793</f>
        <v>3531.3</v>
      </c>
      <c r="H792" s="195"/>
    </row>
    <row r="793" spans="1:8" ht="31.5">
      <c r="A793" s="26" t="s">
        <v>170</v>
      </c>
      <c r="B793" s="17">
        <v>908</v>
      </c>
      <c r="C793" s="21" t="s">
        <v>273</v>
      </c>
      <c r="D793" s="21" t="s">
        <v>157</v>
      </c>
      <c r="E793" s="21" t="s">
        <v>556</v>
      </c>
      <c r="F793" s="21" t="s">
        <v>171</v>
      </c>
      <c r="G793" s="27">
        <f>G794</f>
        <v>1131.3</v>
      </c>
      <c r="H793" s="195"/>
    </row>
    <row r="794" spans="1:9" ht="47.25">
      <c r="A794" s="26" t="s">
        <v>172</v>
      </c>
      <c r="B794" s="17">
        <v>908</v>
      </c>
      <c r="C794" s="21" t="s">
        <v>273</v>
      </c>
      <c r="D794" s="21" t="s">
        <v>157</v>
      </c>
      <c r="E794" s="21" t="s">
        <v>556</v>
      </c>
      <c r="F794" s="21" t="s">
        <v>173</v>
      </c>
      <c r="G794" s="27">
        <v>1131.3</v>
      </c>
      <c r="H794" s="126"/>
      <c r="I794" s="145"/>
    </row>
    <row r="795" spans="1:8" ht="15.75">
      <c r="A795" s="26" t="s">
        <v>174</v>
      </c>
      <c r="B795" s="17">
        <v>908</v>
      </c>
      <c r="C795" s="21" t="s">
        <v>273</v>
      </c>
      <c r="D795" s="21" t="s">
        <v>157</v>
      </c>
      <c r="E795" s="21" t="s">
        <v>556</v>
      </c>
      <c r="F795" s="21" t="s">
        <v>184</v>
      </c>
      <c r="G795" s="27">
        <f>G796</f>
        <v>2400</v>
      </c>
      <c r="H795" s="195"/>
    </row>
    <row r="796" spans="1:9" ht="63">
      <c r="A796" s="26" t="s">
        <v>223</v>
      </c>
      <c r="B796" s="17">
        <v>908</v>
      </c>
      <c r="C796" s="21" t="s">
        <v>273</v>
      </c>
      <c r="D796" s="21" t="s">
        <v>157</v>
      </c>
      <c r="E796" s="21" t="s">
        <v>556</v>
      </c>
      <c r="F796" s="21" t="s">
        <v>199</v>
      </c>
      <c r="G796" s="27">
        <f>1500+900</f>
        <v>2400</v>
      </c>
      <c r="H796" s="195"/>
      <c r="I796" s="135"/>
    </row>
    <row r="797" spans="1:8" ht="31.5">
      <c r="A797" s="31" t="s">
        <v>438</v>
      </c>
      <c r="B797" s="17">
        <v>908</v>
      </c>
      <c r="C797" s="21" t="s">
        <v>273</v>
      </c>
      <c r="D797" s="21" t="s">
        <v>157</v>
      </c>
      <c r="E797" s="21" t="s">
        <v>439</v>
      </c>
      <c r="F797" s="25"/>
      <c r="G797" s="27">
        <f>G798</f>
        <v>4234.1</v>
      </c>
      <c r="H797" s="195"/>
    </row>
    <row r="798" spans="1:8" ht="31.5">
      <c r="A798" s="26" t="s">
        <v>170</v>
      </c>
      <c r="B798" s="17">
        <v>908</v>
      </c>
      <c r="C798" s="21" t="s">
        <v>273</v>
      </c>
      <c r="D798" s="21" t="s">
        <v>157</v>
      </c>
      <c r="E798" s="21" t="s">
        <v>439</v>
      </c>
      <c r="F798" s="21" t="s">
        <v>171</v>
      </c>
      <c r="G798" s="27">
        <f>G799</f>
        <v>4234.1</v>
      </c>
      <c r="H798" s="195"/>
    </row>
    <row r="799" spans="1:8" ht="47.25">
      <c r="A799" s="26" t="s">
        <v>172</v>
      </c>
      <c r="B799" s="17">
        <v>908</v>
      </c>
      <c r="C799" s="21" t="s">
        <v>273</v>
      </c>
      <c r="D799" s="21" t="s">
        <v>157</v>
      </c>
      <c r="E799" s="21" t="s">
        <v>439</v>
      </c>
      <c r="F799" s="21" t="s">
        <v>173</v>
      </c>
      <c r="G799" s="28">
        <f>3811.8+422.3</f>
        <v>4234.1</v>
      </c>
      <c r="H799" s="195"/>
    </row>
    <row r="800" spans="1:12" ht="15.75">
      <c r="A800" s="24" t="s">
        <v>557</v>
      </c>
      <c r="B800" s="20">
        <v>908</v>
      </c>
      <c r="C800" s="25" t="s">
        <v>273</v>
      </c>
      <c r="D800" s="25" t="s">
        <v>252</v>
      </c>
      <c r="E800" s="25"/>
      <c r="F800" s="25"/>
      <c r="G800" s="22">
        <f>G801+G826</f>
        <v>53711.1</v>
      </c>
      <c r="H800" s="195"/>
      <c r="I800" s="135"/>
      <c r="L800" s="136"/>
    </row>
    <row r="801" spans="1:9" ht="82.5" customHeight="1">
      <c r="A801" s="26" t="s">
        <v>641</v>
      </c>
      <c r="B801" s="17">
        <v>908</v>
      </c>
      <c r="C801" s="21" t="s">
        <v>273</v>
      </c>
      <c r="D801" s="21" t="s">
        <v>252</v>
      </c>
      <c r="E801" s="21" t="s">
        <v>558</v>
      </c>
      <c r="F801" s="25"/>
      <c r="G801" s="27">
        <f>G805+G808+G811+G814+G817+G823</f>
        <v>5567.900000000001</v>
      </c>
      <c r="H801" s="197"/>
      <c r="I801" s="135"/>
    </row>
    <row r="802" spans="1:8" ht="47.25" hidden="1">
      <c r="A802" s="37" t="s">
        <v>559</v>
      </c>
      <c r="B802" s="17">
        <v>908</v>
      </c>
      <c r="C802" s="21" t="s">
        <v>273</v>
      </c>
      <c r="D802" s="21" t="s">
        <v>252</v>
      </c>
      <c r="E802" s="21" t="s">
        <v>560</v>
      </c>
      <c r="F802" s="21"/>
      <c r="G802" s="27">
        <f>G803</f>
        <v>0</v>
      </c>
      <c r="H802" s="195"/>
    </row>
    <row r="803" spans="1:8" ht="31.5" hidden="1">
      <c r="A803" s="26" t="s">
        <v>170</v>
      </c>
      <c r="B803" s="17">
        <v>908</v>
      </c>
      <c r="C803" s="21" t="s">
        <v>273</v>
      </c>
      <c r="D803" s="21" t="s">
        <v>252</v>
      </c>
      <c r="E803" s="21" t="s">
        <v>560</v>
      </c>
      <c r="F803" s="21" t="s">
        <v>171</v>
      </c>
      <c r="G803" s="27">
        <f>G804</f>
        <v>0</v>
      </c>
      <c r="H803" s="195"/>
    </row>
    <row r="804" spans="1:8" ht="47.25" hidden="1">
      <c r="A804" s="26" t="s">
        <v>172</v>
      </c>
      <c r="B804" s="17">
        <v>908</v>
      </c>
      <c r="C804" s="21" t="s">
        <v>273</v>
      </c>
      <c r="D804" s="21" t="s">
        <v>252</v>
      </c>
      <c r="E804" s="21" t="s">
        <v>560</v>
      </c>
      <c r="F804" s="21" t="s">
        <v>173</v>
      </c>
      <c r="G804" s="27">
        <v>0</v>
      </c>
      <c r="H804" s="195"/>
    </row>
    <row r="805" spans="1:8" ht="15.75">
      <c r="A805" s="47" t="s">
        <v>561</v>
      </c>
      <c r="B805" s="17">
        <v>908</v>
      </c>
      <c r="C805" s="42" t="s">
        <v>273</v>
      </c>
      <c r="D805" s="42" t="s">
        <v>252</v>
      </c>
      <c r="E805" s="21" t="s">
        <v>562</v>
      </c>
      <c r="F805" s="42"/>
      <c r="G805" s="27">
        <f>G806</f>
        <v>450</v>
      </c>
      <c r="H805" s="195"/>
    </row>
    <row r="806" spans="1:8" ht="31.5">
      <c r="A806" s="33" t="s">
        <v>170</v>
      </c>
      <c r="B806" s="17">
        <v>908</v>
      </c>
      <c r="C806" s="42" t="s">
        <v>273</v>
      </c>
      <c r="D806" s="42" t="s">
        <v>252</v>
      </c>
      <c r="E806" s="21" t="s">
        <v>562</v>
      </c>
      <c r="F806" s="42" t="s">
        <v>171</v>
      </c>
      <c r="G806" s="27">
        <f>G807</f>
        <v>450</v>
      </c>
      <c r="H806" s="195"/>
    </row>
    <row r="807" spans="1:8" ht="47.25">
      <c r="A807" s="33" t="s">
        <v>172</v>
      </c>
      <c r="B807" s="17">
        <v>908</v>
      </c>
      <c r="C807" s="42" t="s">
        <v>273</v>
      </c>
      <c r="D807" s="42" t="s">
        <v>252</v>
      </c>
      <c r="E807" s="21" t="s">
        <v>562</v>
      </c>
      <c r="F807" s="42" t="s">
        <v>173</v>
      </c>
      <c r="G807" s="27">
        <v>450</v>
      </c>
      <c r="H807" s="195"/>
    </row>
    <row r="808" spans="1:8" ht="15.75">
      <c r="A808" s="47" t="s">
        <v>563</v>
      </c>
      <c r="B808" s="17">
        <v>908</v>
      </c>
      <c r="C808" s="42" t="s">
        <v>273</v>
      </c>
      <c r="D808" s="42" t="s">
        <v>252</v>
      </c>
      <c r="E808" s="21" t="s">
        <v>564</v>
      </c>
      <c r="F808" s="42"/>
      <c r="G808" s="27">
        <f>G809</f>
        <v>3107</v>
      </c>
      <c r="H808" s="195"/>
    </row>
    <row r="809" spans="1:8" ht="31.5">
      <c r="A809" s="33" t="s">
        <v>170</v>
      </c>
      <c r="B809" s="17">
        <v>908</v>
      </c>
      <c r="C809" s="42" t="s">
        <v>273</v>
      </c>
      <c r="D809" s="42" t="s">
        <v>252</v>
      </c>
      <c r="E809" s="21" t="s">
        <v>564</v>
      </c>
      <c r="F809" s="42" t="s">
        <v>171</v>
      </c>
      <c r="G809" s="27">
        <f>G810</f>
        <v>3107</v>
      </c>
      <c r="H809" s="195"/>
    </row>
    <row r="810" spans="1:8" ht="47.25">
      <c r="A810" s="33" t="s">
        <v>172</v>
      </c>
      <c r="B810" s="17">
        <v>908</v>
      </c>
      <c r="C810" s="42" t="s">
        <v>273</v>
      </c>
      <c r="D810" s="42" t="s">
        <v>252</v>
      </c>
      <c r="E810" s="21" t="s">
        <v>564</v>
      </c>
      <c r="F810" s="42" t="s">
        <v>173</v>
      </c>
      <c r="G810" s="185">
        <f>110+20+2977</f>
        <v>3107</v>
      </c>
      <c r="H810" s="179" t="s">
        <v>814</v>
      </c>
    </row>
    <row r="811" spans="1:8" ht="15.75">
      <c r="A811" s="47" t="s">
        <v>565</v>
      </c>
      <c r="B811" s="17">
        <v>908</v>
      </c>
      <c r="C811" s="42" t="s">
        <v>273</v>
      </c>
      <c r="D811" s="42" t="s">
        <v>252</v>
      </c>
      <c r="E811" s="21" t="s">
        <v>566</v>
      </c>
      <c r="F811" s="42"/>
      <c r="G811" s="27">
        <f>G812</f>
        <v>1374.6</v>
      </c>
      <c r="H811" s="195"/>
    </row>
    <row r="812" spans="1:8" ht="31.5">
      <c r="A812" s="33" t="s">
        <v>170</v>
      </c>
      <c r="B812" s="17">
        <v>908</v>
      </c>
      <c r="C812" s="42" t="s">
        <v>273</v>
      </c>
      <c r="D812" s="42" t="s">
        <v>252</v>
      </c>
      <c r="E812" s="21" t="s">
        <v>566</v>
      </c>
      <c r="F812" s="42" t="s">
        <v>171</v>
      </c>
      <c r="G812" s="27">
        <f>G813</f>
        <v>1374.6</v>
      </c>
      <c r="H812" s="195"/>
    </row>
    <row r="813" spans="1:10" ht="47.25">
      <c r="A813" s="33" t="s">
        <v>172</v>
      </c>
      <c r="B813" s="17">
        <v>908</v>
      </c>
      <c r="C813" s="42" t="s">
        <v>273</v>
      </c>
      <c r="D813" s="42" t="s">
        <v>252</v>
      </c>
      <c r="E813" s="21" t="s">
        <v>566</v>
      </c>
      <c r="F813" s="42" t="s">
        <v>173</v>
      </c>
      <c r="G813" s="185">
        <f>10+30+3534.6-2200</f>
        <v>1374.6</v>
      </c>
      <c r="H813" s="133" t="s">
        <v>822</v>
      </c>
      <c r="J813" s="187" t="s">
        <v>823</v>
      </c>
    </row>
    <row r="814" spans="1:8" ht="15.75">
      <c r="A814" s="47" t="s">
        <v>567</v>
      </c>
      <c r="B814" s="17">
        <v>908</v>
      </c>
      <c r="C814" s="42" t="s">
        <v>273</v>
      </c>
      <c r="D814" s="42" t="s">
        <v>252</v>
      </c>
      <c r="E814" s="21" t="s">
        <v>568</v>
      </c>
      <c r="F814" s="42"/>
      <c r="G814" s="27">
        <f>G815</f>
        <v>159.10000000000002</v>
      </c>
      <c r="H814" s="195"/>
    </row>
    <row r="815" spans="1:8" ht="31.5">
      <c r="A815" s="33" t="s">
        <v>170</v>
      </c>
      <c r="B815" s="17">
        <v>908</v>
      </c>
      <c r="C815" s="42" t="s">
        <v>273</v>
      </c>
      <c r="D815" s="42" t="s">
        <v>252</v>
      </c>
      <c r="E815" s="21" t="s">
        <v>568</v>
      </c>
      <c r="F815" s="42" t="s">
        <v>171</v>
      </c>
      <c r="G815" s="27">
        <f>G816</f>
        <v>159.10000000000002</v>
      </c>
      <c r="H815" s="195"/>
    </row>
    <row r="816" spans="1:8" ht="47.25">
      <c r="A816" s="33" t="s">
        <v>172</v>
      </c>
      <c r="B816" s="17">
        <v>908</v>
      </c>
      <c r="C816" s="42" t="s">
        <v>273</v>
      </c>
      <c r="D816" s="42" t="s">
        <v>252</v>
      </c>
      <c r="E816" s="21" t="s">
        <v>568</v>
      </c>
      <c r="F816" s="42" t="s">
        <v>173</v>
      </c>
      <c r="G816" s="185">
        <f>250+5+681.1-522-255</f>
        <v>159.10000000000002</v>
      </c>
      <c r="H816" s="133" t="s">
        <v>815</v>
      </c>
    </row>
    <row r="817" spans="1:8" ht="15.75">
      <c r="A817" s="47" t="s">
        <v>569</v>
      </c>
      <c r="B817" s="17">
        <v>908</v>
      </c>
      <c r="C817" s="42" t="s">
        <v>273</v>
      </c>
      <c r="D817" s="42" t="s">
        <v>252</v>
      </c>
      <c r="E817" s="21" t="s">
        <v>570</v>
      </c>
      <c r="F817" s="42"/>
      <c r="G817" s="27">
        <f>G818</f>
        <v>288.2</v>
      </c>
      <c r="H817" s="195"/>
    </row>
    <row r="818" spans="1:8" ht="31.5">
      <c r="A818" s="33" t="s">
        <v>170</v>
      </c>
      <c r="B818" s="17">
        <v>908</v>
      </c>
      <c r="C818" s="42" t="s">
        <v>273</v>
      </c>
      <c r="D818" s="42" t="s">
        <v>252</v>
      </c>
      <c r="E818" s="21" t="s">
        <v>570</v>
      </c>
      <c r="F818" s="42" t="s">
        <v>171</v>
      </c>
      <c r="G818" s="27">
        <f>G819</f>
        <v>288.2</v>
      </c>
      <c r="H818" s="195"/>
    </row>
    <row r="819" spans="1:10" ht="47.25">
      <c r="A819" s="33" t="s">
        <v>172</v>
      </c>
      <c r="B819" s="17">
        <v>908</v>
      </c>
      <c r="C819" s="42" t="s">
        <v>273</v>
      </c>
      <c r="D819" s="42" t="s">
        <v>252</v>
      </c>
      <c r="E819" s="21" t="s">
        <v>570</v>
      </c>
      <c r="F819" s="42" t="s">
        <v>173</v>
      </c>
      <c r="G819" s="27">
        <f>2+286.2</f>
        <v>288.2</v>
      </c>
      <c r="H819" s="133"/>
      <c r="J819" s="188" t="s">
        <v>824</v>
      </c>
    </row>
    <row r="820" spans="1:8" ht="31.5" hidden="1">
      <c r="A820" s="196" t="s">
        <v>571</v>
      </c>
      <c r="B820" s="17">
        <v>908</v>
      </c>
      <c r="C820" s="42" t="s">
        <v>273</v>
      </c>
      <c r="D820" s="42" t="s">
        <v>252</v>
      </c>
      <c r="E820" s="21" t="s">
        <v>572</v>
      </c>
      <c r="F820" s="42"/>
      <c r="G820" s="27">
        <f>G821</f>
        <v>0</v>
      </c>
      <c r="H820" s="195"/>
    </row>
    <row r="821" spans="1:8" ht="31.5" hidden="1">
      <c r="A821" s="33" t="s">
        <v>170</v>
      </c>
      <c r="B821" s="17">
        <v>908</v>
      </c>
      <c r="C821" s="42" t="s">
        <v>273</v>
      </c>
      <c r="D821" s="42" t="s">
        <v>252</v>
      </c>
      <c r="E821" s="21" t="s">
        <v>572</v>
      </c>
      <c r="F821" s="42" t="s">
        <v>171</v>
      </c>
      <c r="G821" s="27">
        <f>G822</f>
        <v>0</v>
      </c>
      <c r="H821" s="195"/>
    </row>
    <row r="822" spans="1:8" ht="47.25" hidden="1">
      <c r="A822" s="33" t="s">
        <v>172</v>
      </c>
      <c r="B822" s="17">
        <v>908</v>
      </c>
      <c r="C822" s="42" t="s">
        <v>273</v>
      </c>
      <c r="D822" s="42" t="s">
        <v>252</v>
      </c>
      <c r="E822" s="21" t="s">
        <v>572</v>
      </c>
      <c r="F822" s="42" t="s">
        <v>173</v>
      </c>
      <c r="G822" s="27">
        <v>0</v>
      </c>
      <c r="H822" s="195"/>
    </row>
    <row r="823" spans="1:8" ht="15.75">
      <c r="A823" s="196" t="s">
        <v>573</v>
      </c>
      <c r="B823" s="17">
        <v>908</v>
      </c>
      <c r="C823" s="42" t="s">
        <v>273</v>
      </c>
      <c r="D823" s="42" t="s">
        <v>252</v>
      </c>
      <c r="E823" s="21" t="s">
        <v>574</v>
      </c>
      <c r="F823" s="42"/>
      <c r="G823" s="27">
        <f>G824</f>
        <v>189</v>
      </c>
      <c r="H823" s="195"/>
    </row>
    <row r="824" spans="1:8" ht="31.5">
      <c r="A824" s="26" t="s">
        <v>170</v>
      </c>
      <c r="B824" s="17">
        <v>908</v>
      </c>
      <c r="C824" s="42" t="s">
        <v>273</v>
      </c>
      <c r="D824" s="42" t="s">
        <v>252</v>
      </c>
      <c r="E824" s="21" t="s">
        <v>574</v>
      </c>
      <c r="F824" s="42" t="s">
        <v>171</v>
      </c>
      <c r="G824" s="27">
        <f>G825</f>
        <v>189</v>
      </c>
      <c r="H824" s="195"/>
    </row>
    <row r="825" spans="1:10" ht="47.25">
      <c r="A825" s="26" t="s">
        <v>172</v>
      </c>
      <c r="B825" s="17">
        <v>908</v>
      </c>
      <c r="C825" s="42" t="s">
        <v>273</v>
      </c>
      <c r="D825" s="42" t="s">
        <v>252</v>
      </c>
      <c r="E825" s="21" t="s">
        <v>574</v>
      </c>
      <c r="F825" s="42" t="s">
        <v>173</v>
      </c>
      <c r="G825" s="27">
        <f>15+174</f>
        <v>189</v>
      </c>
      <c r="H825" s="133"/>
      <c r="J825" s="188" t="s">
        <v>825</v>
      </c>
    </row>
    <row r="826" spans="1:8" ht="15.75">
      <c r="A826" s="26" t="s">
        <v>160</v>
      </c>
      <c r="B826" s="17">
        <v>908</v>
      </c>
      <c r="C826" s="21" t="s">
        <v>273</v>
      </c>
      <c r="D826" s="21" t="s">
        <v>252</v>
      </c>
      <c r="E826" s="21" t="s">
        <v>161</v>
      </c>
      <c r="F826" s="21"/>
      <c r="G826" s="27">
        <f>G827+G837</f>
        <v>48143.2</v>
      </c>
      <c r="H826" s="195"/>
    </row>
    <row r="827" spans="1:8" ht="31.5">
      <c r="A827" s="26" t="s">
        <v>224</v>
      </c>
      <c r="B827" s="17">
        <v>908</v>
      </c>
      <c r="C827" s="21" t="s">
        <v>273</v>
      </c>
      <c r="D827" s="21" t="s">
        <v>252</v>
      </c>
      <c r="E827" s="21" t="s">
        <v>225</v>
      </c>
      <c r="F827" s="21"/>
      <c r="G827" s="27">
        <f>G828+G831+G834</f>
        <v>25111.2</v>
      </c>
      <c r="H827" s="195"/>
    </row>
    <row r="828" spans="1:8" ht="47.25">
      <c r="A828" s="120" t="s">
        <v>742</v>
      </c>
      <c r="B828" s="17">
        <v>908</v>
      </c>
      <c r="C828" s="21" t="s">
        <v>273</v>
      </c>
      <c r="D828" s="21" t="s">
        <v>252</v>
      </c>
      <c r="E828" s="21" t="s">
        <v>575</v>
      </c>
      <c r="F828" s="21"/>
      <c r="G828" s="27">
        <f>G829</f>
        <v>5000</v>
      </c>
      <c r="H828" s="195"/>
    </row>
    <row r="829" spans="1:8" ht="31.5">
      <c r="A829" s="26" t="s">
        <v>170</v>
      </c>
      <c r="B829" s="17">
        <v>908</v>
      </c>
      <c r="C829" s="21" t="s">
        <v>273</v>
      </c>
      <c r="D829" s="21" t="s">
        <v>252</v>
      </c>
      <c r="E829" s="21" t="s">
        <v>575</v>
      </c>
      <c r="F829" s="21" t="s">
        <v>171</v>
      </c>
      <c r="G829" s="27">
        <f>G830</f>
        <v>5000</v>
      </c>
      <c r="H829" s="195"/>
    </row>
    <row r="830" spans="1:9" ht="47.25">
      <c r="A830" s="26" t="s">
        <v>172</v>
      </c>
      <c r="B830" s="17">
        <v>908</v>
      </c>
      <c r="C830" s="21" t="s">
        <v>273</v>
      </c>
      <c r="D830" s="21" t="s">
        <v>252</v>
      </c>
      <c r="E830" s="21" t="s">
        <v>575</v>
      </c>
      <c r="F830" s="21" t="s">
        <v>173</v>
      </c>
      <c r="G830" s="27">
        <f>5000</f>
        <v>5000</v>
      </c>
      <c r="H830" s="195"/>
      <c r="I830" s="135"/>
    </row>
    <row r="831" spans="1:8" ht="31.5">
      <c r="A831" s="37" t="s">
        <v>748</v>
      </c>
      <c r="B831" s="17">
        <v>908</v>
      </c>
      <c r="C831" s="21" t="s">
        <v>273</v>
      </c>
      <c r="D831" s="21" t="s">
        <v>252</v>
      </c>
      <c r="E831" s="21" t="s">
        <v>576</v>
      </c>
      <c r="F831" s="21"/>
      <c r="G831" s="27">
        <f>G832</f>
        <v>20000</v>
      </c>
      <c r="H831" s="195"/>
    </row>
    <row r="832" spans="1:8" ht="31.5">
      <c r="A832" s="26" t="s">
        <v>170</v>
      </c>
      <c r="B832" s="17">
        <v>908</v>
      </c>
      <c r="C832" s="21" t="s">
        <v>273</v>
      </c>
      <c r="D832" s="21" t="s">
        <v>252</v>
      </c>
      <c r="E832" s="21" t="s">
        <v>576</v>
      </c>
      <c r="F832" s="21" t="s">
        <v>171</v>
      </c>
      <c r="G832" s="27">
        <f>G833</f>
        <v>20000</v>
      </c>
      <c r="H832" s="195"/>
    </row>
    <row r="833" spans="1:8" ht="47.25">
      <c r="A833" s="26" t="s">
        <v>172</v>
      </c>
      <c r="B833" s="17">
        <v>908</v>
      </c>
      <c r="C833" s="21" t="s">
        <v>273</v>
      </c>
      <c r="D833" s="21" t="s">
        <v>252</v>
      </c>
      <c r="E833" s="21" t="s">
        <v>576</v>
      </c>
      <c r="F833" s="21" t="s">
        <v>173</v>
      </c>
      <c r="G833" s="27">
        <v>20000</v>
      </c>
      <c r="H833" s="126"/>
    </row>
    <row r="834" spans="1:8" ht="47.25">
      <c r="A834" s="26" t="s">
        <v>749</v>
      </c>
      <c r="B834" s="17">
        <v>908</v>
      </c>
      <c r="C834" s="21" t="s">
        <v>273</v>
      </c>
      <c r="D834" s="21" t="s">
        <v>252</v>
      </c>
      <c r="E834" s="21" t="s">
        <v>750</v>
      </c>
      <c r="F834" s="21"/>
      <c r="G834" s="27">
        <f>G835</f>
        <v>111.2</v>
      </c>
      <c r="H834" s="128"/>
    </row>
    <row r="835" spans="1:8" ht="31.5">
      <c r="A835" s="26" t="s">
        <v>170</v>
      </c>
      <c r="B835" s="17">
        <v>908</v>
      </c>
      <c r="C835" s="21" t="s">
        <v>273</v>
      </c>
      <c r="D835" s="21" t="s">
        <v>252</v>
      </c>
      <c r="E835" s="21" t="s">
        <v>750</v>
      </c>
      <c r="F835" s="21" t="s">
        <v>171</v>
      </c>
      <c r="G835" s="27">
        <f>G836</f>
        <v>111.2</v>
      </c>
      <c r="H835" s="128"/>
    </row>
    <row r="836" spans="1:8" ht="47.25">
      <c r="A836" s="26" t="s">
        <v>172</v>
      </c>
      <c r="B836" s="17">
        <v>908</v>
      </c>
      <c r="C836" s="21" t="s">
        <v>273</v>
      </c>
      <c r="D836" s="21" t="s">
        <v>252</v>
      </c>
      <c r="E836" s="21" t="s">
        <v>750</v>
      </c>
      <c r="F836" s="21" t="s">
        <v>173</v>
      </c>
      <c r="G836" s="27">
        <v>111.2</v>
      </c>
      <c r="H836" s="128"/>
    </row>
    <row r="837" spans="1:8" ht="15.75">
      <c r="A837" s="26" t="s">
        <v>180</v>
      </c>
      <c r="B837" s="17">
        <v>908</v>
      </c>
      <c r="C837" s="21" t="s">
        <v>273</v>
      </c>
      <c r="D837" s="21" t="s">
        <v>252</v>
      </c>
      <c r="E837" s="21" t="s">
        <v>181</v>
      </c>
      <c r="F837" s="21"/>
      <c r="G837" s="27">
        <f>G838+G844</f>
        <v>23031.999999999996</v>
      </c>
      <c r="H837" s="195"/>
    </row>
    <row r="838" spans="1:8" ht="31.5">
      <c r="A838" s="37" t="s">
        <v>577</v>
      </c>
      <c r="B838" s="17">
        <v>908</v>
      </c>
      <c r="C838" s="21" t="s">
        <v>273</v>
      </c>
      <c r="D838" s="21" t="s">
        <v>252</v>
      </c>
      <c r="E838" s="21" t="s">
        <v>578</v>
      </c>
      <c r="F838" s="21"/>
      <c r="G838" s="27">
        <f>G839+G841</f>
        <v>20353.699999999997</v>
      </c>
      <c r="H838" s="195"/>
    </row>
    <row r="839" spans="1:8" ht="31.5">
      <c r="A839" s="26" t="s">
        <v>170</v>
      </c>
      <c r="B839" s="17">
        <v>908</v>
      </c>
      <c r="C839" s="21" t="s">
        <v>273</v>
      </c>
      <c r="D839" s="21" t="s">
        <v>252</v>
      </c>
      <c r="E839" s="21" t="s">
        <v>578</v>
      </c>
      <c r="F839" s="21" t="s">
        <v>171</v>
      </c>
      <c r="G839" s="27">
        <f>G840</f>
        <v>20322.1</v>
      </c>
      <c r="H839" s="195"/>
    </row>
    <row r="840" spans="1:10" ht="47.25">
      <c r="A840" s="26" t="s">
        <v>172</v>
      </c>
      <c r="B840" s="17">
        <v>908</v>
      </c>
      <c r="C840" s="21" t="s">
        <v>273</v>
      </c>
      <c r="D840" s="21" t="s">
        <v>252</v>
      </c>
      <c r="E840" s="21" t="s">
        <v>578</v>
      </c>
      <c r="F840" s="21" t="s">
        <v>173</v>
      </c>
      <c r="G840" s="180">
        <f>10880-5000-2230+172.1+16500</f>
        <v>20322.1</v>
      </c>
      <c r="H840" s="126" t="s">
        <v>821</v>
      </c>
      <c r="I840" s="135"/>
      <c r="J840" s="189" t="s">
        <v>788</v>
      </c>
    </row>
    <row r="841" spans="1:8" ht="15.75">
      <c r="A841" s="26" t="s">
        <v>174</v>
      </c>
      <c r="B841" s="17">
        <v>908</v>
      </c>
      <c r="C841" s="21" t="s">
        <v>273</v>
      </c>
      <c r="D841" s="21" t="s">
        <v>252</v>
      </c>
      <c r="E841" s="21" t="s">
        <v>578</v>
      </c>
      <c r="F841" s="21" t="s">
        <v>184</v>
      </c>
      <c r="G841" s="27">
        <f>G842+G843</f>
        <v>31.6</v>
      </c>
      <c r="H841" s="195"/>
    </row>
    <row r="842" spans="1:8" ht="63" hidden="1">
      <c r="A842" s="26" t="s">
        <v>223</v>
      </c>
      <c r="B842" s="17">
        <v>908</v>
      </c>
      <c r="C842" s="21" t="s">
        <v>273</v>
      </c>
      <c r="D842" s="21" t="s">
        <v>252</v>
      </c>
      <c r="E842" s="21" t="s">
        <v>578</v>
      </c>
      <c r="F842" s="21" t="s">
        <v>199</v>
      </c>
      <c r="G842" s="27">
        <v>0</v>
      </c>
      <c r="H842" s="195"/>
    </row>
    <row r="843" spans="1:9" ht="15.75">
      <c r="A843" s="26" t="s">
        <v>608</v>
      </c>
      <c r="B843" s="17">
        <v>908</v>
      </c>
      <c r="C843" s="21" t="s">
        <v>273</v>
      </c>
      <c r="D843" s="21" t="s">
        <v>252</v>
      </c>
      <c r="E843" s="21" t="s">
        <v>578</v>
      </c>
      <c r="F843" s="21" t="s">
        <v>177</v>
      </c>
      <c r="G843" s="27">
        <v>31.6</v>
      </c>
      <c r="H843" s="126"/>
      <c r="I843" s="144"/>
    </row>
    <row r="844" spans="1:8" ht="15.75">
      <c r="A844" s="26" t="s">
        <v>579</v>
      </c>
      <c r="B844" s="17">
        <v>908</v>
      </c>
      <c r="C844" s="21" t="s">
        <v>273</v>
      </c>
      <c r="D844" s="21" t="s">
        <v>252</v>
      </c>
      <c r="E844" s="21" t="s">
        <v>580</v>
      </c>
      <c r="F844" s="21"/>
      <c r="G844" s="27">
        <f>G845</f>
        <v>2678.3</v>
      </c>
      <c r="H844" s="195"/>
    </row>
    <row r="845" spans="1:8" ht="15.75">
      <c r="A845" s="26" t="s">
        <v>174</v>
      </c>
      <c r="B845" s="17">
        <v>908</v>
      </c>
      <c r="C845" s="21" t="s">
        <v>273</v>
      </c>
      <c r="D845" s="21" t="s">
        <v>252</v>
      </c>
      <c r="E845" s="21" t="s">
        <v>580</v>
      </c>
      <c r="F845" s="21" t="s">
        <v>184</v>
      </c>
      <c r="G845" s="27">
        <f>G846</f>
        <v>2678.3</v>
      </c>
      <c r="H845" s="195"/>
    </row>
    <row r="846" spans="1:9" ht="15.75">
      <c r="A846" s="26" t="s">
        <v>185</v>
      </c>
      <c r="B846" s="17">
        <v>908</v>
      </c>
      <c r="C846" s="21" t="s">
        <v>273</v>
      </c>
      <c r="D846" s="21" t="s">
        <v>252</v>
      </c>
      <c r="E846" s="21" t="s">
        <v>580</v>
      </c>
      <c r="F846" s="21" t="s">
        <v>186</v>
      </c>
      <c r="G846" s="27">
        <v>2678.3</v>
      </c>
      <c r="H846" s="195"/>
      <c r="I846" s="135"/>
    </row>
    <row r="847" spans="1:8" ht="15.75">
      <c r="A847" s="24" t="s">
        <v>581</v>
      </c>
      <c r="B847" s="20">
        <v>908</v>
      </c>
      <c r="C847" s="25" t="s">
        <v>273</v>
      </c>
      <c r="D847" s="25" t="s">
        <v>254</v>
      </c>
      <c r="E847" s="25"/>
      <c r="F847" s="25"/>
      <c r="G847" s="22">
        <f>G848++G878+G874</f>
        <v>25464.6</v>
      </c>
      <c r="H847" s="195"/>
    </row>
    <row r="848" spans="1:8" ht="47.25">
      <c r="A848" s="26" t="s">
        <v>582</v>
      </c>
      <c r="B848" s="17">
        <v>908</v>
      </c>
      <c r="C848" s="21" t="s">
        <v>273</v>
      </c>
      <c r="D848" s="21" t="s">
        <v>254</v>
      </c>
      <c r="E848" s="21" t="s">
        <v>583</v>
      </c>
      <c r="F848" s="21"/>
      <c r="G848" s="27">
        <f>G849+G859</f>
        <v>12375.499999999998</v>
      </c>
      <c r="H848" s="195"/>
    </row>
    <row r="849" spans="1:8" ht="47.25">
      <c r="A849" s="26" t="s">
        <v>584</v>
      </c>
      <c r="B849" s="17">
        <v>908</v>
      </c>
      <c r="C849" s="21" t="s">
        <v>273</v>
      </c>
      <c r="D849" s="21" t="s">
        <v>254</v>
      </c>
      <c r="E849" s="21" t="s">
        <v>585</v>
      </c>
      <c r="F849" s="21"/>
      <c r="G849" s="27">
        <f>G850+G853+G856</f>
        <v>8697.3</v>
      </c>
      <c r="H849" s="195"/>
    </row>
    <row r="850" spans="1:8" ht="31.5">
      <c r="A850" s="26" t="s">
        <v>586</v>
      </c>
      <c r="B850" s="17">
        <v>908</v>
      </c>
      <c r="C850" s="21" t="s">
        <v>273</v>
      </c>
      <c r="D850" s="21" t="s">
        <v>254</v>
      </c>
      <c r="E850" s="21" t="s">
        <v>587</v>
      </c>
      <c r="F850" s="21"/>
      <c r="G850" s="27">
        <f>G851</f>
        <v>253.4</v>
      </c>
      <c r="H850" s="195"/>
    </row>
    <row r="851" spans="1:8" ht="31.5">
      <c r="A851" s="26" t="s">
        <v>170</v>
      </c>
      <c r="B851" s="17">
        <v>908</v>
      </c>
      <c r="C851" s="21" t="s">
        <v>273</v>
      </c>
      <c r="D851" s="21" t="s">
        <v>254</v>
      </c>
      <c r="E851" s="21" t="s">
        <v>587</v>
      </c>
      <c r="F851" s="21" t="s">
        <v>171</v>
      </c>
      <c r="G851" s="27">
        <f>G852</f>
        <v>253.4</v>
      </c>
      <c r="H851" s="195"/>
    </row>
    <row r="852" spans="1:8" ht="47.25">
      <c r="A852" s="26" t="s">
        <v>172</v>
      </c>
      <c r="B852" s="17">
        <v>908</v>
      </c>
      <c r="C852" s="21" t="s">
        <v>273</v>
      </c>
      <c r="D852" s="21" t="s">
        <v>254</v>
      </c>
      <c r="E852" s="21" t="s">
        <v>587</v>
      </c>
      <c r="F852" s="21" t="s">
        <v>173</v>
      </c>
      <c r="G852" s="27">
        <v>253.4</v>
      </c>
      <c r="H852" s="195"/>
    </row>
    <row r="853" spans="1:8" ht="15.75">
      <c r="A853" s="26" t="s">
        <v>588</v>
      </c>
      <c r="B853" s="17">
        <v>908</v>
      </c>
      <c r="C853" s="21" t="s">
        <v>273</v>
      </c>
      <c r="D853" s="21" t="s">
        <v>254</v>
      </c>
      <c r="E853" s="21" t="s">
        <v>589</v>
      </c>
      <c r="F853" s="21"/>
      <c r="G853" s="27">
        <f>G854</f>
        <v>5258.6</v>
      </c>
      <c r="H853" s="195"/>
    </row>
    <row r="854" spans="1:8" ht="31.5">
      <c r="A854" s="26" t="s">
        <v>170</v>
      </c>
      <c r="B854" s="17">
        <v>908</v>
      </c>
      <c r="C854" s="21" t="s">
        <v>273</v>
      </c>
      <c r="D854" s="21" t="s">
        <v>254</v>
      </c>
      <c r="E854" s="21" t="s">
        <v>589</v>
      </c>
      <c r="F854" s="21" t="s">
        <v>171</v>
      </c>
      <c r="G854" s="27">
        <f>G855</f>
        <v>5258.6</v>
      </c>
      <c r="H854" s="195"/>
    </row>
    <row r="855" spans="1:8" ht="47.25">
      <c r="A855" s="26" t="s">
        <v>172</v>
      </c>
      <c r="B855" s="17">
        <v>908</v>
      </c>
      <c r="C855" s="21" t="s">
        <v>273</v>
      </c>
      <c r="D855" s="21" t="s">
        <v>254</v>
      </c>
      <c r="E855" s="21" t="s">
        <v>589</v>
      </c>
      <c r="F855" s="21" t="s">
        <v>173</v>
      </c>
      <c r="G855" s="27">
        <v>5258.6</v>
      </c>
      <c r="H855" s="195"/>
    </row>
    <row r="856" spans="1:8" ht="15.75">
      <c r="A856" s="26" t="s">
        <v>590</v>
      </c>
      <c r="B856" s="17">
        <v>908</v>
      </c>
      <c r="C856" s="21" t="s">
        <v>273</v>
      </c>
      <c r="D856" s="21" t="s">
        <v>254</v>
      </c>
      <c r="E856" s="21" t="s">
        <v>591</v>
      </c>
      <c r="F856" s="21"/>
      <c r="G856" s="27">
        <f>G857</f>
        <v>3185.3</v>
      </c>
      <c r="H856" s="195"/>
    </row>
    <row r="857" spans="1:8" ht="31.5">
      <c r="A857" s="26" t="s">
        <v>170</v>
      </c>
      <c r="B857" s="17">
        <v>908</v>
      </c>
      <c r="C857" s="21" t="s">
        <v>273</v>
      </c>
      <c r="D857" s="21" t="s">
        <v>254</v>
      </c>
      <c r="E857" s="21" t="s">
        <v>591</v>
      </c>
      <c r="F857" s="21" t="s">
        <v>171</v>
      </c>
      <c r="G857" s="27">
        <f>G858</f>
        <v>3185.3</v>
      </c>
      <c r="H857" s="195"/>
    </row>
    <row r="858" spans="1:8" ht="47.25">
      <c r="A858" s="26" t="s">
        <v>172</v>
      </c>
      <c r="B858" s="17">
        <v>908</v>
      </c>
      <c r="C858" s="21" t="s">
        <v>273</v>
      </c>
      <c r="D858" s="21" t="s">
        <v>254</v>
      </c>
      <c r="E858" s="21" t="s">
        <v>591</v>
      </c>
      <c r="F858" s="21" t="s">
        <v>173</v>
      </c>
      <c r="G858" s="27">
        <v>3185.3</v>
      </c>
      <c r="H858" s="195"/>
    </row>
    <row r="859" spans="1:8" ht="47.25">
      <c r="A859" s="26" t="s">
        <v>592</v>
      </c>
      <c r="B859" s="17">
        <v>908</v>
      </c>
      <c r="C859" s="21" t="s">
        <v>273</v>
      </c>
      <c r="D859" s="21" t="s">
        <v>254</v>
      </c>
      <c r="E859" s="21" t="s">
        <v>593</v>
      </c>
      <c r="F859" s="21"/>
      <c r="G859" s="27">
        <f>G860+G865+G868+G871</f>
        <v>3678.1999999999994</v>
      </c>
      <c r="H859" s="195"/>
    </row>
    <row r="860" spans="1:8" ht="15.75">
      <c r="A860" s="26" t="s">
        <v>590</v>
      </c>
      <c r="B860" s="17">
        <v>908</v>
      </c>
      <c r="C860" s="21" t="s">
        <v>273</v>
      </c>
      <c r="D860" s="21" t="s">
        <v>254</v>
      </c>
      <c r="E860" s="21" t="s">
        <v>594</v>
      </c>
      <c r="F860" s="21"/>
      <c r="G860" s="27">
        <f>G861+G863</f>
        <v>1112.3999999999999</v>
      </c>
      <c r="H860" s="195"/>
    </row>
    <row r="861" spans="1:8" ht="94.5">
      <c r="A861" s="26" t="s">
        <v>166</v>
      </c>
      <c r="B861" s="17">
        <v>908</v>
      </c>
      <c r="C861" s="21" t="s">
        <v>273</v>
      </c>
      <c r="D861" s="21" t="s">
        <v>254</v>
      </c>
      <c r="E861" s="21" t="s">
        <v>594</v>
      </c>
      <c r="F861" s="21" t="s">
        <v>167</v>
      </c>
      <c r="G861" s="27">
        <f>G862</f>
        <v>892.8</v>
      </c>
      <c r="H861" s="195"/>
    </row>
    <row r="862" spans="1:8" ht="31.5">
      <c r="A862" s="48" t="s">
        <v>381</v>
      </c>
      <c r="B862" s="17">
        <v>908</v>
      </c>
      <c r="C862" s="21" t="s">
        <v>273</v>
      </c>
      <c r="D862" s="21" t="s">
        <v>254</v>
      </c>
      <c r="E862" s="21" t="s">
        <v>594</v>
      </c>
      <c r="F862" s="21" t="s">
        <v>248</v>
      </c>
      <c r="G862" s="27">
        <f>801.5+91.3</f>
        <v>892.8</v>
      </c>
      <c r="H862" s="126"/>
    </row>
    <row r="863" spans="1:8" ht="31.5">
      <c r="A863" s="26" t="s">
        <v>170</v>
      </c>
      <c r="B863" s="17">
        <v>908</v>
      </c>
      <c r="C863" s="21" t="s">
        <v>273</v>
      </c>
      <c r="D863" s="21" t="s">
        <v>254</v>
      </c>
      <c r="E863" s="21" t="s">
        <v>594</v>
      </c>
      <c r="F863" s="21" t="s">
        <v>171</v>
      </c>
      <c r="G863" s="27">
        <f>G864</f>
        <v>219.6</v>
      </c>
      <c r="H863" s="195"/>
    </row>
    <row r="864" spans="1:8" ht="47.25">
      <c r="A864" s="26" t="s">
        <v>172</v>
      </c>
      <c r="B864" s="17">
        <v>908</v>
      </c>
      <c r="C864" s="21" t="s">
        <v>273</v>
      </c>
      <c r="D864" s="21" t="s">
        <v>254</v>
      </c>
      <c r="E864" s="21" t="s">
        <v>594</v>
      </c>
      <c r="F864" s="21" t="s">
        <v>173</v>
      </c>
      <c r="G864" s="27">
        <v>219.6</v>
      </c>
      <c r="H864" s="195"/>
    </row>
    <row r="865" spans="1:8" ht="15.75">
      <c r="A865" s="26" t="s">
        <v>595</v>
      </c>
      <c r="B865" s="17">
        <v>908</v>
      </c>
      <c r="C865" s="21" t="s">
        <v>273</v>
      </c>
      <c r="D865" s="21" t="s">
        <v>254</v>
      </c>
      <c r="E865" s="21" t="s">
        <v>596</v>
      </c>
      <c r="F865" s="21"/>
      <c r="G865" s="27">
        <f>G866</f>
        <v>86.6</v>
      </c>
      <c r="H865" s="195"/>
    </row>
    <row r="866" spans="1:8" ht="31.5">
      <c r="A866" s="26" t="s">
        <v>170</v>
      </c>
      <c r="B866" s="17">
        <v>908</v>
      </c>
      <c r="C866" s="21" t="s">
        <v>273</v>
      </c>
      <c r="D866" s="21" t="s">
        <v>254</v>
      </c>
      <c r="E866" s="21" t="s">
        <v>596</v>
      </c>
      <c r="F866" s="21" t="s">
        <v>171</v>
      </c>
      <c r="G866" s="27">
        <f>G867</f>
        <v>86.6</v>
      </c>
      <c r="H866" s="195"/>
    </row>
    <row r="867" spans="1:8" ht="47.25">
      <c r="A867" s="26" t="s">
        <v>172</v>
      </c>
      <c r="B867" s="17">
        <v>908</v>
      </c>
      <c r="C867" s="21" t="s">
        <v>273</v>
      </c>
      <c r="D867" s="21" t="s">
        <v>254</v>
      </c>
      <c r="E867" s="21" t="s">
        <v>596</v>
      </c>
      <c r="F867" s="21" t="s">
        <v>173</v>
      </c>
      <c r="G867" s="27">
        <v>86.6</v>
      </c>
      <c r="H867" s="195"/>
    </row>
    <row r="868" spans="1:8" ht="47.25">
      <c r="A868" s="47" t="s">
        <v>597</v>
      </c>
      <c r="B868" s="17">
        <v>908</v>
      </c>
      <c r="C868" s="21" t="s">
        <v>273</v>
      </c>
      <c r="D868" s="21" t="s">
        <v>254</v>
      </c>
      <c r="E868" s="21" t="s">
        <v>598</v>
      </c>
      <c r="F868" s="21"/>
      <c r="G868" s="27">
        <f>G869</f>
        <v>2130.6</v>
      </c>
      <c r="H868" s="195"/>
    </row>
    <row r="869" spans="1:8" ht="31.5">
      <c r="A869" s="26" t="s">
        <v>170</v>
      </c>
      <c r="B869" s="17">
        <v>908</v>
      </c>
      <c r="C869" s="21" t="s">
        <v>273</v>
      </c>
      <c r="D869" s="21" t="s">
        <v>254</v>
      </c>
      <c r="E869" s="21" t="s">
        <v>598</v>
      </c>
      <c r="F869" s="21" t="s">
        <v>171</v>
      </c>
      <c r="G869" s="27">
        <f>G870</f>
        <v>2130.6</v>
      </c>
      <c r="H869" s="195"/>
    </row>
    <row r="870" spans="1:8" ht="47.25">
      <c r="A870" s="26" t="s">
        <v>172</v>
      </c>
      <c r="B870" s="17">
        <v>908</v>
      </c>
      <c r="C870" s="21" t="s">
        <v>273</v>
      </c>
      <c r="D870" s="21" t="s">
        <v>254</v>
      </c>
      <c r="E870" s="21" t="s">
        <v>598</v>
      </c>
      <c r="F870" s="21" t="s">
        <v>173</v>
      </c>
      <c r="G870" s="27">
        <v>2130.6</v>
      </c>
      <c r="H870" s="195"/>
    </row>
    <row r="871" spans="1:8" ht="31.5">
      <c r="A871" s="47" t="s">
        <v>599</v>
      </c>
      <c r="B871" s="17">
        <v>908</v>
      </c>
      <c r="C871" s="21" t="s">
        <v>273</v>
      </c>
      <c r="D871" s="21" t="s">
        <v>254</v>
      </c>
      <c r="E871" s="21" t="s">
        <v>600</v>
      </c>
      <c r="F871" s="21"/>
      <c r="G871" s="27">
        <f>G872</f>
        <v>348.6</v>
      </c>
      <c r="H871" s="195"/>
    </row>
    <row r="872" spans="1:8" ht="31.5">
      <c r="A872" s="26" t="s">
        <v>170</v>
      </c>
      <c r="B872" s="17">
        <v>908</v>
      </c>
      <c r="C872" s="21" t="s">
        <v>273</v>
      </c>
      <c r="D872" s="21" t="s">
        <v>254</v>
      </c>
      <c r="E872" s="21" t="s">
        <v>600</v>
      </c>
      <c r="F872" s="21" t="s">
        <v>171</v>
      </c>
      <c r="G872" s="27">
        <f>G873</f>
        <v>348.6</v>
      </c>
      <c r="H872" s="195"/>
    </row>
    <row r="873" spans="1:8" ht="47.25">
      <c r="A873" s="26" t="s">
        <v>172</v>
      </c>
      <c r="B873" s="17">
        <v>908</v>
      </c>
      <c r="C873" s="21" t="s">
        <v>273</v>
      </c>
      <c r="D873" s="21" t="s">
        <v>254</v>
      </c>
      <c r="E873" s="21" t="s">
        <v>600</v>
      </c>
      <c r="F873" s="21" t="s">
        <v>173</v>
      </c>
      <c r="G873" s="27">
        <v>348.6</v>
      </c>
      <c r="H873" s="195"/>
    </row>
    <row r="874" spans="1:8" ht="63">
      <c r="A874" s="26" t="s">
        <v>779</v>
      </c>
      <c r="B874" s="17">
        <v>908</v>
      </c>
      <c r="C874" s="21" t="s">
        <v>273</v>
      </c>
      <c r="D874" s="21" t="s">
        <v>254</v>
      </c>
      <c r="E874" s="21" t="s">
        <v>781</v>
      </c>
      <c r="F874" s="21"/>
      <c r="G874" s="27">
        <f>G875</f>
        <v>600</v>
      </c>
      <c r="H874" s="195"/>
    </row>
    <row r="875" spans="1:8" ht="31.5">
      <c r="A875" s="94" t="s">
        <v>780</v>
      </c>
      <c r="B875" s="17">
        <v>908</v>
      </c>
      <c r="C875" s="21" t="s">
        <v>273</v>
      </c>
      <c r="D875" s="21" t="s">
        <v>254</v>
      </c>
      <c r="E875" s="21" t="s">
        <v>782</v>
      </c>
      <c r="F875" s="21"/>
      <c r="G875" s="27">
        <f>G876</f>
        <v>600</v>
      </c>
      <c r="H875" s="195"/>
    </row>
    <row r="876" spans="1:8" ht="31.5">
      <c r="A876" s="26" t="s">
        <v>170</v>
      </c>
      <c r="B876" s="17">
        <v>908</v>
      </c>
      <c r="C876" s="21" t="s">
        <v>273</v>
      </c>
      <c r="D876" s="21" t="s">
        <v>254</v>
      </c>
      <c r="E876" s="21" t="s">
        <v>782</v>
      </c>
      <c r="F876" s="21" t="s">
        <v>171</v>
      </c>
      <c r="G876" s="27">
        <f>G877</f>
        <v>600</v>
      </c>
      <c r="H876" s="195"/>
    </row>
    <row r="877" spans="1:8" ht="47.25">
      <c r="A877" s="26" t="s">
        <v>172</v>
      </c>
      <c r="B877" s="17">
        <v>908</v>
      </c>
      <c r="C877" s="21" t="s">
        <v>273</v>
      </c>
      <c r="D877" s="21" t="s">
        <v>254</v>
      </c>
      <c r="E877" s="21" t="s">
        <v>782</v>
      </c>
      <c r="F877" s="21" t="s">
        <v>173</v>
      </c>
      <c r="G877" s="27">
        <v>600</v>
      </c>
      <c r="H877" s="126"/>
    </row>
    <row r="878" spans="1:8" ht="15.75">
      <c r="A878" s="26" t="s">
        <v>160</v>
      </c>
      <c r="B878" s="17">
        <v>908</v>
      </c>
      <c r="C878" s="21" t="s">
        <v>273</v>
      </c>
      <c r="D878" s="21" t="s">
        <v>254</v>
      </c>
      <c r="E878" s="21" t="s">
        <v>161</v>
      </c>
      <c r="F878" s="21"/>
      <c r="G878" s="27">
        <f>G879+G892</f>
        <v>12489.099999999999</v>
      </c>
      <c r="H878" s="195"/>
    </row>
    <row r="879" spans="1:8" ht="31.5">
      <c r="A879" s="26" t="s">
        <v>224</v>
      </c>
      <c r="B879" s="17">
        <v>908</v>
      </c>
      <c r="C879" s="21" t="s">
        <v>273</v>
      </c>
      <c r="D879" s="21" t="s">
        <v>254</v>
      </c>
      <c r="E879" s="21" t="s">
        <v>225</v>
      </c>
      <c r="F879" s="21"/>
      <c r="G879" s="27">
        <f>G880+G883+G886+G889</f>
        <v>12033.199999999999</v>
      </c>
      <c r="H879" s="195"/>
    </row>
    <row r="880" spans="1:8" ht="31.5">
      <c r="A880" s="26" t="s">
        <v>601</v>
      </c>
      <c r="B880" s="17">
        <v>908</v>
      </c>
      <c r="C880" s="21" t="s">
        <v>273</v>
      </c>
      <c r="D880" s="21" t="s">
        <v>254</v>
      </c>
      <c r="E880" s="21" t="s">
        <v>602</v>
      </c>
      <c r="F880" s="21"/>
      <c r="G880" s="27">
        <f>G881</f>
        <v>6302.4</v>
      </c>
      <c r="H880" s="195"/>
    </row>
    <row r="881" spans="1:8" ht="31.5">
      <c r="A881" s="26" t="s">
        <v>170</v>
      </c>
      <c r="B881" s="17">
        <v>908</v>
      </c>
      <c r="C881" s="21" t="s">
        <v>273</v>
      </c>
      <c r="D881" s="21" t="s">
        <v>254</v>
      </c>
      <c r="E881" s="21" t="s">
        <v>602</v>
      </c>
      <c r="F881" s="21" t="s">
        <v>171</v>
      </c>
      <c r="G881" s="27">
        <f>G882</f>
        <v>6302.4</v>
      </c>
      <c r="H881" s="195"/>
    </row>
    <row r="882" spans="1:9" ht="47.25">
      <c r="A882" s="26" t="s">
        <v>172</v>
      </c>
      <c r="B882" s="17">
        <v>908</v>
      </c>
      <c r="C882" s="21" t="s">
        <v>273</v>
      </c>
      <c r="D882" s="21" t="s">
        <v>254</v>
      </c>
      <c r="E882" s="21" t="s">
        <v>602</v>
      </c>
      <c r="F882" s="21" t="s">
        <v>173</v>
      </c>
      <c r="G882" s="27">
        <f>3907.3-814.9+3210</f>
        <v>6302.4</v>
      </c>
      <c r="H882" s="126"/>
      <c r="I882" s="135"/>
    </row>
    <row r="883" spans="1:8" ht="47.25">
      <c r="A883" s="26" t="s">
        <v>751</v>
      </c>
      <c r="B883" s="17">
        <v>908</v>
      </c>
      <c r="C883" s="21" t="s">
        <v>273</v>
      </c>
      <c r="D883" s="21" t="s">
        <v>254</v>
      </c>
      <c r="E883" s="21" t="s">
        <v>752</v>
      </c>
      <c r="F883" s="21"/>
      <c r="G883" s="27">
        <f>G884</f>
        <v>2132</v>
      </c>
      <c r="H883" s="195"/>
    </row>
    <row r="884" spans="1:8" ht="31.5">
      <c r="A884" s="26" t="s">
        <v>170</v>
      </c>
      <c r="B884" s="17">
        <v>908</v>
      </c>
      <c r="C884" s="21" t="s">
        <v>273</v>
      </c>
      <c r="D884" s="21" t="s">
        <v>254</v>
      </c>
      <c r="E884" s="21" t="s">
        <v>752</v>
      </c>
      <c r="F884" s="21" t="s">
        <v>171</v>
      </c>
      <c r="G884" s="27">
        <f>G885</f>
        <v>2132</v>
      </c>
      <c r="H884" s="195"/>
    </row>
    <row r="885" spans="1:8" ht="47.25">
      <c r="A885" s="26" t="s">
        <v>172</v>
      </c>
      <c r="B885" s="17">
        <v>908</v>
      </c>
      <c r="C885" s="21" t="s">
        <v>273</v>
      </c>
      <c r="D885" s="21" t="s">
        <v>254</v>
      </c>
      <c r="E885" s="21" t="s">
        <v>752</v>
      </c>
      <c r="F885" s="21" t="s">
        <v>173</v>
      </c>
      <c r="G885" s="27">
        <v>2132</v>
      </c>
      <c r="H885" s="126"/>
    </row>
    <row r="886" spans="1:8" ht="47.25">
      <c r="A886" s="26" t="s">
        <v>753</v>
      </c>
      <c r="B886" s="17">
        <v>908</v>
      </c>
      <c r="C886" s="21" t="s">
        <v>273</v>
      </c>
      <c r="D886" s="21" t="s">
        <v>254</v>
      </c>
      <c r="E886" s="21" t="s">
        <v>603</v>
      </c>
      <c r="F886" s="21"/>
      <c r="G886" s="27">
        <f>G887</f>
        <v>2000</v>
      </c>
      <c r="H886" s="195"/>
    </row>
    <row r="887" spans="1:8" ht="31.5">
      <c r="A887" s="26" t="s">
        <v>170</v>
      </c>
      <c r="B887" s="17">
        <v>908</v>
      </c>
      <c r="C887" s="21" t="s">
        <v>273</v>
      </c>
      <c r="D887" s="21" t="s">
        <v>254</v>
      </c>
      <c r="E887" s="21" t="s">
        <v>603</v>
      </c>
      <c r="F887" s="21" t="s">
        <v>171</v>
      </c>
      <c r="G887" s="27">
        <f>G888</f>
        <v>2000</v>
      </c>
      <c r="H887" s="195"/>
    </row>
    <row r="888" spans="1:8" ht="47.25">
      <c r="A888" s="26" t="s">
        <v>172</v>
      </c>
      <c r="B888" s="17">
        <v>908</v>
      </c>
      <c r="C888" s="21" t="s">
        <v>273</v>
      </c>
      <c r="D888" s="21" t="s">
        <v>254</v>
      </c>
      <c r="E888" s="21" t="s">
        <v>603</v>
      </c>
      <c r="F888" s="21" t="s">
        <v>173</v>
      </c>
      <c r="G888" s="27">
        <v>2000</v>
      </c>
      <c r="H888" s="126"/>
    </row>
    <row r="889" spans="1:8" ht="63">
      <c r="A889" s="26" t="s">
        <v>754</v>
      </c>
      <c r="B889" s="17">
        <v>908</v>
      </c>
      <c r="C889" s="21" t="s">
        <v>273</v>
      </c>
      <c r="D889" s="21" t="s">
        <v>254</v>
      </c>
      <c r="E889" s="21" t="s">
        <v>755</v>
      </c>
      <c r="F889" s="21"/>
      <c r="G889" s="27">
        <f>G890</f>
        <v>1598.8</v>
      </c>
      <c r="H889" s="128"/>
    </row>
    <row r="890" spans="1:8" ht="31.5">
      <c r="A890" s="26" t="s">
        <v>170</v>
      </c>
      <c r="B890" s="17">
        <v>908</v>
      </c>
      <c r="C890" s="21" t="s">
        <v>273</v>
      </c>
      <c r="D890" s="21" t="s">
        <v>254</v>
      </c>
      <c r="E890" s="21" t="s">
        <v>755</v>
      </c>
      <c r="F890" s="21" t="s">
        <v>171</v>
      </c>
      <c r="G890" s="27">
        <f>G891</f>
        <v>1598.8</v>
      </c>
      <c r="H890" s="128"/>
    </row>
    <row r="891" spans="1:8" ht="47.25">
      <c r="A891" s="26" t="s">
        <v>172</v>
      </c>
      <c r="B891" s="17">
        <v>908</v>
      </c>
      <c r="C891" s="21" t="s">
        <v>273</v>
      </c>
      <c r="D891" s="21" t="s">
        <v>254</v>
      </c>
      <c r="E891" s="21" t="s">
        <v>755</v>
      </c>
      <c r="F891" s="21" t="s">
        <v>173</v>
      </c>
      <c r="G891" s="27">
        <v>1598.8</v>
      </c>
      <c r="H891" s="128"/>
    </row>
    <row r="892" spans="1:8" ht="15.75">
      <c r="A892" s="26" t="s">
        <v>180</v>
      </c>
      <c r="B892" s="17">
        <v>908</v>
      </c>
      <c r="C892" s="21" t="s">
        <v>273</v>
      </c>
      <c r="D892" s="21" t="s">
        <v>254</v>
      </c>
      <c r="E892" s="21" t="s">
        <v>181</v>
      </c>
      <c r="F892" s="21"/>
      <c r="G892" s="27">
        <f>G893</f>
        <v>455.9</v>
      </c>
      <c r="H892" s="195"/>
    </row>
    <row r="893" spans="1:8" ht="15.75">
      <c r="A893" s="26" t="s">
        <v>604</v>
      </c>
      <c r="B893" s="17">
        <v>908</v>
      </c>
      <c r="C893" s="21" t="s">
        <v>273</v>
      </c>
      <c r="D893" s="21" t="s">
        <v>254</v>
      </c>
      <c r="E893" s="21" t="s">
        <v>605</v>
      </c>
      <c r="F893" s="21"/>
      <c r="G893" s="27">
        <f>G894</f>
        <v>455.9</v>
      </c>
      <c r="H893" s="195"/>
    </row>
    <row r="894" spans="1:8" ht="31.5">
      <c r="A894" s="26" t="s">
        <v>170</v>
      </c>
      <c r="B894" s="17">
        <v>908</v>
      </c>
      <c r="C894" s="21" t="s">
        <v>273</v>
      </c>
      <c r="D894" s="21" t="s">
        <v>254</v>
      </c>
      <c r="E894" s="21" t="s">
        <v>605</v>
      </c>
      <c r="F894" s="21" t="s">
        <v>171</v>
      </c>
      <c r="G894" s="27">
        <f>G895</f>
        <v>455.9</v>
      </c>
      <c r="H894" s="195"/>
    </row>
    <row r="895" spans="1:8" ht="47.25">
      <c r="A895" s="26" t="s">
        <v>172</v>
      </c>
      <c r="B895" s="17">
        <v>908</v>
      </c>
      <c r="C895" s="21" t="s">
        <v>273</v>
      </c>
      <c r="D895" s="21" t="s">
        <v>254</v>
      </c>
      <c r="E895" s="21" t="s">
        <v>605</v>
      </c>
      <c r="F895" s="21" t="s">
        <v>173</v>
      </c>
      <c r="G895" s="28">
        <v>455.9</v>
      </c>
      <c r="H895" s="195"/>
    </row>
    <row r="896" spans="1:8" ht="15.75" hidden="1">
      <c r="A896" s="26" t="s">
        <v>606</v>
      </c>
      <c r="B896" s="17">
        <v>908</v>
      </c>
      <c r="C896" s="21" t="s">
        <v>273</v>
      </c>
      <c r="D896" s="21" t="s">
        <v>254</v>
      </c>
      <c r="E896" s="21" t="s">
        <v>607</v>
      </c>
      <c r="F896" s="21"/>
      <c r="G896" s="28">
        <f>G897</f>
        <v>0</v>
      </c>
      <c r="H896" s="195"/>
    </row>
    <row r="897" spans="1:8" ht="15.75" hidden="1">
      <c r="A897" s="26" t="s">
        <v>174</v>
      </c>
      <c r="B897" s="17">
        <v>908</v>
      </c>
      <c r="C897" s="21" t="s">
        <v>273</v>
      </c>
      <c r="D897" s="21" t="s">
        <v>254</v>
      </c>
      <c r="E897" s="21" t="s">
        <v>607</v>
      </c>
      <c r="F897" s="21" t="s">
        <v>184</v>
      </c>
      <c r="G897" s="28">
        <f>G898</f>
        <v>0</v>
      </c>
      <c r="H897" s="195"/>
    </row>
    <row r="898" spans="1:8" ht="15.75" hidden="1">
      <c r="A898" s="26" t="s">
        <v>608</v>
      </c>
      <c r="B898" s="17">
        <v>908</v>
      </c>
      <c r="C898" s="21" t="s">
        <v>273</v>
      </c>
      <c r="D898" s="21" t="s">
        <v>254</v>
      </c>
      <c r="E898" s="21" t="s">
        <v>607</v>
      </c>
      <c r="F898" s="21" t="s">
        <v>177</v>
      </c>
      <c r="G898" s="28">
        <v>0</v>
      </c>
      <c r="H898" s="195"/>
    </row>
    <row r="899" spans="1:8" ht="31.5">
      <c r="A899" s="24" t="s">
        <v>609</v>
      </c>
      <c r="B899" s="20">
        <v>908</v>
      </c>
      <c r="C899" s="25" t="s">
        <v>273</v>
      </c>
      <c r="D899" s="25" t="s">
        <v>273</v>
      </c>
      <c r="E899" s="25"/>
      <c r="F899" s="25"/>
      <c r="G899" s="22">
        <f>G900</f>
        <v>21124.69</v>
      </c>
      <c r="H899" s="195"/>
    </row>
    <row r="900" spans="1:8" ht="15.75">
      <c r="A900" s="26" t="s">
        <v>160</v>
      </c>
      <c r="B900" s="17">
        <v>908</v>
      </c>
      <c r="C900" s="21" t="s">
        <v>273</v>
      </c>
      <c r="D900" s="21" t="s">
        <v>273</v>
      </c>
      <c r="E900" s="21" t="s">
        <v>161</v>
      </c>
      <c r="F900" s="21"/>
      <c r="G900" s="27">
        <f>G901+G909</f>
        <v>21124.69</v>
      </c>
      <c r="H900" s="195"/>
    </row>
    <row r="901" spans="1:8" ht="31.5">
      <c r="A901" s="26" t="s">
        <v>162</v>
      </c>
      <c r="B901" s="17">
        <v>908</v>
      </c>
      <c r="C901" s="21" t="s">
        <v>273</v>
      </c>
      <c r="D901" s="21" t="s">
        <v>273</v>
      </c>
      <c r="E901" s="21" t="s">
        <v>163</v>
      </c>
      <c r="F901" s="21"/>
      <c r="G901" s="27">
        <f>G902</f>
        <v>13501.699999999999</v>
      </c>
      <c r="H901" s="195"/>
    </row>
    <row r="902" spans="1:8" ht="47.25">
      <c r="A902" s="26" t="s">
        <v>164</v>
      </c>
      <c r="B902" s="17">
        <v>908</v>
      </c>
      <c r="C902" s="21" t="s">
        <v>273</v>
      </c>
      <c r="D902" s="21" t="s">
        <v>273</v>
      </c>
      <c r="E902" s="21" t="s">
        <v>165</v>
      </c>
      <c r="F902" s="21"/>
      <c r="G902" s="27">
        <f>G903+G907+G905</f>
        <v>13501.699999999999</v>
      </c>
      <c r="H902" s="195"/>
    </row>
    <row r="903" spans="1:8" ht="94.5">
      <c r="A903" s="26" t="s">
        <v>166</v>
      </c>
      <c r="B903" s="17">
        <v>908</v>
      </c>
      <c r="C903" s="21" t="s">
        <v>273</v>
      </c>
      <c r="D903" s="21" t="s">
        <v>273</v>
      </c>
      <c r="E903" s="21" t="s">
        <v>165</v>
      </c>
      <c r="F903" s="21" t="s">
        <v>167</v>
      </c>
      <c r="G903" s="27">
        <f>G904</f>
        <v>13327.8</v>
      </c>
      <c r="H903" s="195"/>
    </row>
    <row r="904" spans="1:10" ht="31.5">
      <c r="A904" s="26" t="s">
        <v>168</v>
      </c>
      <c r="B904" s="17">
        <v>908</v>
      </c>
      <c r="C904" s="21" t="s">
        <v>273</v>
      </c>
      <c r="D904" s="21" t="s">
        <v>273</v>
      </c>
      <c r="E904" s="21" t="s">
        <v>165</v>
      </c>
      <c r="F904" s="21" t="s">
        <v>169</v>
      </c>
      <c r="G904" s="184">
        <f>13259.3+28.4+100-59.9</f>
        <v>13327.8</v>
      </c>
      <c r="H904" s="126" t="s">
        <v>817</v>
      </c>
      <c r="I904" s="144"/>
      <c r="J904" s="189" t="s">
        <v>826</v>
      </c>
    </row>
    <row r="905" spans="1:8" ht="31.5">
      <c r="A905" s="26" t="s">
        <v>170</v>
      </c>
      <c r="B905" s="17">
        <v>908</v>
      </c>
      <c r="C905" s="21" t="s">
        <v>273</v>
      </c>
      <c r="D905" s="21" t="s">
        <v>273</v>
      </c>
      <c r="E905" s="21" t="s">
        <v>165</v>
      </c>
      <c r="F905" s="21" t="s">
        <v>171</v>
      </c>
      <c r="G905" s="27">
        <f>G906</f>
        <v>25</v>
      </c>
      <c r="H905" s="195"/>
    </row>
    <row r="906" spans="1:9" ht="47.25">
      <c r="A906" s="26" t="s">
        <v>172</v>
      </c>
      <c r="B906" s="17">
        <v>908</v>
      </c>
      <c r="C906" s="21" t="s">
        <v>273</v>
      </c>
      <c r="D906" s="21" t="s">
        <v>273</v>
      </c>
      <c r="E906" s="21" t="s">
        <v>165</v>
      </c>
      <c r="F906" s="21" t="s">
        <v>173</v>
      </c>
      <c r="G906" s="28">
        <v>25</v>
      </c>
      <c r="H906" s="126"/>
      <c r="I906" s="144"/>
    </row>
    <row r="907" spans="1:8" ht="15.75">
      <c r="A907" s="26" t="s">
        <v>174</v>
      </c>
      <c r="B907" s="17">
        <v>908</v>
      </c>
      <c r="C907" s="21" t="s">
        <v>273</v>
      </c>
      <c r="D907" s="21" t="s">
        <v>273</v>
      </c>
      <c r="E907" s="21" t="s">
        <v>165</v>
      </c>
      <c r="F907" s="21" t="s">
        <v>184</v>
      </c>
      <c r="G907" s="27">
        <f>G908</f>
        <v>148.9</v>
      </c>
      <c r="H907" s="195"/>
    </row>
    <row r="908" spans="1:8" ht="15.75">
      <c r="A908" s="26" t="s">
        <v>608</v>
      </c>
      <c r="B908" s="17">
        <v>908</v>
      </c>
      <c r="C908" s="21" t="s">
        <v>273</v>
      </c>
      <c r="D908" s="21" t="s">
        <v>273</v>
      </c>
      <c r="E908" s="21" t="s">
        <v>165</v>
      </c>
      <c r="F908" s="21" t="s">
        <v>177</v>
      </c>
      <c r="G908" s="180">
        <f>89+59.9</f>
        <v>148.9</v>
      </c>
      <c r="H908" s="175" t="s">
        <v>816</v>
      </c>
    </row>
    <row r="909" spans="1:8" ht="15.75">
      <c r="A909" s="26" t="s">
        <v>180</v>
      </c>
      <c r="B909" s="17">
        <v>908</v>
      </c>
      <c r="C909" s="21" t="s">
        <v>273</v>
      </c>
      <c r="D909" s="21" t="s">
        <v>273</v>
      </c>
      <c r="E909" s="21" t="s">
        <v>181</v>
      </c>
      <c r="F909" s="21"/>
      <c r="G909" s="27">
        <f>G913+G910</f>
        <v>7622.99</v>
      </c>
      <c r="H909" s="195"/>
    </row>
    <row r="910" spans="1:8" ht="31.5">
      <c r="A910" s="26" t="s">
        <v>610</v>
      </c>
      <c r="B910" s="17">
        <v>908</v>
      </c>
      <c r="C910" s="21" t="s">
        <v>273</v>
      </c>
      <c r="D910" s="21" t="s">
        <v>273</v>
      </c>
      <c r="E910" s="21" t="s">
        <v>611</v>
      </c>
      <c r="F910" s="21"/>
      <c r="G910" s="28">
        <f>G911</f>
        <v>1461</v>
      </c>
      <c r="H910" s="195"/>
    </row>
    <row r="911" spans="1:8" ht="15.75">
      <c r="A911" s="26" t="s">
        <v>174</v>
      </c>
      <c r="B911" s="17">
        <v>908</v>
      </c>
      <c r="C911" s="21" t="s">
        <v>273</v>
      </c>
      <c r="D911" s="21" t="s">
        <v>273</v>
      </c>
      <c r="E911" s="21" t="s">
        <v>611</v>
      </c>
      <c r="F911" s="21" t="s">
        <v>184</v>
      </c>
      <c r="G911" s="28">
        <f>G912</f>
        <v>1461</v>
      </c>
      <c r="H911" s="195"/>
    </row>
    <row r="912" spans="1:8" ht="63">
      <c r="A912" s="26" t="s">
        <v>223</v>
      </c>
      <c r="B912" s="17">
        <v>908</v>
      </c>
      <c r="C912" s="21" t="s">
        <v>273</v>
      </c>
      <c r="D912" s="21" t="s">
        <v>273</v>
      </c>
      <c r="E912" s="21" t="s">
        <v>611</v>
      </c>
      <c r="F912" s="21" t="s">
        <v>199</v>
      </c>
      <c r="G912" s="28">
        <v>1461</v>
      </c>
      <c r="H912" s="195"/>
    </row>
    <row r="913" spans="1:8" ht="31.5">
      <c r="A913" s="26" t="s">
        <v>379</v>
      </c>
      <c r="B913" s="17">
        <v>908</v>
      </c>
      <c r="C913" s="21" t="s">
        <v>273</v>
      </c>
      <c r="D913" s="21" t="s">
        <v>273</v>
      </c>
      <c r="E913" s="21" t="s">
        <v>380</v>
      </c>
      <c r="F913" s="21"/>
      <c r="G913" s="27">
        <f>G914+G916</f>
        <v>6161.99</v>
      </c>
      <c r="H913" s="195"/>
    </row>
    <row r="914" spans="1:8" ht="94.5">
      <c r="A914" s="26" t="s">
        <v>166</v>
      </c>
      <c r="B914" s="17">
        <v>908</v>
      </c>
      <c r="C914" s="21" t="s">
        <v>273</v>
      </c>
      <c r="D914" s="21" t="s">
        <v>273</v>
      </c>
      <c r="E914" s="21" t="s">
        <v>380</v>
      </c>
      <c r="F914" s="21" t="s">
        <v>167</v>
      </c>
      <c r="G914" s="27">
        <f>G915</f>
        <v>4505.49</v>
      </c>
      <c r="H914" s="195"/>
    </row>
    <row r="915" spans="1:10" ht="31.5">
      <c r="A915" s="26" t="s">
        <v>381</v>
      </c>
      <c r="B915" s="17">
        <v>908</v>
      </c>
      <c r="C915" s="21" t="s">
        <v>273</v>
      </c>
      <c r="D915" s="21" t="s">
        <v>273</v>
      </c>
      <c r="E915" s="21" t="s">
        <v>380</v>
      </c>
      <c r="F915" s="21" t="s">
        <v>248</v>
      </c>
      <c r="G915" s="174">
        <f>6196.89-1411.4-100-180</f>
        <v>4505.49</v>
      </c>
      <c r="H915" s="126" t="s">
        <v>832</v>
      </c>
      <c r="I915" s="144"/>
      <c r="J915" s="188" t="s">
        <v>831</v>
      </c>
    </row>
    <row r="916" spans="1:8" ht="31.5">
      <c r="A916" s="26" t="s">
        <v>170</v>
      </c>
      <c r="B916" s="17">
        <v>908</v>
      </c>
      <c r="C916" s="21" t="s">
        <v>273</v>
      </c>
      <c r="D916" s="21" t="s">
        <v>273</v>
      </c>
      <c r="E916" s="21" t="s">
        <v>380</v>
      </c>
      <c r="F916" s="21" t="s">
        <v>171</v>
      </c>
      <c r="G916" s="27">
        <f>G917</f>
        <v>1656.5</v>
      </c>
      <c r="H916" s="195"/>
    </row>
    <row r="917" spans="1:10" ht="47.25">
      <c r="A917" s="26" t="s">
        <v>172</v>
      </c>
      <c r="B917" s="17">
        <v>908</v>
      </c>
      <c r="C917" s="21" t="s">
        <v>273</v>
      </c>
      <c r="D917" s="21" t="s">
        <v>273</v>
      </c>
      <c r="E917" s="21" t="s">
        <v>380</v>
      </c>
      <c r="F917" s="21" t="s">
        <v>173</v>
      </c>
      <c r="G917" s="174">
        <f>1341.9+928.5-198.8-595.1+180</f>
        <v>1656.5</v>
      </c>
      <c r="H917" s="126" t="s">
        <v>833</v>
      </c>
      <c r="I917" s="145"/>
      <c r="J917" s="188"/>
    </row>
    <row r="918" spans="1:8" ht="15.75">
      <c r="A918" s="24" t="s">
        <v>282</v>
      </c>
      <c r="B918" s="20">
        <v>908</v>
      </c>
      <c r="C918" s="25" t="s">
        <v>283</v>
      </c>
      <c r="D918" s="25"/>
      <c r="E918" s="25"/>
      <c r="F918" s="25"/>
      <c r="G918" s="22">
        <f aca="true" t="shared" si="5" ref="G918:G923">G919</f>
        <v>87.1</v>
      </c>
      <c r="H918" s="195"/>
    </row>
    <row r="919" spans="1:8" ht="31.5">
      <c r="A919" s="24" t="s">
        <v>297</v>
      </c>
      <c r="B919" s="20">
        <v>908</v>
      </c>
      <c r="C919" s="25" t="s">
        <v>283</v>
      </c>
      <c r="D919" s="25" t="s">
        <v>159</v>
      </c>
      <c r="E919" s="25"/>
      <c r="F919" s="25"/>
      <c r="G919" s="22">
        <f t="shared" si="5"/>
        <v>87.1</v>
      </c>
      <c r="H919" s="195"/>
    </row>
    <row r="920" spans="1:8" ht="15.75">
      <c r="A920" s="26" t="s">
        <v>160</v>
      </c>
      <c r="B920" s="17">
        <v>908</v>
      </c>
      <c r="C920" s="21" t="s">
        <v>283</v>
      </c>
      <c r="D920" s="21" t="s">
        <v>159</v>
      </c>
      <c r="E920" s="21" t="s">
        <v>161</v>
      </c>
      <c r="F920" s="21"/>
      <c r="G920" s="22">
        <f t="shared" si="5"/>
        <v>87.1</v>
      </c>
      <c r="H920" s="195"/>
    </row>
    <row r="921" spans="1:8" ht="15.75">
      <c r="A921" s="26" t="s">
        <v>180</v>
      </c>
      <c r="B921" s="17">
        <v>908</v>
      </c>
      <c r="C921" s="21" t="s">
        <v>283</v>
      </c>
      <c r="D921" s="21" t="s">
        <v>159</v>
      </c>
      <c r="E921" s="21" t="s">
        <v>181</v>
      </c>
      <c r="F921" s="21"/>
      <c r="G921" s="27">
        <f t="shared" si="5"/>
        <v>87.1</v>
      </c>
      <c r="H921" s="195"/>
    </row>
    <row r="922" spans="1:8" ht="15.75">
      <c r="A922" s="26" t="s">
        <v>612</v>
      </c>
      <c r="B922" s="17">
        <v>908</v>
      </c>
      <c r="C922" s="21" t="s">
        <v>283</v>
      </c>
      <c r="D922" s="21" t="s">
        <v>159</v>
      </c>
      <c r="E922" s="21" t="s">
        <v>613</v>
      </c>
      <c r="F922" s="21"/>
      <c r="G922" s="27">
        <f t="shared" si="5"/>
        <v>87.1</v>
      </c>
      <c r="H922" s="195"/>
    </row>
    <row r="923" spans="1:8" ht="15.75">
      <c r="A923" s="26" t="s">
        <v>174</v>
      </c>
      <c r="B923" s="17">
        <v>908</v>
      </c>
      <c r="C923" s="21" t="s">
        <v>283</v>
      </c>
      <c r="D923" s="21" t="s">
        <v>159</v>
      </c>
      <c r="E923" s="21" t="s">
        <v>613</v>
      </c>
      <c r="F923" s="21" t="s">
        <v>184</v>
      </c>
      <c r="G923" s="27">
        <f t="shared" si="5"/>
        <v>87.1</v>
      </c>
      <c r="H923" s="195"/>
    </row>
    <row r="924" spans="1:8" ht="63">
      <c r="A924" s="26" t="s">
        <v>223</v>
      </c>
      <c r="B924" s="17">
        <v>908</v>
      </c>
      <c r="C924" s="21" t="s">
        <v>283</v>
      </c>
      <c r="D924" s="21" t="s">
        <v>159</v>
      </c>
      <c r="E924" s="21" t="s">
        <v>613</v>
      </c>
      <c r="F924" s="21" t="s">
        <v>199</v>
      </c>
      <c r="G924" s="27">
        <v>87.1</v>
      </c>
      <c r="H924" s="195"/>
    </row>
    <row r="925" spans="1:8" ht="31.5">
      <c r="A925" s="20" t="s">
        <v>614</v>
      </c>
      <c r="B925" s="20">
        <v>910</v>
      </c>
      <c r="C925" s="49"/>
      <c r="D925" s="49"/>
      <c r="E925" s="49"/>
      <c r="F925" s="49"/>
      <c r="G925" s="22">
        <f>G926</f>
        <v>7042.5</v>
      </c>
      <c r="H925" s="195"/>
    </row>
    <row r="926" spans="1:8" ht="15.75">
      <c r="A926" s="24" t="s">
        <v>156</v>
      </c>
      <c r="B926" s="20">
        <v>910</v>
      </c>
      <c r="C926" s="25" t="s">
        <v>157</v>
      </c>
      <c r="D926" s="25"/>
      <c r="E926" s="25"/>
      <c r="F926" s="25"/>
      <c r="G926" s="22">
        <f>G927+G935+G945+G953</f>
        <v>7042.5</v>
      </c>
      <c r="H926" s="195"/>
    </row>
    <row r="927" spans="1:8" ht="47.25">
      <c r="A927" s="24" t="s">
        <v>615</v>
      </c>
      <c r="B927" s="20">
        <v>910</v>
      </c>
      <c r="C927" s="25" t="s">
        <v>157</v>
      </c>
      <c r="D927" s="25" t="s">
        <v>252</v>
      </c>
      <c r="E927" s="25"/>
      <c r="F927" s="25"/>
      <c r="G927" s="22">
        <f>G928</f>
        <v>4188.8</v>
      </c>
      <c r="H927" s="195"/>
    </row>
    <row r="928" spans="1:8" ht="15.75">
      <c r="A928" s="26" t="s">
        <v>160</v>
      </c>
      <c r="B928" s="17">
        <v>910</v>
      </c>
      <c r="C928" s="21" t="s">
        <v>157</v>
      </c>
      <c r="D928" s="21" t="s">
        <v>252</v>
      </c>
      <c r="E928" s="21" t="s">
        <v>161</v>
      </c>
      <c r="F928" s="21"/>
      <c r="G928" s="27">
        <f>G929</f>
        <v>4188.8</v>
      </c>
      <c r="H928" s="195"/>
    </row>
    <row r="929" spans="1:8" ht="31.5">
      <c r="A929" s="26" t="s">
        <v>162</v>
      </c>
      <c r="B929" s="17">
        <v>910</v>
      </c>
      <c r="C929" s="21" t="s">
        <v>157</v>
      </c>
      <c r="D929" s="21" t="s">
        <v>252</v>
      </c>
      <c r="E929" s="21" t="s">
        <v>163</v>
      </c>
      <c r="F929" s="21"/>
      <c r="G929" s="27">
        <f>G930</f>
        <v>4188.8</v>
      </c>
      <c r="H929" s="195"/>
    </row>
    <row r="930" spans="1:8" ht="47.25">
      <c r="A930" s="26" t="s">
        <v>616</v>
      </c>
      <c r="B930" s="17">
        <v>910</v>
      </c>
      <c r="C930" s="21" t="s">
        <v>157</v>
      </c>
      <c r="D930" s="21" t="s">
        <v>252</v>
      </c>
      <c r="E930" s="21" t="s">
        <v>617</v>
      </c>
      <c r="F930" s="21"/>
      <c r="G930" s="27">
        <f>G931+G933</f>
        <v>4188.8</v>
      </c>
      <c r="H930" s="195"/>
    </row>
    <row r="931" spans="1:8" ht="94.5">
      <c r="A931" s="26" t="s">
        <v>166</v>
      </c>
      <c r="B931" s="17">
        <v>910</v>
      </c>
      <c r="C931" s="21" t="s">
        <v>157</v>
      </c>
      <c r="D931" s="21" t="s">
        <v>252</v>
      </c>
      <c r="E931" s="21" t="s">
        <v>617</v>
      </c>
      <c r="F931" s="21" t="s">
        <v>167</v>
      </c>
      <c r="G931" s="27">
        <f>G932+G933</f>
        <v>4188.8</v>
      </c>
      <c r="H931" s="195"/>
    </row>
    <row r="932" spans="1:10" ht="31.5">
      <c r="A932" s="26" t="s">
        <v>168</v>
      </c>
      <c r="B932" s="17">
        <v>910</v>
      </c>
      <c r="C932" s="21" t="s">
        <v>157</v>
      </c>
      <c r="D932" s="21" t="s">
        <v>252</v>
      </c>
      <c r="E932" s="21" t="s">
        <v>617</v>
      </c>
      <c r="F932" s="21" t="s">
        <v>169</v>
      </c>
      <c r="G932" s="28">
        <v>4188.8</v>
      </c>
      <c r="H932" s="195"/>
      <c r="J932" s="188" t="s">
        <v>827</v>
      </c>
    </row>
    <row r="933" spans="1:8" ht="47.25" hidden="1">
      <c r="A933" s="26" t="s">
        <v>237</v>
      </c>
      <c r="B933" s="17">
        <v>910</v>
      </c>
      <c r="C933" s="21" t="s">
        <v>157</v>
      </c>
      <c r="D933" s="21" t="s">
        <v>252</v>
      </c>
      <c r="E933" s="21" t="s">
        <v>617</v>
      </c>
      <c r="F933" s="21" t="s">
        <v>171</v>
      </c>
      <c r="G933" s="27">
        <f>G934</f>
        <v>0</v>
      </c>
      <c r="H933" s="195"/>
    </row>
    <row r="934" spans="1:8" ht="47.25" hidden="1">
      <c r="A934" s="26" t="s">
        <v>172</v>
      </c>
      <c r="B934" s="17">
        <v>910</v>
      </c>
      <c r="C934" s="21" t="s">
        <v>157</v>
      </c>
      <c r="D934" s="21" t="s">
        <v>252</v>
      </c>
      <c r="E934" s="21" t="s">
        <v>617</v>
      </c>
      <c r="F934" s="21" t="s">
        <v>173</v>
      </c>
      <c r="G934" s="27"/>
      <c r="H934" s="195"/>
    </row>
    <row r="935" spans="1:8" ht="78.75">
      <c r="A935" s="24" t="s">
        <v>618</v>
      </c>
      <c r="B935" s="20">
        <v>910</v>
      </c>
      <c r="C935" s="25" t="s">
        <v>157</v>
      </c>
      <c r="D935" s="25" t="s">
        <v>254</v>
      </c>
      <c r="E935" s="25"/>
      <c r="F935" s="25"/>
      <c r="G935" s="22">
        <f>G936</f>
        <v>1138.7</v>
      </c>
      <c r="H935" s="195"/>
    </row>
    <row r="936" spans="1:8" ht="15.75">
      <c r="A936" s="26" t="s">
        <v>160</v>
      </c>
      <c r="B936" s="17">
        <v>910</v>
      </c>
      <c r="C936" s="21" t="s">
        <v>157</v>
      </c>
      <c r="D936" s="21" t="s">
        <v>254</v>
      </c>
      <c r="E936" s="21" t="s">
        <v>161</v>
      </c>
      <c r="F936" s="25"/>
      <c r="G936" s="27">
        <f>G937</f>
        <v>1138.7</v>
      </c>
      <c r="H936" s="195"/>
    </row>
    <row r="937" spans="1:8" ht="31.5">
      <c r="A937" s="26" t="s">
        <v>162</v>
      </c>
      <c r="B937" s="17">
        <v>910</v>
      </c>
      <c r="C937" s="21" t="s">
        <v>157</v>
      </c>
      <c r="D937" s="21" t="s">
        <v>254</v>
      </c>
      <c r="E937" s="21" t="s">
        <v>163</v>
      </c>
      <c r="F937" s="25"/>
      <c r="G937" s="27">
        <f>G938</f>
        <v>1138.7</v>
      </c>
      <c r="H937" s="195"/>
    </row>
    <row r="938" spans="1:8" ht="47.25">
      <c r="A938" s="26" t="s">
        <v>619</v>
      </c>
      <c r="B938" s="17">
        <v>910</v>
      </c>
      <c r="C938" s="21" t="s">
        <v>157</v>
      </c>
      <c r="D938" s="21" t="s">
        <v>254</v>
      </c>
      <c r="E938" s="21" t="s">
        <v>620</v>
      </c>
      <c r="F938" s="21"/>
      <c r="G938" s="27">
        <f>G939+G941+G943</f>
        <v>1138.7</v>
      </c>
      <c r="H938" s="195"/>
    </row>
    <row r="939" spans="1:8" ht="94.5">
      <c r="A939" s="26" t="s">
        <v>166</v>
      </c>
      <c r="B939" s="17">
        <v>910</v>
      </c>
      <c r="C939" s="21" t="s">
        <v>157</v>
      </c>
      <c r="D939" s="21" t="s">
        <v>254</v>
      </c>
      <c r="E939" s="21" t="s">
        <v>620</v>
      </c>
      <c r="F939" s="21" t="s">
        <v>167</v>
      </c>
      <c r="G939" s="27">
        <f>G940</f>
        <v>1003.7</v>
      </c>
      <c r="H939" s="195"/>
    </row>
    <row r="940" spans="1:8" ht="31.5">
      <c r="A940" s="26" t="s">
        <v>168</v>
      </c>
      <c r="B940" s="17">
        <v>910</v>
      </c>
      <c r="C940" s="21" t="s">
        <v>157</v>
      </c>
      <c r="D940" s="21" t="s">
        <v>254</v>
      </c>
      <c r="E940" s="21" t="s">
        <v>620</v>
      </c>
      <c r="F940" s="21" t="s">
        <v>169</v>
      </c>
      <c r="G940" s="27">
        <v>1003.7</v>
      </c>
      <c r="H940" s="195"/>
    </row>
    <row r="941" spans="1:8" ht="47.25">
      <c r="A941" s="26" t="s">
        <v>237</v>
      </c>
      <c r="B941" s="17">
        <v>910</v>
      </c>
      <c r="C941" s="21" t="s">
        <v>157</v>
      </c>
      <c r="D941" s="21" t="s">
        <v>254</v>
      </c>
      <c r="E941" s="21" t="s">
        <v>620</v>
      </c>
      <c r="F941" s="21" t="s">
        <v>171</v>
      </c>
      <c r="G941" s="27">
        <f>G942</f>
        <v>135</v>
      </c>
      <c r="H941" s="195"/>
    </row>
    <row r="942" spans="1:8" ht="47.25">
      <c r="A942" s="26" t="s">
        <v>172</v>
      </c>
      <c r="B942" s="17">
        <v>910</v>
      </c>
      <c r="C942" s="21" t="s">
        <v>157</v>
      </c>
      <c r="D942" s="21" t="s">
        <v>254</v>
      </c>
      <c r="E942" s="21" t="s">
        <v>620</v>
      </c>
      <c r="F942" s="21" t="s">
        <v>173</v>
      </c>
      <c r="G942" s="27">
        <v>135</v>
      </c>
      <c r="H942" s="195"/>
    </row>
    <row r="943" spans="1:8" ht="15.75" hidden="1">
      <c r="A943" s="26" t="s">
        <v>174</v>
      </c>
      <c r="B943" s="17">
        <v>910</v>
      </c>
      <c r="C943" s="21" t="s">
        <v>157</v>
      </c>
      <c r="D943" s="21" t="s">
        <v>254</v>
      </c>
      <c r="E943" s="21" t="s">
        <v>620</v>
      </c>
      <c r="F943" s="21" t="s">
        <v>184</v>
      </c>
      <c r="G943" s="27">
        <f>G944</f>
        <v>0</v>
      </c>
      <c r="H943" s="195"/>
    </row>
    <row r="944" spans="1:8" ht="15.75" hidden="1">
      <c r="A944" s="26" t="s">
        <v>608</v>
      </c>
      <c r="B944" s="17">
        <v>910</v>
      </c>
      <c r="C944" s="21" t="s">
        <v>157</v>
      </c>
      <c r="D944" s="21" t="s">
        <v>254</v>
      </c>
      <c r="E944" s="21" t="s">
        <v>620</v>
      </c>
      <c r="F944" s="21" t="s">
        <v>177</v>
      </c>
      <c r="G944" s="27">
        <v>0</v>
      </c>
      <c r="H944" s="195"/>
    </row>
    <row r="945" spans="1:8" ht="63">
      <c r="A945" s="24" t="s">
        <v>158</v>
      </c>
      <c r="B945" s="20">
        <v>910</v>
      </c>
      <c r="C945" s="25" t="s">
        <v>157</v>
      </c>
      <c r="D945" s="25" t="s">
        <v>159</v>
      </c>
      <c r="E945" s="25"/>
      <c r="F945" s="25"/>
      <c r="G945" s="22">
        <f>G946</f>
        <v>1682.5</v>
      </c>
      <c r="H945" s="195"/>
    </row>
    <row r="946" spans="1:9" s="132" customFormat="1" ht="15.75">
      <c r="A946" s="26" t="s">
        <v>160</v>
      </c>
      <c r="B946" s="17">
        <v>910</v>
      </c>
      <c r="C946" s="21" t="s">
        <v>157</v>
      </c>
      <c r="D946" s="21" t="s">
        <v>159</v>
      </c>
      <c r="E946" s="21" t="s">
        <v>161</v>
      </c>
      <c r="F946" s="21"/>
      <c r="G946" s="27">
        <f>G947</f>
        <v>1682.5</v>
      </c>
      <c r="H946" s="195"/>
      <c r="I946" s="148"/>
    </row>
    <row r="947" spans="1:9" s="132" customFormat="1" ht="31.5">
      <c r="A947" s="26" t="s">
        <v>162</v>
      </c>
      <c r="B947" s="17">
        <v>910</v>
      </c>
      <c r="C947" s="21" t="s">
        <v>157</v>
      </c>
      <c r="D947" s="21" t="s">
        <v>159</v>
      </c>
      <c r="E947" s="21" t="s">
        <v>163</v>
      </c>
      <c r="F947" s="21"/>
      <c r="G947" s="27">
        <f>G948</f>
        <v>1682.5</v>
      </c>
      <c r="H947" s="195"/>
      <c r="I947" s="148"/>
    </row>
    <row r="948" spans="1:9" s="132" customFormat="1" ht="47.25">
      <c r="A948" s="26" t="s">
        <v>164</v>
      </c>
      <c r="B948" s="17">
        <v>910</v>
      </c>
      <c r="C948" s="21" t="s">
        <v>157</v>
      </c>
      <c r="D948" s="21" t="s">
        <v>159</v>
      </c>
      <c r="E948" s="21" t="s">
        <v>165</v>
      </c>
      <c r="F948" s="21"/>
      <c r="G948" s="27">
        <f>G949+G951</f>
        <v>1682.5</v>
      </c>
      <c r="H948" s="195"/>
      <c r="I948" s="148"/>
    </row>
    <row r="949" spans="1:8" ht="94.5">
      <c r="A949" s="26" t="s">
        <v>166</v>
      </c>
      <c r="B949" s="17">
        <v>910</v>
      </c>
      <c r="C949" s="21" t="s">
        <v>157</v>
      </c>
      <c r="D949" s="21" t="s">
        <v>159</v>
      </c>
      <c r="E949" s="21" t="s">
        <v>165</v>
      </c>
      <c r="F949" s="21" t="s">
        <v>167</v>
      </c>
      <c r="G949" s="27">
        <f>G950</f>
        <v>1664.2</v>
      </c>
      <c r="H949" s="195"/>
    </row>
    <row r="950" spans="1:10" ht="31.5">
      <c r="A950" s="26" t="s">
        <v>168</v>
      </c>
      <c r="B950" s="17">
        <v>910</v>
      </c>
      <c r="C950" s="21" t="s">
        <v>157</v>
      </c>
      <c r="D950" s="21" t="s">
        <v>159</v>
      </c>
      <c r="E950" s="21" t="s">
        <v>165</v>
      </c>
      <c r="F950" s="21" t="s">
        <v>169</v>
      </c>
      <c r="G950" s="27">
        <v>1664.2</v>
      </c>
      <c r="H950" s="195"/>
      <c r="J950" s="191" t="s">
        <v>828</v>
      </c>
    </row>
    <row r="951" spans="1:8" ht="47.25">
      <c r="A951" s="26" t="s">
        <v>237</v>
      </c>
      <c r="B951" s="17">
        <v>910</v>
      </c>
      <c r="C951" s="21" t="s">
        <v>157</v>
      </c>
      <c r="D951" s="21" t="s">
        <v>159</v>
      </c>
      <c r="E951" s="21" t="s">
        <v>165</v>
      </c>
      <c r="F951" s="21" t="s">
        <v>171</v>
      </c>
      <c r="G951" s="27">
        <f>G952</f>
        <v>18.3</v>
      </c>
      <c r="H951" s="195"/>
    </row>
    <row r="952" spans="1:8" ht="47.25">
      <c r="A952" s="26" t="s">
        <v>172</v>
      </c>
      <c r="B952" s="17">
        <v>910</v>
      </c>
      <c r="C952" s="21" t="s">
        <v>157</v>
      </c>
      <c r="D952" s="21" t="s">
        <v>159</v>
      </c>
      <c r="E952" s="21" t="s">
        <v>165</v>
      </c>
      <c r="F952" s="21" t="s">
        <v>173</v>
      </c>
      <c r="G952" s="27">
        <v>18.3</v>
      </c>
      <c r="H952" s="195"/>
    </row>
    <row r="953" spans="1:8" ht="15.75">
      <c r="A953" s="24" t="s">
        <v>178</v>
      </c>
      <c r="B953" s="20">
        <v>910</v>
      </c>
      <c r="C953" s="25" t="s">
        <v>157</v>
      </c>
      <c r="D953" s="25" t="s">
        <v>179</v>
      </c>
      <c r="E953" s="130"/>
      <c r="F953" s="21"/>
      <c r="G953" s="22">
        <f>G954+G958</f>
        <v>32.5</v>
      </c>
      <c r="H953" s="195"/>
    </row>
    <row r="954" spans="1:8" ht="47.25">
      <c r="A954" s="26" t="s">
        <v>200</v>
      </c>
      <c r="B954" s="17">
        <v>910</v>
      </c>
      <c r="C954" s="21" t="s">
        <v>157</v>
      </c>
      <c r="D954" s="21" t="s">
        <v>179</v>
      </c>
      <c r="E954" s="21" t="s">
        <v>201</v>
      </c>
      <c r="F954" s="21"/>
      <c r="G954" s="27">
        <f>G955</f>
        <v>0.5</v>
      </c>
      <c r="H954" s="195"/>
    </row>
    <row r="955" spans="1:8" ht="63">
      <c r="A955" s="33" t="s">
        <v>756</v>
      </c>
      <c r="B955" s="17">
        <v>910</v>
      </c>
      <c r="C955" s="21" t="s">
        <v>157</v>
      </c>
      <c r="D955" s="21" t="s">
        <v>179</v>
      </c>
      <c r="E955" s="42" t="s">
        <v>757</v>
      </c>
      <c r="F955" s="21"/>
      <c r="G955" s="27">
        <f>G956</f>
        <v>0.5</v>
      </c>
      <c r="H955" s="195"/>
    </row>
    <row r="956" spans="1:8" ht="31.5">
      <c r="A956" s="26" t="s">
        <v>170</v>
      </c>
      <c r="B956" s="17">
        <v>910</v>
      </c>
      <c r="C956" s="21" t="s">
        <v>157</v>
      </c>
      <c r="D956" s="21" t="s">
        <v>179</v>
      </c>
      <c r="E956" s="42" t="s">
        <v>757</v>
      </c>
      <c r="F956" s="21" t="s">
        <v>171</v>
      </c>
      <c r="G956" s="27">
        <f>G957</f>
        <v>0.5</v>
      </c>
      <c r="H956" s="195"/>
    </row>
    <row r="957" spans="1:8" ht="47.25">
      <c r="A957" s="26" t="s">
        <v>172</v>
      </c>
      <c r="B957" s="17">
        <v>910</v>
      </c>
      <c r="C957" s="21" t="s">
        <v>157</v>
      </c>
      <c r="D957" s="21" t="s">
        <v>179</v>
      </c>
      <c r="E957" s="42" t="s">
        <v>757</v>
      </c>
      <c r="F957" s="21" t="s">
        <v>173</v>
      </c>
      <c r="G957" s="27">
        <v>0.5</v>
      </c>
      <c r="H957" s="195"/>
    </row>
    <row r="958" spans="1:8" ht="15.75">
      <c r="A958" s="33" t="s">
        <v>160</v>
      </c>
      <c r="B958" s="17">
        <v>910</v>
      </c>
      <c r="C958" s="21" t="s">
        <v>157</v>
      </c>
      <c r="D958" s="21" t="s">
        <v>179</v>
      </c>
      <c r="E958" s="21" t="s">
        <v>161</v>
      </c>
      <c r="F958" s="21"/>
      <c r="G958" s="27">
        <f>G959</f>
        <v>32</v>
      </c>
      <c r="H958" s="195"/>
    </row>
    <row r="959" spans="1:8" ht="31.5">
      <c r="A959" s="33" t="s">
        <v>224</v>
      </c>
      <c r="B959" s="17">
        <v>910</v>
      </c>
      <c r="C959" s="21" t="s">
        <v>157</v>
      </c>
      <c r="D959" s="21" t="s">
        <v>179</v>
      </c>
      <c r="E959" s="21" t="s">
        <v>225</v>
      </c>
      <c r="F959" s="21"/>
      <c r="G959" s="27">
        <f>G960</f>
        <v>32</v>
      </c>
      <c r="H959" s="195"/>
    </row>
    <row r="960" spans="1:8" ht="63">
      <c r="A960" s="33" t="s">
        <v>756</v>
      </c>
      <c r="B960" s="17">
        <v>910</v>
      </c>
      <c r="C960" s="21" t="s">
        <v>157</v>
      </c>
      <c r="D960" s="21" t="s">
        <v>179</v>
      </c>
      <c r="E960" s="21" t="s">
        <v>758</v>
      </c>
      <c r="F960" s="21"/>
      <c r="G960" s="27">
        <f>G961</f>
        <v>32</v>
      </c>
      <c r="H960" s="195"/>
    </row>
    <row r="961" spans="1:8" ht="31.5">
      <c r="A961" s="26" t="s">
        <v>170</v>
      </c>
      <c r="B961" s="17">
        <v>910</v>
      </c>
      <c r="C961" s="21" t="s">
        <v>157</v>
      </c>
      <c r="D961" s="21" t="s">
        <v>179</v>
      </c>
      <c r="E961" s="21" t="s">
        <v>758</v>
      </c>
      <c r="F961" s="21" t="s">
        <v>171</v>
      </c>
      <c r="G961" s="27">
        <f>G962</f>
        <v>32</v>
      </c>
      <c r="H961" s="195"/>
    </row>
    <row r="962" spans="1:8" ht="47.25">
      <c r="A962" s="26" t="s">
        <v>172</v>
      </c>
      <c r="B962" s="17">
        <v>910</v>
      </c>
      <c r="C962" s="21" t="s">
        <v>157</v>
      </c>
      <c r="D962" s="21" t="s">
        <v>179</v>
      </c>
      <c r="E962" s="21" t="s">
        <v>758</v>
      </c>
      <c r="F962" s="21" t="s">
        <v>173</v>
      </c>
      <c r="G962" s="27">
        <v>32</v>
      </c>
      <c r="H962" s="131"/>
    </row>
    <row r="963" spans="1:8" ht="31.5">
      <c r="A963" s="24" t="s">
        <v>621</v>
      </c>
      <c r="B963" s="20">
        <v>913</v>
      </c>
      <c r="C963" s="25"/>
      <c r="D963" s="25"/>
      <c r="E963" s="25"/>
      <c r="F963" s="25"/>
      <c r="G963" s="22">
        <f>G964</f>
        <v>6309.8</v>
      </c>
      <c r="H963" s="195"/>
    </row>
    <row r="964" spans="1:8" ht="15.75">
      <c r="A964" s="24" t="s">
        <v>622</v>
      </c>
      <c r="B964" s="20">
        <v>913</v>
      </c>
      <c r="C964" s="25" t="s">
        <v>277</v>
      </c>
      <c r="D964" s="21"/>
      <c r="E964" s="21"/>
      <c r="F964" s="21"/>
      <c r="G964" s="27">
        <f>G965</f>
        <v>6309.8</v>
      </c>
      <c r="H964" s="195"/>
    </row>
    <row r="965" spans="1:8" ht="15.75">
      <c r="A965" s="24" t="s">
        <v>623</v>
      </c>
      <c r="B965" s="20">
        <v>913</v>
      </c>
      <c r="C965" s="25" t="s">
        <v>277</v>
      </c>
      <c r="D965" s="25" t="s">
        <v>252</v>
      </c>
      <c r="E965" s="25"/>
      <c r="F965" s="25"/>
      <c r="G965" s="27">
        <f>G966</f>
        <v>6309.8</v>
      </c>
      <c r="H965" s="195"/>
    </row>
    <row r="966" spans="1:8" ht="15.75">
      <c r="A966" s="26" t="s">
        <v>160</v>
      </c>
      <c r="B966" s="17">
        <v>913</v>
      </c>
      <c r="C966" s="21" t="s">
        <v>277</v>
      </c>
      <c r="D966" s="21" t="s">
        <v>252</v>
      </c>
      <c r="E966" s="21" t="s">
        <v>161</v>
      </c>
      <c r="F966" s="21"/>
      <c r="G966" s="27">
        <f>G967</f>
        <v>6309.8</v>
      </c>
      <c r="H966" s="195"/>
    </row>
    <row r="967" spans="1:8" ht="31.5">
      <c r="A967" s="26" t="s">
        <v>624</v>
      </c>
      <c r="B967" s="17">
        <v>913</v>
      </c>
      <c r="C967" s="21" t="s">
        <v>277</v>
      </c>
      <c r="D967" s="21" t="s">
        <v>252</v>
      </c>
      <c r="E967" s="21" t="s">
        <v>625</v>
      </c>
      <c r="F967" s="21"/>
      <c r="G967" s="27">
        <f>G968</f>
        <v>6309.8</v>
      </c>
      <c r="H967" s="195"/>
    </row>
    <row r="968" spans="1:8" ht="31.5">
      <c r="A968" s="26" t="s">
        <v>349</v>
      </c>
      <c r="B968" s="17">
        <v>913</v>
      </c>
      <c r="C968" s="21" t="s">
        <v>277</v>
      </c>
      <c r="D968" s="21" t="s">
        <v>252</v>
      </c>
      <c r="E968" s="21" t="s">
        <v>626</v>
      </c>
      <c r="F968" s="21"/>
      <c r="G968" s="27">
        <f>G969+G971+G973</f>
        <v>6309.8</v>
      </c>
      <c r="H968" s="195"/>
    </row>
    <row r="969" spans="1:8" ht="94.5">
      <c r="A969" s="26" t="s">
        <v>166</v>
      </c>
      <c r="B969" s="17">
        <v>913</v>
      </c>
      <c r="C969" s="21" t="s">
        <v>277</v>
      </c>
      <c r="D969" s="21" t="s">
        <v>252</v>
      </c>
      <c r="E969" s="21" t="s">
        <v>626</v>
      </c>
      <c r="F969" s="21" t="s">
        <v>167</v>
      </c>
      <c r="G969" s="27">
        <f>G970</f>
        <v>5371.7</v>
      </c>
      <c r="H969" s="195"/>
    </row>
    <row r="970" spans="1:8" ht="31.5">
      <c r="A970" s="26" t="s">
        <v>247</v>
      </c>
      <c r="B970" s="17">
        <v>913</v>
      </c>
      <c r="C970" s="21" t="s">
        <v>277</v>
      </c>
      <c r="D970" s="21" t="s">
        <v>252</v>
      </c>
      <c r="E970" s="21" t="s">
        <v>626</v>
      </c>
      <c r="F970" s="21" t="s">
        <v>248</v>
      </c>
      <c r="G970" s="28">
        <v>5371.7</v>
      </c>
      <c r="H970" s="195"/>
    </row>
    <row r="971" spans="1:8" ht="31.5">
      <c r="A971" s="26" t="s">
        <v>170</v>
      </c>
      <c r="B971" s="17">
        <v>913</v>
      </c>
      <c r="C971" s="21" t="s">
        <v>277</v>
      </c>
      <c r="D971" s="21" t="s">
        <v>252</v>
      </c>
      <c r="E971" s="21" t="s">
        <v>626</v>
      </c>
      <c r="F971" s="21" t="s">
        <v>171</v>
      </c>
      <c r="G971" s="27">
        <f>G972</f>
        <v>928.1</v>
      </c>
      <c r="H971" s="195"/>
    </row>
    <row r="972" spans="1:9" ht="47.25">
      <c r="A972" s="26" t="s">
        <v>172</v>
      </c>
      <c r="B972" s="17">
        <v>913</v>
      </c>
      <c r="C972" s="21" t="s">
        <v>277</v>
      </c>
      <c r="D972" s="21" t="s">
        <v>252</v>
      </c>
      <c r="E972" s="21" t="s">
        <v>626</v>
      </c>
      <c r="F972" s="21" t="s">
        <v>173</v>
      </c>
      <c r="G972" s="28">
        <f>898.3+28.1+1.7</f>
        <v>928.1</v>
      </c>
      <c r="H972" s="126"/>
      <c r="I972" s="145"/>
    </row>
    <row r="973" spans="1:8" ht="15.75">
      <c r="A973" s="26" t="s">
        <v>174</v>
      </c>
      <c r="B973" s="17">
        <v>913</v>
      </c>
      <c r="C973" s="21" t="s">
        <v>277</v>
      </c>
      <c r="D973" s="21" t="s">
        <v>252</v>
      </c>
      <c r="E973" s="21" t="s">
        <v>626</v>
      </c>
      <c r="F973" s="21" t="s">
        <v>184</v>
      </c>
      <c r="G973" s="27">
        <f>G974</f>
        <v>10</v>
      </c>
      <c r="H973" s="195"/>
    </row>
    <row r="974" spans="1:8" ht="15.75">
      <c r="A974" s="26" t="s">
        <v>608</v>
      </c>
      <c r="B974" s="17">
        <v>913</v>
      </c>
      <c r="C974" s="21" t="s">
        <v>277</v>
      </c>
      <c r="D974" s="21" t="s">
        <v>252</v>
      </c>
      <c r="E974" s="21" t="s">
        <v>626</v>
      </c>
      <c r="F974" s="21" t="s">
        <v>177</v>
      </c>
      <c r="G974" s="27">
        <v>10</v>
      </c>
      <c r="H974" s="195"/>
    </row>
    <row r="975" spans="1:12" ht="18.75">
      <c r="A975" s="50" t="s">
        <v>627</v>
      </c>
      <c r="B975" s="50"/>
      <c r="C975" s="25"/>
      <c r="D975" s="25"/>
      <c r="E975" s="25"/>
      <c r="F975" s="25"/>
      <c r="G975" s="51">
        <f>G963+G925+G748+G673+G498+G459+G220+G27+G10</f>
        <v>665442.19</v>
      </c>
      <c r="H975" s="195"/>
      <c r="L975" s="136"/>
    </row>
    <row r="976" spans="1:9" ht="15">
      <c r="A976" s="52"/>
      <c r="B976" s="52"/>
      <c r="C976" s="52"/>
      <c r="D976" s="52"/>
      <c r="E976" s="52"/>
      <c r="F976" s="52"/>
      <c r="G976" s="52"/>
      <c r="I976" s="134"/>
    </row>
    <row r="977" spans="1:7" ht="18.75">
      <c r="A977" s="52"/>
      <c r="B977" s="52"/>
      <c r="C977" s="53"/>
      <c r="D977" s="53"/>
      <c r="E977" s="53"/>
      <c r="F977" s="122" t="s">
        <v>628</v>
      </c>
      <c r="G977" s="54">
        <f>G975-G978</f>
        <v>460911.0899999999</v>
      </c>
    </row>
    <row r="978" spans="1:9" ht="18.75">
      <c r="A978" s="52"/>
      <c r="B978" s="52"/>
      <c r="C978" s="53"/>
      <c r="D978" s="53"/>
      <c r="E978" s="53"/>
      <c r="F978" s="122" t="s">
        <v>629</v>
      </c>
      <c r="G978" s="54">
        <f>G98+G180+G186+G208+G214+G261+G273+G338+G444+G480+G494+G527+G581+G640+G694+G787+G827+G879+G623+G959</f>
        <v>204531.10000000003</v>
      </c>
      <c r="I978" s="138"/>
    </row>
    <row r="979" spans="1:7" ht="15.75">
      <c r="A979" s="52"/>
      <c r="B979" s="52"/>
      <c r="C979" s="53"/>
      <c r="D979" s="55"/>
      <c r="E979" s="55"/>
      <c r="F979" s="55"/>
      <c r="G979" s="123"/>
    </row>
    <row r="980" spans="1:7" ht="15.75">
      <c r="A980" s="52"/>
      <c r="B980" s="52"/>
      <c r="C980" s="53"/>
      <c r="D980" s="55"/>
      <c r="E980" s="55"/>
      <c r="F980" s="55"/>
      <c r="G980" s="53"/>
    </row>
    <row r="981" spans="1:12" ht="15.75">
      <c r="A981" s="52"/>
      <c r="B981" s="52"/>
      <c r="C981" s="56">
        <v>1</v>
      </c>
      <c r="D981" s="55"/>
      <c r="E981" s="55"/>
      <c r="F981" s="55"/>
      <c r="G981" s="57">
        <f>G11+G28+G460+G499+G926+G749+G228</f>
        <v>118780.1</v>
      </c>
      <c r="H981" s="125"/>
      <c r="I981" s="139" t="e">
        <f>'прил.№2 Рд,пр'!D12</f>
        <v>#REF!</v>
      </c>
      <c r="L981" s="125"/>
    </row>
    <row r="982" spans="1:12" ht="15.75">
      <c r="A982" s="52"/>
      <c r="B982" s="52"/>
      <c r="C982" s="56">
        <v>2</v>
      </c>
      <c r="D982" s="55"/>
      <c r="E982" s="55"/>
      <c r="F982" s="55"/>
      <c r="G982" s="57">
        <f>G147</f>
        <v>0</v>
      </c>
      <c r="H982" s="125"/>
      <c r="I982" s="139">
        <v>0</v>
      </c>
      <c r="L982" s="125"/>
    </row>
    <row r="983" spans="1:12" ht="15.75">
      <c r="A983" s="52"/>
      <c r="B983" s="52"/>
      <c r="C983" s="56">
        <v>3</v>
      </c>
      <c r="D983" s="55"/>
      <c r="E983" s="55"/>
      <c r="F983" s="55"/>
      <c r="G983" s="57">
        <f>G763+G159</f>
        <v>7209.400000000001</v>
      </c>
      <c r="H983" s="125"/>
      <c r="I983" s="139" t="e">
        <f>'прил.№2 Рд,пр'!D21</f>
        <v>#REF!</v>
      </c>
      <c r="L983" s="125"/>
    </row>
    <row r="984" spans="1:12" ht="15.75">
      <c r="A984" s="52"/>
      <c r="B984" s="52"/>
      <c r="C984" s="56">
        <v>4</v>
      </c>
      <c r="D984" s="55"/>
      <c r="E984" s="55"/>
      <c r="F984" s="55"/>
      <c r="G984" s="57">
        <f>G177+G770</f>
        <v>20153.2</v>
      </c>
      <c r="H984" s="125"/>
      <c r="I984" s="139" t="e">
        <f>'прил.№2 Рд,пр'!D23</f>
        <v>#REF!</v>
      </c>
      <c r="L984" s="125"/>
    </row>
    <row r="985" spans="1:12" ht="15.75">
      <c r="A985" s="52"/>
      <c r="B985" s="52"/>
      <c r="C985" s="56">
        <v>5</v>
      </c>
      <c r="D985" s="55"/>
      <c r="E985" s="55"/>
      <c r="F985" s="55"/>
      <c r="G985" s="57">
        <f>G784+G477</f>
        <v>109165.59000000001</v>
      </c>
      <c r="H985" s="125"/>
      <c r="I985" s="139" t="e">
        <f>'прил.№2 Рд,пр'!D28</f>
        <v>#REF!</v>
      </c>
      <c r="L985" s="125"/>
    </row>
    <row r="986" spans="1:12" ht="15.75">
      <c r="A986" s="52"/>
      <c r="B986" s="52"/>
      <c r="C986" s="56">
        <v>7</v>
      </c>
      <c r="D986" s="55"/>
      <c r="E986" s="55"/>
      <c r="F986" s="55"/>
      <c r="G986" s="57">
        <f>G674+G506+G235</f>
        <v>290484.60000000003</v>
      </c>
      <c r="H986" s="125"/>
      <c r="I986" s="139" t="e">
        <f>'прил.№2 Рд,пр'!D33</f>
        <v>#REF!</v>
      </c>
      <c r="L986" s="125"/>
    </row>
    <row r="987" spans="1:12" ht="15.75">
      <c r="A987" s="52"/>
      <c r="B987" s="52"/>
      <c r="C987" s="56">
        <v>8</v>
      </c>
      <c r="D987" s="55"/>
      <c r="E987" s="55"/>
      <c r="F987" s="55"/>
      <c r="G987" s="57">
        <f>G277</f>
        <v>61699.8</v>
      </c>
      <c r="H987" s="125"/>
      <c r="I987" s="139" t="e">
        <f>'прил.№2 Рд,пр'!D39</f>
        <v>#REF!</v>
      </c>
      <c r="L987" s="125"/>
    </row>
    <row r="988" spans="1:12" ht="15.75">
      <c r="A988" s="52"/>
      <c r="B988" s="52"/>
      <c r="C988" s="56">
        <v>10</v>
      </c>
      <c r="D988" s="55"/>
      <c r="E988" s="55"/>
      <c r="F988" s="55"/>
      <c r="G988" s="57">
        <f>G918+G492+G388+G195</f>
        <v>16937</v>
      </c>
      <c r="H988" s="125"/>
      <c r="I988" s="139" t="e">
        <f>'прил.№2 Рд,пр'!D42</f>
        <v>#REF!</v>
      </c>
      <c r="L988" s="125"/>
    </row>
    <row r="989" spans="1:12" ht="15.75">
      <c r="A989" s="52"/>
      <c r="B989" s="52"/>
      <c r="C989" s="56">
        <v>11</v>
      </c>
      <c r="D989" s="55"/>
      <c r="E989" s="55"/>
      <c r="F989" s="55"/>
      <c r="G989" s="57">
        <f>G704</f>
        <v>34702.7</v>
      </c>
      <c r="H989" s="125"/>
      <c r="I989" s="139" t="e">
        <f>'прил.№2 Рд,пр'!D47</f>
        <v>#REF!</v>
      </c>
      <c r="L989" s="125"/>
    </row>
    <row r="990" spans="1:12" ht="15.75">
      <c r="A990" s="52"/>
      <c r="B990" s="52"/>
      <c r="C990" s="56">
        <v>12</v>
      </c>
      <c r="D990" s="55"/>
      <c r="E990" s="55"/>
      <c r="F990" s="55"/>
      <c r="G990" s="57">
        <f>G964</f>
        <v>6309.8</v>
      </c>
      <c r="H990" s="125"/>
      <c r="I990" s="139" t="e">
        <f>'прил.№2 Рд,пр'!D50</f>
        <v>#REF!</v>
      </c>
      <c r="L990" s="125"/>
    </row>
    <row r="991" spans="1:12" ht="15.75">
      <c r="A991" s="52"/>
      <c r="B991" s="52"/>
      <c r="C991" s="57"/>
      <c r="D991" s="55"/>
      <c r="E991" s="55"/>
      <c r="F991" s="55"/>
      <c r="G991" s="124">
        <f>SUM(G981:G990)</f>
        <v>665442.1900000002</v>
      </c>
      <c r="H991" s="125"/>
      <c r="I991" s="139" t="e">
        <f>'прил.№2 Рд,пр'!D52</f>
        <v>#REF!</v>
      </c>
      <c r="L991" s="125"/>
    </row>
    <row r="992" spans="7:9" ht="15">
      <c r="G992" s="125"/>
      <c r="H992" s="125"/>
      <c r="I992" s="139"/>
    </row>
    <row r="993" spans="4:9" ht="15">
      <c r="D993" s="1" t="s">
        <v>630</v>
      </c>
      <c r="E993" s="1">
        <v>50</v>
      </c>
      <c r="G993" s="125">
        <f>G778</f>
        <v>15124.1</v>
      </c>
      <c r="H993" s="125"/>
      <c r="I993" s="139"/>
    </row>
    <row r="994" spans="5:9" ht="15">
      <c r="E994" s="1">
        <v>51</v>
      </c>
      <c r="G994" s="125">
        <f>G390</f>
        <v>3693</v>
      </c>
      <c r="H994" s="125"/>
      <c r="I994" s="139"/>
    </row>
    <row r="995" spans="5:9" ht="15">
      <c r="E995" s="1">
        <v>52</v>
      </c>
      <c r="G995" s="125">
        <f>G508+G547+G634+G613</f>
        <v>89244.70000000001</v>
      </c>
      <c r="H995" s="125"/>
      <c r="I995" s="139"/>
    </row>
    <row r="996" spans="5:9" ht="15">
      <c r="E996" s="1">
        <v>53</v>
      </c>
      <c r="G996" s="125">
        <f>G57</f>
        <v>250</v>
      </c>
      <c r="H996" s="125"/>
      <c r="I996" s="139"/>
    </row>
    <row r="997" spans="5:9" ht="15">
      <c r="E997" s="1">
        <v>54</v>
      </c>
      <c r="G997" s="125">
        <f>G61+G954</f>
        <v>654</v>
      </c>
      <c r="H997" s="125"/>
      <c r="I997" s="139"/>
    </row>
    <row r="998" spans="5:9" ht="15">
      <c r="E998" s="1">
        <v>55</v>
      </c>
      <c r="G998" s="125">
        <f>G203</f>
        <v>10</v>
      </c>
      <c r="H998" s="125"/>
      <c r="I998" s="139"/>
    </row>
    <row r="999" spans="5:9" ht="15">
      <c r="E999" s="1">
        <v>56</v>
      </c>
      <c r="G999" s="125">
        <f>G73</f>
        <v>80</v>
      </c>
      <c r="H999" s="125"/>
      <c r="I999" s="139"/>
    </row>
    <row r="1000" spans="5:9" ht="15">
      <c r="E1000" s="1">
        <v>57</v>
      </c>
      <c r="G1000" s="125">
        <f>G726+G706+G676</f>
        <v>36478.9</v>
      </c>
      <c r="H1000" s="125"/>
      <c r="I1000" s="139"/>
    </row>
    <row r="1001" spans="5:9" ht="15">
      <c r="E1001" s="1">
        <v>58</v>
      </c>
      <c r="G1001" s="125">
        <f>G279+G237</f>
        <v>58528.700000000004</v>
      </c>
      <c r="H1001" s="125"/>
      <c r="I1001" s="139"/>
    </row>
    <row r="1002" spans="5:9" ht="15">
      <c r="E1002" s="1">
        <v>59</v>
      </c>
      <c r="G1002" s="125">
        <f>G333</f>
        <v>200</v>
      </c>
      <c r="H1002" s="125"/>
      <c r="I1002" s="139"/>
    </row>
    <row r="1003" spans="5:9" ht="15">
      <c r="E1003" s="1">
        <v>60</v>
      </c>
      <c r="G1003" s="125">
        <f>G848</f>
        <v>12375.499999999998</v>
      </c>
      <c r="H1003" s="125"/>
      <c r="I1003" s="139"/>
    </row>
    <row r="1004" spans="5:9" ht="15">
      <c r="E1004" s="1">
        <v>61</v>
      </c>
      <c r="G1004" s="125">
        <f>G86</f>
        <v>120</v>
      </c>
      <c r="H1004" s="125"/>
      <c r="I1004" s="139"/>
    </row>
    <row r="1005" spans="5:9" ht="15">
      <c r="E1005" s="1">
        <v>62</v>
      </c>
      <c r="G1005" s="125">
        <f>G801</f>
        <v>5567.900000000001</v>
      </c>
      <c r="H1005" s="125"/>
      <c r="I1005" s="139"/>
    </row>
    <row r="1006" spans="5:9" ht="15">
      <c r="E1006" s="1">
        <v>63</v>
      </c>
      <c r="G1006" s="125">
        <f>G359+G646</f>
        <v>145</v>
      </c>
      <c r="H1006" s="125"/>
      <c r="I1006" s="139"/>
    </row>
    <row r="1007" spans="5:9" ht="15">
      <c r="E1007" s="1">
        <v>64</v>
      </c>
      <c r="G1007" s="125">
        <f>G90+G369</f>
        <v>34</v>
      </c>
      <c r="H1007" s="125"/>
      <c r="I1007" s="139"/>
    </row>
    <row r="1008" spans="5:9" ht="15">
      <c r="E1008" s="1">
        <v>65</v>
      </c>
      <c r="G1008" s="125">
        <f>G874</f>
        <v>600</v>
      </c>
      <c r="H1008" s="125"/>
      <c r="I1008" s="139"/>
    </row>
    <row r="1009" spans="7:9" ht="15">
      <c r="G1009" s="125">
        <f>SUM(G993:G1008)</f>
        <v>223105.80000000002</v>
      </c>
      <c r="H1009" s="125"/>
      <c r="I1009" s="139"/>
    </row>
    <row r="1010" spans="7:9" ht="15">
      <c r="G1010" s="125"/>
      <c r="H1010" s="125"/>
      <c r="I1010" s="139"/>
    </row>
  </sheetData>
  <mergeCells count="5">
    <mergeCell ref="A4:G4"/>
    <mergeCell ref="A5:G5"/>
    <mergeCell ref="J381:K387"/>
    <mergeCell ref="J666:K672"/>
    <mergeCell ref="J741:K747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65" r:id="rId1"/>
  <rowBreaks count="1" manualBreakCount="1">
    <brk id="975" max="16383" man="1"/>
  </rowBreaks>
  <colBreaks count="1" manualBreakCount="1">
    <brk id="8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7"/>
  <sheetViews>
    <sheetView view="pageBreakPreview" zoomScale="80" zoomScaleSheetLayoutView="80" workbookViewId="0" topLeftCell="A1">
      <selection activeCell="L1" sqref="L1:M1"/>
    </sheetView>
  </sheetViews>
  <sheetFormatPr defaultColWidth="9.140625" defaultRowHeight="15"/>
  <cols>
    <col min="1" max="1" width="56.28125" style="1" customWidth="1"/>
    <col min="2" max="2" width="17.421875" style="1" customWidth="1"/>
    <col min="3" max="3" width="8.28125" style="1" customWidth="1"/>
    <col min="4" max="4" width="7.28125" style="0" customWidth="1"/>
    <col min="5" max="5" width="8.7109375" style="0" customWidth="1"/>
    <col min="6" max="6" width="9.140625" style="1" customWidth="1"/>
    <col min="7" max="7" width="10.8515625" style="1" hidden="1" customWidth="1"/>
    <col min="8" max="8" width="11.28125" style="0" hidden="1" customWidth="1"/>
    <col min="9" max="9" width="11.57421875" style="127" hidden="1" customWidth="1"/>
    <col min="10" max="10" width="10.00390625" style="0" hidden="1" customWidth="1"/>
    <col min="11" max="11" width="10.140625" style="0" hidden="1" customWidth="1"/>
    <col min="12" max="14" width="15.8515625" style="300" customWidth="1"/>
  </cols>
  <sheetData>
    <row r="1" spans="1:14" ht="15.75" customHeight="1">
      <c r="A1" s="300"/>
      <c r="B1" s="300"/>
      <c r="C1" s="300"/>
      <c r="D1" s="300"/>
      <c r="E1" s="299"/>
      <c r="F1" s="300"/>
      <c r="G1" s="300"/>
      <c r="H1" s="299"/>
      <c r="J1" s="299"/>
      <c r="K1" s="299"/>
      <c r="L1" s="374" t="s">
        <v>1126</v>
      </c>
      <c r="M1" s="374"/>
      <c r="N1" s="342"/>
    </row>
    <row r="2" spans="1:14" ht="18.75" customHeight="1">
      <c r="A2" s="300"/>
      <c r="B2" s="300"/>
      <c r="C2" s="300"/>
      <c r="D2" s="300"/>
      <c r="E2" s="299"/>
      <c r="F2" s="300"/>
      <c r="G2" s="300"/>
      <c r="H2" s="299"/>
      <c r="J2" s="299"/>
      <c r="K2" s="299"/>
      <c r="L2" s="280"/>
      <c r="M2" s="344" t="s">
        <v>1122</v>
      </c>
      <c r="N2" s="344"/>
    </row>
    <row r="3" spans="1:14" ht="18.75" customHeight="1">
      <c r="A3" s="300"/>
      <c r="B3" s="300"/>
      <c r="C3" s="300"/>
      <c r="D3" s="300"/>
      <c r="E3" s="300"/>
      <c r="F3" s="73"/>
      <c r="G3" s="74"/>
      <c r="H3" s="299"/>
      <c r="J3" s="299"/>
      <c r="K3" s="299"/>
      <c r="L3" s="326"/>
      <c r="M3" s="345" t="s">
        <v>1106</v>
      </c>
      <c r="N3" s="345"/>
    </row>
    <row r="4" spans="1:14" s="299" customFormat="1" ht="18.75" customHeight="1">
      <c r="A4" s="300"/>
      <c r="B4" s="300"/>
      <c r="C4" s="300"/>
      <c r="D4" s="300"/>
      <c r="E4" s="300"/>
      <c r="F4" s="73"/>
      <c r="G4" s="74"/>
      <c r="I4" s="127"/>
      <c r="L4" s="326"/>
      <c r="M4" s="344" t="s">
        <v>1120</v>
      </c>
      <c r="N4" s="344"/>
    </row>
    <row r="5" spans="1:14" s="299" customFormat="1" ht="18.75">
      <c r="A5" s="300"/>
      <c r="B5" s="300"/>
      <c r="C5" s="300"/>
      <c r="D5" s="300"/>
      <c r="E5" s="300"/>
      <c r="F5" s="73"/>
      <c r="G5" s="74"/>
      <c r="I5" s="127"/>
      <c r="L5" s="326"/>
      <c r="M5" s="375" t="s">
        <v>1121</v>
      </c>
      <c r="N5" s="375"/>
    </row>
    <row r="6" spans="1:14" s="299" customFormat="1" ht="18.75" customHeight="1">
      <c r="A6" s="300"/>
      <c r="B6" s="300"/>
      <c r="C6" s="300"/>
      <c r="D6" s="300"/>
      <c r="E6" s="300"/>
      <c r="F6" s="73"/>
      <c r="G6" s="74"/>
      <c r="I6" s="127"/>
      <c r="L6" s="326"/>
      <c r="M6" s="337"/>
      <c r="N6" s="337"/>
    </row>
    <row r="7" spans="1:14" ht="38.25" customHeight="1">
      <c r="A7" s="376" t="s">
        <v>1084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</row>
    <row r="8" spans="1:14" ht="15.75">
      <c r="A8" s="73"/>
      <c r="B8" s="73"/>
      <c r="C8" s="73"/>
      <c r="D8" s="73"/>
      <c r="E8" s="75"/>
      <c r="F8" s="75"/>
      <c r="G8" s="76" t="s">
        <v>1</v>
      </c>
      <c r="L8" s="245"/>
      <c r="M8" s="245"/>
      <c r="N8" s="245"/>
    </row>
    <row r="9" spans="1:14" ht="60">
      <c r="A9" s="77" t="s">
        <v>632</v>
      </c>
      <c r="B9" s="77" t="s">
        <v>675</v>
      </c>
      <c r="C9" s="77" t="s">
        <v>676</v>
      </c>
      <c r="D9" s="77" t="s">
        <v>677</v>
      </c>
      <c r="E9" s="77" t="s">
        <v>678</v>
      </c>
      <c r="F9" s="77" t="s">
        <v>679</v>
      </c>
      <c r="G9" s="6" t="s">
        <v>4</v>
      </c>
      <c r="H9" s="200" t="s">
        <v>836</v>
      </c>
      <c r="I9" s="201" t="s">
        <v>847</v>
      </c>
      <c r="J9" s="201" t="s">
        <v>848</v>
      </c>
      <c r="K9" s="201" t="s">
        <v>849</v>
      </c>
      <c r="L9" s="200" t="s">
        <v>1074</v>
      </c>
      <c r="M9" s="200" t="s">
        <v>1086</v>
      </c>
      <c r="N9" s="200" t="s">
        <v>1075</v>
      </c>
    </row>
    <row r="10" spans="1:14" ht="15.75">
      <c r="A10" s="77">
        <v>1</v>
      </c>
      <c r="B10" s="77">
        <v>2</v>
      </c>
      <c r="C10" s="77">
        <v>3</v>
      </c>
      <c r="D10" s="77">
        <v>4</v>
      </c>
      <c r="E10" s="77">
        <v>5</v>
      </c>
      <c r="F10" s="77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7</v>
      </c>
      <c r="M10" s="6">
        <v>8</v>
      </c>
      <c r="N10" s="6">
        <v>9</v>
      </c>
    </row>
    <row r="11" spans="1:14" ht="47.25">
      <c r="A11" s="64" t="s">
        <v>951</v>
      </c>
      <c r="B11" s="8" t="s">
        <v>550</v>
      </c>
      <c r="C11" s="8"/>
      <c r="D11" s="8"/>
      <c r="E11" s="8"/>
      <c r="F11" s="8"/>
      <c r="G11" s="4" t="e">
        <f aca="true" t="shared" si="0" ref="G11:L11">G14</f>
        <v>#REF!</v>
      </c>
      <c r="H11" s="4" t="e">
        <f t="shared" si="0"/>
        <v>#REF!</v>
      </c>
      <c r="I11" s="4" t="e">
        <f t="shared" si="0"/>
        <v>#REF!</v>
      </c>
      <c r="J11" s="4" t="e">
        <f t="shared" si="0"/>
        <v>#REF!</v>
      </c>
      <c r="K11" s="4" t="e">
        <f t="shared" si="0"/>
        <v>#REF!</v>
      </c>
      <c r="L11" s="4">
        <f t="shared" si="0"/>
        <v>5926.9</v>
      </c>
      <c r="M11" s="4">
        <f aca="true" t="shared" si="1" ref="M11">M14</f>
        <v>815.9</v>
      </c>
      <c r="N11" s="4">
        <f>M11/L11*100</f>
        <v>13.766049705579647</v>
      </c>
    </row>
    <row r="12" spans="1:14" ht="15.75">
      <c r="A12" s="31" t="s">
        <v>271</v>
      </c>
      <c r="B12" s="42" t="s">
        <v>550</v>
      </c>
      <c r="C12" s="42" t="s">
        <v>189</v>
      </c>
      <c r="D12" s="42"/>
      <c r="E12" s="42"/>
      <c r="F12" s="42"/>
      <c r="G12" s="7" t="e">
        <f>G13</f>
        <v>#REF!</v>
      </c>
      <c r="H12" s="7" t="e">
        <f aca="true" t="shared" si="2" ref="H12:M13">H13</f>
        <v>#REF!</v>
      </c>
      <c r="I12" s="7" t="e">
        <f t="shared" si="2"/>
        <v>#REF!</v>
      </c>
      <c r="J12" s="7" t="e">
        <f t="shared" si="2"/>
        <v>#REF!</v>
      </c>
      <c r="K12" s="7" t="e">
        <f t="shared" si="2"/>
        <v>#REF!</v>
      </c>
      <c r="L12" s="7">
        <f t="shared" si="2"/>
        <v>5926.9</v>
      </c>
      <c r="M12" s="7">
        <f t="shared" si="2"/>
        <v>815.9</v>
      </c>
      <c r="N12" s="7">
        <f>M12/L12*100</f>
        <v>13.766049705579647</v>
      </c>
    </row>
    <row r="13" spans="1:14" ht="15.75">
      <c r="A13" s="31" t="s">
        <v>548</v>
      </c>
      <c r="B13" s="42" t="s">
        <v>550</v>
      </c>
      <c r="C13" s="42" t="s">
        <v>189</v>
      </c>
      <c r="D13" s="42" t="s">
        <v>258</v>
      </c>
      <c r="E13" s="42"/>
      <c r="F13" s="42"/>
      <c r="G13" s="7" t="e">
        <f>G14</f>
        <v>#REF!</v>
      </c>
      <c r="H13" s="7" t="e">
        <f t="shared" si="2"/>
        <v>#REF!</v>
      </c>
      <c r="I13" s="7" t="e">
        <f t="shared" si="2"/>
        <v>#REF!</v>
      </c>
      <c r="J13" s="7" t="e">
        <f t="shared" si="2"/>
        <v>#REF!</v>
      </c>
      <c r="K13" s="7" t="e">
        <f t="shared" si="2"/>
        <v>#REF!</v>
      </c>
      <c r="L13" s="7">
        <f t="shared" si="2"/>
        <v>5926.9</v>
      </c>
      <c r="M13" s="7">
        <f t="shared" si="2"/>
        <v>815.9</v>
      </c>
      <c r="N13" s="7">
        <f aca="true" t="shared" si="3" ref="N13:N76">M13/L13*100</f>
        <v>13.766049705579647</v>
      </c>
    </row>
    <row r="14" spans="1:14" ht="15.75">
      <c r="A14" s="31" t="s">
        <v>551</v>
      </c>
      <c r="B14" s="42" t="s">
        <v>552</v>
      </c>
      <c r="C14" s="42" t="s">
        <v>189</v>
      </c>
      <c r="D14" s="42" t="s">
        <v>258</v>
      </c>
      <c r="E14" s="42"/>
      <c r="F14" s="42"/>
      <c r="G14" s="7" t="e">
        <f aca="true" t="shared" si="4" ref="G14:L14">G15+G17</f>
        <v>#REF!</v>
      </c>
      <c r="H14" s="7" t="e">
        <f t="shared" si="4"/>
        <v>#REF!</v>
      </c>
      <c r="I14" s="7" t="e">
        <f t="shared" si="4"/>
        <v>#REF!</v>
      </c>
      <c r="J14" s="7" t="e">
        <f t="shared" si="4"/>
        <v>#REF!</v>
      </c>
      <c r="K14" s="7" t="e">
        <f t="shared" si="4"/>
        <v>#REF!</v>
      </c>
      <c r="L14" s="7">
        <f t="shared" si="4"/>
        <v>5926.9</v>
      </c>
      <c r="M14" s="7">
        <f aca="true" t="shared" si="5" ref="M14">M15+M17</f>
        <v>815.9</v>
      </c>
      <c r="N14" s="7">
        <f t="shared" si="3"/>
        <v>13.766049705579647</v>
      </c>
    </row>
    <row r="15" spans="1:14" ht="31.5">
      <c r="A15" s="31" t="s">
        <v>170</v>
      </c>
      <c r="B15" s="42" t="s">
        <v>552</v>
      </c>
      <c r="C15" s="42" t="s">
        <v>189</v>
      </c>
      <c r="D15" s="42" t="s">
        <v>258</v>
      </c>
      <c r="E15" s="42" t="s">
        <v>171</v>
      </c>
      <c r="F15" s="42"/>
      <c r="G15" s="7" t="e">
        <f aca="true" t="shared" si="6" ref="G15:M15">G16</f>
        <v>#REF!</v>
      </c>
      <c r="H15" s="7" t="e">
        <f t="shared" si="6"/>
        <v>#REF!</v>
      </c>
      <c r="I15" s="7" t="e">
        <f t="shared" si="6"/>
        <v>#REF!</v>
      </c>
      <c r="J15" s="7" t="e">
        <f t="shared" si="6"/>
        <v>#REF!</v>
      </c>
      <c r="K15" s="7" t="e">
        <f t="shared" si="6"/>
        <v>#REF!</v>
      </c>
      <c r="L15" s="7">
        <f t="shared" si="6"/>
        <v>5900.799999999999</v>
      </c>
      <c r="M15" s="7">
        <f t="shared" si="6"/>
        <v>795.9</v>
      </c>
      <c r="N15" s="7">
        <f t="shared" si="3"/>
        <v>13.48800162689805</v>
      </c>
    </row>
    <row r="16" spans="1:14" ht="31.5">
      <c r="A16" s="31" t="s">
        <v>172</v>
      </c>
      <c r="B16" s="42" t="s">
        <v>552</v>
      </c>
      <c r="C16" s="42" t="s">
        <v>189</v>
      </c>
      <c r="D16" s="42" t="s">
        <v>258</v>
      </c>
      <c r="E16" s="42" t="s">
        <v>173</v>
      </c>
      <c r="F16" s="42"/>
      <c r="G16" s="7" t="e">
        <f>#REF!</f>
        <v>#REF!</v>
      </c>
      <c r="H16" s="7" t="e">
        <f>#REF!</f>
        <v>#REF!</v>
      </c>
      <c r="I16" s="7" t="e">
        <f>#REF!</f>
        <v>#REF!</v>
      </c>
      <c r="J16" s="7" t="e">
        <f>#REF!</f>
        <v>#REF!</v>
      </c>
      <c r="K16" s="7" t="e">
        <f>#REF!</f>
        <v>#REF!</v>
      </c>
      <c r="L16" s="7">
        <f>'Прил.№4 ведомств.'!G1046</f>
        <v>5900.799999999999</v>
      </c>
      <c r="M16" s="7">
        <f>'Прил.№4 ведомств.'!H1046</f>
        <v>795.9</v>
      </c>
      <c r="N16" s="7">
        <f t="shared" si="3"/>
        <v>13.48800162689805</v>
      </c>
    </row>
    <row r="17" spans="1:14" ht="15.75">
      <c r="A17" s="26" t="s">
        <v>174</v>
      </c>
      <c r="B17" s="42" t="s">
        <v>552</v>
      </c>
      <c r="C17" s="42" t="s">
        <v>189</v>
      </c>
      <c r="D17" s="42" t="s">
        <v>258</v>
      </c>
      <c r="E17" s="42" t="s">
        <v>184</v>
      </c>
      <c r="F17" s="42"/>
      <c r="G17" s="7" t="e">
        <f aca="true" t="shared" si="7" ref="G17:M17">G18</f>
        <v>#REF!</v>
      </c>
      <c r="H17" s="7" t="e">
        <f t="shared" si="7"/>
        <v>#REF!</v>
      </c>
      <c r="I17" s="7" t="e">
        <f t="shared" si="7"/>
        <v>#REF!</v>
      </c>
      <c r="J17" s="7" t="e">
        <f t="shared" si="7"/>
        <v>#REF!</v>
      </c>
      <c r="K17" s="7" t="e">
        <f t="shared" si="7"/>
        <v>#REF!</v>
      </c>
      <c r="L17" s="7">
        <f t="shared" si="7"/>
        <v>26.1</v>
      </c>
      <c r="M17" s="7">
        <f t="shared" si="7"/>
        <v>20</v>
      </c>
      <c r="N17" s="7">
        <f t="shared" si="3"/>
        <v>76.62835249042145</v>
      </c>
    </row>
    <row r="18" spans="1:14" ht="15.75">
      <c r="A18" s="26" t="s">
        <v>176</v>
      </c>
      <c r="B18" s="42" t="s">
        <v>552</v>
      </c>
      <c r="C18" s="42" t="s">
        <v>189</v>
      </c>
      <c r="D18" s="42" t="s">
        <v>258</v>
      </c>
      <c r="E18" s="42" t="s">
        <v>177</v>
      </c>
      <c r="F18" s="42"/>
      <c r="G18" s="7" t="e">
        <f>#REF!</f>
        <v>#REF!</v>
      </c>
      <c r="H18" s="7" t="e">
        <f>#REF!</f>
        <v>#REF!</v>
      </c>
      <c r="I18" s="7" t="e">
        <f>#REF!</f>
        <v>#REF!</v>
      </c>
      <c r="J18" s="7" t="e">
        <f>#REF!</f>
        <v>#REF!</v>
      </c>
      <c r="K18" s="7" t="e">
        <f>#REF!</f>
        <v>#REF!</v>
      </c>
      <c r="L18" s="7">
        <f>'Прил.№4 ведомств.'!G1048</f>
        <v>26.1</v>
      </c>
      <c r="M18" s="7">
        <f>'Прил.№4 ведомств.'!H1048</f>
        <v>20</v>
      </c>
      <c r="N18" s="7">
        <f t="shared" si="3"/>
        <v>76.62835249042145</v>
      </c>
    </row>
    <row r="19" spans="1:14" ht="31.5">
      <c r="A19" s="47" t="s">
        <v>681</v>
      </c>
      <c r="B19" s="42" t="s">
        <v>550</v>
      </c>
      <c r="C19" s="42"/>
      <c r="D19" s="42"/>
      <c r="E19" s="42"/>
      <c r="F19" s="42" t="s">
        <v>682</v>
      </c>
      <c r="G19" s="7" t="e">
        <f aca="true" t="shared" si="8" ref="G19:L19">G14</f>
        <v>#REF!</v>
      </c>
      <c r="H19" s="7" t="e">
        <f t="shared" si="8"/>
        <v>#REF!</v>
      </c>
      <c r="I19" s="7" t="e">
        <f t="shared" si="8"/>
        <v>#REF!</v>
      </c>
      <c r="J19" s="7" t="e">
        <f t="shared" si="8"/>
        <v>#REF!</v>
      </c>
      <c r="K19" s="7" t="e">
        <f t="shared" si="8"/>
        <v>#REF!</v>
      </c>
      <c r="L19" s="7">
        <f t="shared" si="8"/>
        <v>5926.9</v>
      </c>
      <c r="M19" s="7">
        <f aca="true" t="shared" si="9" ref="M19">M14</f>
        <v>815.9</v>
      </c>
      <c r="N19" s="7">
        <f t="shared" si="3"/>
        <v>13.766049705579647</v>
      </c>
    </row>
    <row r="20" spans="1:14" ht="47.25">
      <c r="A20" s="64" t="s">
        <v>382</v>
      </c>
      <c r="B20" s="8" t="s">
        <v>383</v>
      </c>
      <c r="C20" s="8"/>
      <c r="D20" s="8"/>
      <c r="E20" s="8"/>
      <c r="F20" s="8"/>
      <c r="G20" s="68" t="e">
        <f aca="true" t="shared" si="10" ref="G20:L20">G21+G36+G43+G50+G59+G66+G73+G99</f>
        <v>#REF!</v>
      </c>
      <c r="H20" s="68" t="e">
        <f t="shared" si="10"/>
        <v>#REF!</v>
      </c>
      <c r="I20" s="68" t="e">
        <f t="shared" si="10"/>
        <v>#REF!</v>
      </c>
      <c r="J20" s="68" t="e">
        <f t="shared" si="10"/>
        <v>#REF!</v>
      </c>
      <c r="K20" s="68" t="e">
        <f t="shared" si="10"/>
        <v>#REF!</v>
      </c>
      <c r="L20" s="68">
        <f t="shared" si="10"/>
        <v>4007</v>
      </c>
      <c r="M20" s="68">
        <f aca="true" t="shared" si="11" ref="M20">M21+M36+M43+M50+M59+M66+M73+M99</f>
        <v>2220.5</v>
      </c>
      <c r="N20" s="4">
        <f t="shared" si="3"/>
        <v>55.41552283503868</v>
      </c>
    </row>
    <row r="21" spans="1:14" ht="31.5">
      <c r="A21" s="64" t="s">
        <v>683</v>
      </c>
      <c r="B21" s="8" t="s">
        <v>385</v>
      </c>
      <c r="C21" s="8"/>
      <c r="D21" s="8"/>
      <c r="E21" s="8"/>
      <c r="F21" s="8"/>
      <c r="G21" s="68" t="e">
        <f>G22</f>
        <v>#REF!</v>
      </c>
      <c r="H21" s="68" t="e">
        <f aca="true" t="shared" si="12" ref="H21:M22">H22</f>
        <v>#REF!</v>
      </c>
      <c r="I21" s="68" t="e">
        <f t="shared" si="12"/>
        <v>#REF!</v>
      </c>
      <c r="J21" s="68" t="e">
        <f t="shared" si="12"/>
        <v>#REF!</v>
      </c>
      <c r="K21" s="68" t="e">
        <f t="shared" si="12"/>
        <v>#REF!</v>
      </c>
      <c r="L21" s="68">
        <f t="shared" si="12"/>
        <v>1000</v>
      </c>
      <c r="M21" s="68">
        <f t="shared" si="12"/>
        <v>621.1</v>
      </c>
      <c r="N21" s="4">
        <f t="shared" si="3"/>
        <v>62.11</v>
      </c>
    </row>
    <row r="22" spans="1:14" ht="15.75">
      <c r="A22" s="47" t="s">
        <v>302</v>
      </c>
      <c r="B22" s="42" t="s">
        <v>385</v>
      </c>
      <c r="C22" s="42" t="s">
        <v>303</v>
      </c>
      <c r="D22" s="42"/>
      <c r="E22" s="42"/>
      <c r="F22" s="42"/>
      <c r="G22" s="11" t="e">
        <f>G23</f>
        <v>#REF!</v>
      </c>
      <c r="H22" s="11" t="e">
        <f t="shared" si="12"/>
        <v>#REF!</v>
      </c>
      <c r="I22" s="11" t="e">
        <f t="shared" si="12"/>
        <v>#REF!</v>
      </c>
      <c r="J22" s="11" t="e">
        <f t="shared" si="12"/>
        <v>#REF!</v>
      </c>
      <c r="K22" s="11" t="e">
        <f t="shared" si="12"/>
        <v>#REF!</v>
      </c>
      <c r="L22" s="11">
        <f t="shared" si="12"/>
        <v>1000</v>
      </c>
      <c r="M22" s="11">
        <f t="shared" si="12"/>
        <v>621.1</v>
      </c>
      <c r="N22" s="7">
        <f t="shared" si="3"/>
        <v>62.11</v>
      </c>
    </row>
    <row r="23" spans="1:14" ht="15.75">
      <c r="A23" s="47" t="s">
        <v>506</v>
      </c>
      <c r="B23" s="42" t="s">
        <v>385</v>
      </c>
      <c r="C23" s="42" t="s">
        <v>303</v>
      </c>
      <c r="D23" s="42" t="s">
        <v>303</v>
      </c>
      <c r="E23" s="42"/>
      <c r="F23" s="42"/>
      <c r="G23" s="11" t="e">
        <f aca="true" t="shared" si="13" ref="G23:L23">G24+G32</f>
        <v>#REF!</v>
      </c>
      <c r="H23" s="11" t="e">
        <f t="shared" si="13"/>
        <v>#REF!</v>
      </c>
      <c r="I23" s="11" t="e">
        <f t="shared" si="13"/>
        <v>#REF!</v>
      </c>
      <c r="J23" s="11" t="e">
        <f t="shared" si="13"/>
        <v>#REF!</v>
      </c>
      <c r="K23" s="11" t="e">
        <f t="shared" si="13"/>
        <v>#REF!</v>
      </c>
      <c r="L23" s="11">
        <f t="shared" si="13"/>
        <v>1000</v>
      </c>
      <c r="M23" s="11">
        <f aca="true" t="shared" si="14" ref="M23">M24+M32</f>
        <v>621.1</v>
      </c>
      <c r="N23" s="7">
        <f t="shared" si="3"/>
        <v>62.11</v>
      </c>
    </row>
    <row r="24" spans="1:14" ht="31.5">
      <c r="A24" s="31" t="s">
        <v>196</v>
      </c>
      <c r="B24" s="21" t="s">
        <v>386</v>
      </c>
      <c r="C24" s="42" t="s">
        <v>303</v>
      </c>
      <c r="D24" s="42" t="s">
        <v>303</v>
      </c>
      <c r="E24" s="42"/>
      <c r="F24" s="42"/>
      <c r="G24" s="11" t="e">
        <f>G27+G30</f>
        <v>#REF!</v>
      </c>
      <c r="H24" s="11" t="e">
        <f>H27+H30</f>
        <v>#REF!</v>
      </c>
      <c r="I24" s="11" t="e">
        <f>I27+I30</f>
        <v>#REF!</v>
      </c>
      <c r="J24" s="11" t="e">
        <f>J27+J30</f>
        <v>#REF!</v>
      </c>
      <c r="K24" s="11" t="e">
        <f>K27+K30</f>
        <v>#REF!</v>
      </c>
      <c r="L24" s="11">
        <f>L27+L30+L25</f>
        <v>723.1999999999999</v>
      </c>
      <c r="M24" s="11">
        <f aca="true" t="shared" si="15" ref="M24">M27+M30+M25</f>
        <v>344.3</v>
      </c>
      <c r="N24" s="7">
        <f t="shared" si="3"/>
        <v>47.60785398230089</v>
      </c>
    </row>
    <row r="25" spans="1:14" ht="78.75">
      <c r="A25" s="26" t="s">
        <v>166</v>
      </c>
      <c r="B25" s="21" t="s">
        <v>386</v>
      </c>
      <c r="C25" s="42" t="s">
        <v>303</v>
      </c>
      <c r="D25" s="42" t="s">
        <v>303</v>
      </c>
      <c r="E25" s="42" t="s">
        <v>167</v>
      </c>
      <c r="F25" s="42"/>
      <c r="G25" s="11">
        <f aca="true" t="shared" si="16" ref="G25:M25">G26</f>
        <v>0</v>
      </c>
      <c r="H25" s="11">
        <f t="shared" si="16"/>
        <v>0</v>
      </c>
      <c r="I25" s="11">
        <f t="shared" si="16"/>
        <v>0</v>
      </c>
      <c r="J25" s="11">
        <f t="shared" si="16"/>
        <v>0</v>
      </c>
      <c r="K25" s="11">
        <f t="shared" si="16"/>
        <v>0</v>
      </c>
      <c r="L25" s="11">
        <f t="shared" si="16"/>
        <v>40</v>
      </c>
      <c r="M25" s="11">
        <f t="shared" si="16"/>
        <v>24</v>
      </c>
      <c r="N25" s="7">
        <f t="shared" si="3"/>
        <v>60</v>
      </c>
    </row>
    <row r="26" spans="1:14" ht="15.75">
      <c r="A26" s="26" t="s">
        <v>381</v>
      </c>
      <c r="B26" s="21" t="s">
        <v>386</v>
      </c>
      <c r="C26" s="42" t="s">
        <v>303</v>
      </c>
      <c r="D26" s="42" t="s">
        <v>303</v>
      </c>
      <c r="E26" s="42" t="s">
        <v>248</v>
      </c>
      <c r="F26" s="42"/>
      <c r="G26" s="11"/>
      <c r="H26" s="11"/>
      <c r="I26" s="11"/>
      <c r="J26" s="11"/>
      <c r="K26" s="11"/>
      <c r="L26" s="11">
        <f>'Прил.№4 ведомств.'!G364</f>
        <v>40</v>
      </c>
      <c r="M26" s="11">
        <f>'Прил.№4 ведомств.'!H364</f>
        <v>24</v>
      </c>
      <c r="N26" s="7">
        <f t="shared" si="3"/>
        <v>60</v>
      </c>
    </row>
    <row r="27" spans="1:14" ht="31.5">
      <c r="A27" s="31" t="s">
        <v>170</v>
      </c>
      <c r="B27" s="21" t="s">
        <v>386</v>
      </c>
      <c r="C27" s="42" t="s">
        <v>303</v>
      </c>
      <c r="D27" s="42" t="s">
        <v>303</v>
      </c>
      <c r="E27" s="42" t="s">
        <v>171</v>
      </c>
      <c r="F27" s="42"/>
      <c r="G27" s="11" t="e">
        <f aca="true" t="shared" si="17" ref="G27:M27">G28</f>
        <v>#REF!</v>
      </c>
      <c r="H27" s="11" t="e">
        <f t="shared" si="17"/>
        <v>#REF!</v>
      </c>
      <c r="I27" s="11" t="e">
        <f t="shared" si="17"/>
        <v>#REF!</v>
      </c>
      <c r="J27" s="11" t="e">
        <f t="shared" si="17"/>
        <v>#REF!</v>
      </c>
      <c r="K27" s="11" t="e">
        <f t="shared" si="17"/>
        <v>#REF!</v>
      </c>
      <c r="L27" s="11">
        <f t="shared" si="17"/>
        <v>658.1999999999999</v>
      </c>
      <c r="M27" s="11">
        <f t="shared" si="17"/>
        <v>295.3</v>
      </c>
      <c r="N27" s="7">
        <f t="shared" si="3"/>
        <v>44.86478274080827</v>
      </c>
    </row>
    <row r="28" spans="1:14" ht="31.5">
      <c r="A28" s="31" t="s">
        <v>172</v>
      </c>
      <c r="B28" s="21" t="s">
        <v>386</v>
      </c>
      <c r="C28" s="42" t="s">
        <v>303</v>
      </c>
      <c r="D28" s="42" t="s">
        <v>303</v>
      </c>
      <c r="E28" s="42" t="s">
        <v>173</v>
      </c>
      <c r="F28" s="42"/>
      <c r="G28" s="7" t="e">
        <f>#REF!</f>
        <v>#REF!</v>
      </c>
      <c r="H28" s="7" t="e">
        <f>#REF!</f>
        <v>#REF!</v>
      </c>
      <c r="I28" s="7" t="e">
        <f>#REF!</f>
        <v>#REF!</v>
      </c>
      <c r="J28" s="7" t="e">
        <f>#REF!</f>
        <v>#REF!</v>
      </c>
      <c r="K28" s="7" t="e">
        <f>#REF!</f>
        <v>#REF!</v>
      </c>
      <c r="L28" s="7">
        <f>'Прил.№4 ведомств.'!G366</f>
        <v>658.1999999999999</v>
      </c>
      <c r="M28" s="7">
        <f>'Прил.№4 ведомств.'!H366</f>
        <v>295.3</v>
      </c>
      <c r="N28" s="7">
        <f t="shared" si="3"/>
        <v>44.86478274080827</v>
      </c>
    </row>
    <row r="29" spans="1:14" ht="15.75" customHeight="1" hidden="1">
      <c r="A29" s="31"/>
      <c r="B29" s="42"/>
      <c r="C29" s="42"/>
      <c r="D29" s="42" t="s">
        <v>303</v>
      </c>
      <c r="E29" s="42"/>
      <c r="F29" s="42"/>
      <c r="G29" s="7"/>
      <c r="H29" s="7"/>
      <c r="I29" s="7"/>
      <c r="J29" s="7"/>
      <c r="K29" s="7"/>
      <c r="L29" s="7"/>
      <c r="M29" s="7"/>
      <c r="N29" s="7" t="e">
        <f t="shared" si="3"/>
        <v>#DIV/0!</v>
      </c>
    </row>
    <row r="30" spans="1:14" ht="15.75">
      <c r="A30" s="26" t="s">
        <v>287</v>
      </c>
      <c r="B30" s="21" t="s">
        <v>386</v>
      </c>
      <c r="C30" s="42" t="s">
        <v>303</v>
      </c>
      <c r="D30" s="42" t="s">
        <v>303</v>
      </c>
      <c r="E30" s="21" t="s">
        <v>288</v>
      </c>
      <c r="F30" s="42"/>
      <c r="G30" s="7" t="e">
        <f aca="true" t="shared" si="18" ref="G30:M30">G31</f>
        <v>#REF!</v>
      </c>
      <c r="H30" s="7" t="e">
        <f t="shared" si="18"/>
        <v>#REF!</v>
      </c>
      <c r="I30" s="7" t="e">
        <f t="shared" si="18"/>
        <v>#REF!</v>
      </c>
      <c r="J30" s="7" t="e">
        <f t="shared" si="18"/>
        <v>#REF!</v>
      </c>
      <c r="K30" s="7" t="e">
        <f t="shared" si="18"/>
        <v>#REF!</v>
      </c>
      <c r="L30" s="7">
        <f t="shared" si="18"/>
        <v>25</v>
      </c>
      <c r="M30" s="7">
        <f t="shared" si="18"/>
        <v>25</v>
      </c>
      <c r="N30" s="7">
        <f t="shared" si="3"/>
        <v>100</v>
      </c>
    </row>
    <row r="31" spans="1:14" ht="31.5">
      <c r="A31" s="26" t="s">
        <v>387</v>
      </c>
      <c r="B31" s="21" t="s">
        <v>386</v>
      </c>
      <c r="C31" s="42" t="s">
        <v>303</v>
      </c>
      <c r="D31" s="42" t="s">
        <v>303</v>
      </c>
      <c r="E31" s="21" t="s">
        <v>388</v>
      </c>
      <c r="F31" s="42"/>
      <c r="G31" s="7" t="e">
        <f>#REF!</f>
        <v>#REF!</v>
      </c>
      <c r="H31" s="7" t="e">
        <f>#REF!</f>
        <v>#REF!</v>
      </c>
      <c r="I31" s="7" t="e">
        <f>#REF!</f>
        <v>#REF!</v>
      </c>
      <c r="J31" s="7" t="e">
        <f>#REF!</f>
        <v>#REF!</v>
      </c>
      <c r="K31" s="7" t="e">
        <f>#REF!</f>
        <v>#REF!</v>
      </c>
      <c r="L31" s="7">
        <f>'Прил.№4 ведомств.'!G368</f>
        <v>25</v>
      </c>
      <c r="M31" s="7">
        <f>'Прил.№4 ведомств.'!H368</f>
        <v>25</v>
      </c>
      <c r="N31" s="7">
        <f t="shared" si="3"/>
        <v>100</v>
      </c>
    </row>
    <row r="32" spans="1:14" ht="31.5">
      <c r="A32" s="119" t="s">
        <v>1035</v>
      </c>
      <c r="B32" s="21" t="s">
        <v>1034</v>
      </c>
      <c r="C32" s="42" t="s">
        <v>303</v>
      </c>
      <c r="D32" s="42" t="s">
        <v>303</v>
      </c>
      <c r="E32" s="42"/>
      <c r="F32" s="42"/>
      <c r="G32" s="11" t="e">
        <f>G33</f>
        <v>#REF!</v>
      </c>
      <c r="H32" s="11" t="e">
        <f aca="true" t="shared" si="19" ref="H32:M33">H33</f>
        <v>#REF!</v>
      </c>
      <c r="I32" s="11" t="e">
        <f t="shared" si="19"/>
        <v>#REF!</v>
      </c>
      <c r="J32" s="11" t="e">
        <f t="shared" si="19"/>
        <v>#REF!</v>
      </c>
      <c r="K32" s="11" t="e">
        <f t="shared" si="19"/>
        <v>#REF!</v>
      </c>
      <c r="L32" s="11">
        <f t="shared" si="19"/>
        <v>276.8</v>
      </c>
      <c r="M32" s="11">
        <f t="shared" si="19"/>
        <v>276.8</v>
      </c>
      <c r="N32" s="7">
        <f t="shared" si="3"/>
        <v>100</v>
      </c>
    </row>
    <row r="33" spans="1:14" ht="78.75">
      <c r="A33" s="26" t="s">
        <v>166</v>
      </c>
      <c r="B33" s="21" t="s">
        <v>1034</v>
      </c>
      <c r="C33" s="42" t="s">
        <v>303</v>
      </c>
      <c r="D33" s="42" t="s">
        <v>303</v>
      </c>
      <c r="E33" s="42" t="s">
        <v>167</v>
      </c>
      <c r="F33" s="42"/>
      <c r="G33" s="11" t="e">
        <f>G34</f>
        <v>#REF!</v>
      </c>
      <c r="H33" s="11" t="e">
        <f t="shared" si="19"/>
        <v>#REF!</v>
      </c>
      <c r="I33" s="11" t="e">
        <f t="shared" si="19"/>
        <v>#REF!</v>
      </c>
      <c r="J33" s="11" t="e">
        <f t="shared" si="19"/>
        <v>#REF!</v>
      </c>
      <c r="K33" s="11" t="e">
        <f t="shared" si="19"/>
        <v>#REF!</v>
      </c>
      <c r="L33" s="11">
        <f t="shared" si="19"/>
        <v>276.8</v>
      </c>
      <c r="M33" s="11">
        <f t="shared" si="19"/>
        <v>276.8</v>
      </c>
      <c r="N33" s="7">
        <f t="shared" si="3"/>
        <v>100</v>
      </c>
    </row>
    <row r="34" spans="1:14" ht="15.75">
      <c r="A34" s="26" t="s">
        <v>381</v>
      </c>
      <c r="B34" s="21" t="s">
        <v>1034</v>
      </c>
      <c r="C34" s="42" t="s">
        <v>303</v>
      </c>
      <c r="D34" s="42" t="s">
        <v>303</v>
      </c>
      <c r="E34" s="42" t="s">
        <v>248</v>
      </c>
      <c r="F34" s="42"/>
      <c r="G34" s="11" t="e">
        <f>#REF!</f>
        <v>#REF!</v>
      </c>
      <c r="H34" s="11" t="e">
        <f>#REF!</f>
        <v>#REF!</v>
      </c>
      <c r="I34" s="11" t="e">
        <f>#REF!</f>
        <v>#REF!</v>
      </c>
      <c r="J34" s="11" t="e">
        <f>#REF!</f>
        <v>#REF!</v>
      </c>
      <c r="K34" s="11" t="e">
        <f>#REF!</f>
        <v>#REF!</v>
      </c>
      <c r="L34" s="11">
        <f>'Прил.№4 ведомств.'!G371</f>
        <v>276.8</v>
      </c>
      <c r="M34" s="11">
        <f>'Прил.№4 ведомств.'!H371</f>
        <v>276.8</v>
      </c>
      <c r="N34" s="7">
        <f t="shared" si="3"/>
        <v>100</v>
      </c>
    </row>
    <row r="35" spans="1:14" ht="47.25">
      <c r="A35" s="47" t="s">
        <v>300</v>
      </c>
      <c r="B35" s="21" t="s">
        <v>385</v>
      </c>
      <c r="C35" s="42"/>
      <c r="D35" s="42"/>
      <c r="E35" s="42"/>
      <c r="F35" s="42" t="s">
        <v>685</v>
      </c>
      <c r="G35" s="7" t="e">
        <f aca="true" t="shared" si="20" ref="G35:L35">G21</f>
        <v>#REF!</v>
      </c>
      <c r="H35" s="7" t="e">
        <f t="shared" si="20"/>
        <v>#REF!</v>
      </c>
      <c r="I35" s="7" t="e">
        <f t="shared" si="20"/>
        <v>#REF!</v>
      </c>
      <c r="J35" s="7" t="e">
        <f t="shared" si="20"/>
        <v>#REF!</v>
      </c>
      <c r="K35" s="7" t="e">
        <f t="shared" si="20"/>
        <v>#REF!</v>
      </c>
      <c r="L35" s="7">
        <f t="shared" si="20"/>
        <v>1000</v>
      </c>
      <c r="M35" s="7">
        <f aca="true" t="shared" si="21" ref="M35">M21</f>
        <v>621.1</v>
      </c>
      <c r="N35" s="7">
        <f t="shared" si="3"/>
        <v>62.11</v>
      </c>
    </row>
    <row r="36" spans="1:14" ht="31.5">
      <c r="A36" s="64" t="s">
        <v>686</v>
      </c>
      <c r="B36" s="8" t="s">
        <v>392</v>
      </c>
      <c r="C36" s="8"/>
      <c r="D36" s="8"/>
      <c r="E36" s="8"/>
      <c r="F36" s="8"/>
      <c r="G36" s="68" t="e">
        <f>G37</f>
        <v>#REF!</v>
      </c>
      <c r="H36" s="68" t="e">
        <f aca="true" t="shared" si="22" ref="H36:M40">H37</f>
        <v>#REF!</v>
      </c>
      <c r="I36" s="68" t="e">
        <f t="shared" si="22"/>
        <v>#REF!</v>
      </c>
      <c r="J36" s="68" t="e">
        <f t="shared" si="22"/>
        <v>#REF!</v>
      </c>
      <c r="K36" s="68" t="e">
        <f t="shared" si="22"/>
        <v>#REF!</v>
      </c>
      <c r="L36" s="68">
        <f t="shared" si="22"/>
        <v>434.7</v>
      </c>
      <c r="M36" s="68">
        <f t="shared" si="22"/>
        <v>217.4</v>
      </c>
      <c r="N36" s="4">
        <f t="shared" si="3"/>
        <v>50.01150218541524</v>
      </c>
    </row>
    <row r="37" spans="1:14" ht="15.75">
      <c r="A37" s="47" t="s">
        <v>282</v>
      </c>
      <c r="B37" s="42" t="s">
        <v>392</v>
      </c>
      <c r="C37" s="42" t="s">
        <v>283</v>
      </c>
      <c r="D37" s="42"/>
      <c r="E37" s="42"/>
      <c r="F37" s="42"/>
      <c r="G37" s="11" t="e">
        <f>G38</f>
        <v>#REF!</v>
      </c>
      <c r="H37" s="11" t="e">
        <f t="shared" si="22"/>
        <v>#REF!</v>
      </c>
      <c r="I37" s="11" t="e">
        <f t="shared" si="22"/>
        <v>#REF!</v>
      </c>
      <c r="J37" s="11" t="e">
        <f t="shared" si="22"/>
        <v>#REF!</v>
      </c>
      <c r="K37" s="11" t="e">
        <f t="shared" si="22"/>
        <v>#REF!</v>
      </c>
      <c r="L37" s="11">
        <f t="shared" si="22"/>
        <v>434.7</v>
      </c>
      <c r="M37" s="11">
        <f t="shared" si="22"/>
        <v>217.4</v>
      </c>
      <c r="N37" s="7">
        <f t="shared" si="3"/>
        <v>50.01150218541524</v>
      </c>
    </row>
    <row r="38" spans="1:14" ht="15.75">
      <c r="A38" s="47" t="s">
        <v>291</v>
      </c>
      <c r="B38" s="42" t="s">
        <v>392</v>
      </c>
      <c r="C38" s="42" t="s">
        <v>283</v>
      </c>
      <c r="D38" s="42" t="s">
        <v>254</v>
      </c>
      <c r="E38" s="42"/>
      <c r="F38" s="42"/>
      <c r="G38" s="11" t="e">
        <f>G39</f>
        <v>#REF!</v>
      </c>
      <c r="H38" s="11" t="e">
        <f t="shared" si="22"/>
        <v>#REF!</v>
      </c>
      <c r="I38" s="11" t="e">
        <f t="shared" si="22"/>
        <v>#REF!</v>
      </c>
      <c r="J38" s="11" t="e">
        <f t="shared" si="22"/>
        <v>#REF!</v>
      </c>
      <c r="K38" s="11" t="e">
        <f t="shared" si="22"/>
        <v>#REF!</v>
      </c>
      <c r="L38" s="11">
        <f t="shared" si="22"/>
        <v>434.7</v>
      </c>
      <c r="M38" s="11">
        <f t="shared" si="22"/>
        <v>217.4</v>
      </c>
      <c r="N38" s="7">
        <f t="shared" si="3"/>
        <v>50.01150218541524</v>
      </c>
    </row>
    <row r="39" spans="1:14" ht="31.5">
      <c r="A39" s="26" t="s">
        <v>1047</v>
      </c>
      <c r="B39" s="21" t="s">
        <v>990</v>
      </c>
      <c r="C39" s="42" t="s">
        <v>283</v>
      </c>
      <c r="D39" s="42" t="s">
        <v>254</v>
      </c>
      <c r="E39" s="42"/>
      <c r="F39" s="42"/>
      <c r="G39" s="11" t="e">
        <f>G40</f>
        <v>#REF!</v>
      </c>
      <c r="H39" s="11" t="e">
        <f t="shared" si="22"/>
        <v>#REF!</v>
      </c>
      <c r="I39" s="11" t="e">
        <f t="shared" si="22"/>
        <v>#REF!</v>
      </c>
      <c r="J39" s="11" t="e">
        <f t="shared" si="22"/>
        <v>#REF!</v>
      </c>
      <c r="K39" s="11" t="e">
        <f t="shared" si="22"/>
        <v>#REF!</v>
      </c>
      <c r="L39" s="11">
        <f t="shared" si="22"/>
        <v>434.7</v>
      </c>
      <c r="M39" s="11">
        <f t="shared" si="22"/>
        <v>217.4</v>
      </c>
      <c r="N39" s="7">
        <f t="shared" si="3"/>
        <v>50.01150218541524</v>
      </c>
    </row>
    <row r="40" spans="1:14" ht="15.75">
      <c r="A40" s="31" t="s">
        <v>287</v>
      </c>
      <c r="B40" s="21" t="s">
        <v>990</v>
      </c>
      <c r="C40" s="42" t="s">
        <v>283</v>
      </c>
      <c r="D40" s="42" t="s">
        <v>254</v>
      </c>
      <c r="E40" s="42" t="s">
        <v>288</v>
      </c>
      <c r="F40" s="42"/>
      <c r="G40" s="11" t="e">
        <f>G41</f>
        <v>#REF!</v>
      </c>
      <c r="H40" s="11" t="e">
        <f t="shared" si="22"/>
        <v>#REF!</v>
      </c>
      <c r="I40" s="11" t="e">
        <f t="shared" si="22"/>
        <v>#REF!</v>
      </c>
      <c r="J40" s="11" t="e">
        <f t="shared" si="22"/>
        <v>#REF!</v>
      </c>
      <c r="K40" s="11" t="e">
        <f t="shared" si="22"/>
        <v>#REF!</v>
      </c>
      <c r="L40" s="11">
        <f t="shared" si="22"/>
        <v>434.7</v>
      </c>
      <c r="M40" s="11">
        <f t="shared" si="22"/>
        <v>217.4</v>
      </c>
      <c r="N40" s="7">
        <f t="shared" si="3"/>
        <v>50.01150218541524</v>
      </c>
    </row>
    <row r="41" spans="1:14" ht="31.5">
      <c r="A41" s="31" t="s">
        <v>289</v>
      </c>
      <c r="B41" s="21" t="s">
        <v>990</v>
      </c>
      <c r="C41" s="42" t="s">
        <v>283</v>
      </c>
      <c r="D41" s="42" t="s">
        <v>254</v>
      </c>
      <c r="E41" s="42" t="s">
        <v>290</v>
      </c>
      <c r="F41" s="42"/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>
        <f>'Прил.№4 ведомств.'!G553</f>
        <v>434.7</v>
      </c>
      <c r="M41" s="11">
        <f>'Прил.№4 ведомств.'!H553</f>
        <v>217.4</v>
      </c>
      <c r="N41" s="7">
        <f t="shared" si="3"/>
        <v>50.01150218541524</v>
      </c>
    </row>
    <row r="42" spans="1:14" ht="47.25">
      <c r="A42" s="47" t="s">
        <v>300</v>
      </c>
      <c r="B42" s="21" t="s">
        <v>392</v>
      </c>
      <c r="C42" s="42"/>
      <c r="D42" s="42"/>
      <c r="E42" s="42"/>
      <c r="F42" s="42" t="s">
        <v>685</v>
      </c>
      <c r="G42" s="11" t="e">
        <f aca="true" t="shared" si="23" ref="G42:L42">G36</f>
        <v>#REF!</v>
      </c>
      <c r="H42" s="11" t="e">
        <f t="shared" si="23"/>
        <v>#REF!</v>
      </c>
      <c r="I42" s="11" t="e">
        <f t="shared" si="23"/>
        <v>#REF!</v>
      </c>
      <c r="J42" s="11" t="e">
        <f t="shared" si="23"/>
        <v>#REF!</v>
      </c>
      <c r="K42" s="11" t="e">
        <f t="shared" si="23"/>
        <v>#REF!</v>
      </c>
      <c r="L42" s="11">
        <f t="shared" si="23"/>
        <v>434.7</v>
      </c>
      <c r="M42" s="11">
        <f aca="true" t="shared" si="24" ref="M42">M36</f>
        <v>217.4</v>
      </c>
      <c r="N42" s="7">
        <f t="shared" si="3"/>
        <v>50.01150218541524</v>
      </c>
    </row>
    <row r="43" spans="1:14" ht="31.5">
      <c r="A43" s="64" t="s">
        <v>687</v>
      </c>
      <c r="B43" s="8" t="s">
        <v>395</v>
      </c>
      <c r="C43" s="8"/>
      <c r="D43" s="8"/>
      <c r="E43" s="8"/>
      <c r="F43" s="8"/>
      <c r="G43" s="68" t="e">
        <f>G44</f>
        <v>#REF!</v>
      </c>
      <c r="H43" s="68" t="e">
        <f aca="true" t="shared" si="25" ref="H43:M47">H44</f>
        <v>#REF!</v>
      </c>
      <c r="I43" s="68" t="e">
        <f t="shared" si="25"/>
        <v>#REF!</v>
      </c>
      <c r="J43" s="68" t="e">
        <f t="shared" si="25"/>
        <v>#REF!</v>
      </c>
      <c r="K43" s="68" t="e">
        <f t="shared" si="25"/>
        <v>#REF!</v>
      </c>
      <c r="L43" s="68">
        <f t="shared" si="25"/>
        <v>420</v>
      </c>
      <c r="M43" s="68">
        <f t="shared" si="25"/>
        <v>200</v>
      </c>
      <c r="N43" s="4">
        <f t="shared" si="3"/>
        <v>47.61904761904761</v>
      </c>
    </row>
    <row r="44" spans="1:14" ht="15.75">
      <c r="A44" s="47" t="s">
        <v>282</v>
      </c>
      <c r="B44" s="42" t="s">
        <v>395</v>
      </c>
      <c r="C44" s="42" t="s">
        <v>283</v>
      </c>
      <c r="D44" s="42"/>
      <c r="E44" s="42"/>
      <c r="F44" s="42"/>
      <c r="G44" s="11" t="e">
        <f>G45</f>
        <v>#REF!</v>
      </c>
      <c r="H44" s="11" t="e">
        <f t="shared" si="25"/>
        <v>#REF!</v>
      </c>
      <c r="I44" s="11" t="e">
        <f t="shared" si="25"/>
        <v>#REF!</v>
      </c>
      <c r="J44" s="11" t="e">
        <f t="shared" si="25"/>
        <v>#REF!</v>
      </c>
      <c r="K44" s="11" t="e">
        <f t="shared" si="25"/>
        <v>#REF!</v>
      </c>
      <c r="L44" s="11">
        <f t="shared" si="25"/>
        <v>420</v>
      </c>
      <c r="M44" s="11">
        <f t="shared" si="25"/>
        <v>200</v>
      </c>
      <c r="N44" s="7">
        <f t="shared" si="3"/>
        <v>47.61904761904761</v>
      </c>
    </row>
    <row r="45" spans="1:14" ht="15.75">
      <c r="A45" s="47" t="s">
        <v>291</v>
      </c>
      <c r="B45" s="42" t="s">
        <v>395</v>
      </c>
      <c r="C45" s="42" t="s">
        <v>283</v>
      </c>
      <c r="D45" s="42" t="s">
        <v>254</v>
      </c>
      <c r="E45" s="42"/>
      <c r="F45" s="42"/>
      <c r="G45" s="11" t="e">
        <f>G46</f>
        <v>#REF!</v>
      </c>
      <c r="H45" s="11" t="e">
        <f t="shared" si="25"/>
        <v>#REF!</v>
      </c>
      <c r="I45" s="11" t="e">
        <f t="shared" si="25"/>
        <v>#REF!</v>
      </c>
      <c r="J45" s="11" t="e">
        <f t="shared" si="25"/>
        <v>#REF!</v>
      </c>
      <c r="K45" s="11" t="e">
        <f t="shared" si="25"/>
        <v>#REF!</v>
      </c>
      <c r="L45" s="11">
        <f t="shared" si="25"/>
        <v>420</v>
      </c>
      <c r="M45" s="11">
        <f t="shared" si="25"/>
        <v>200</v>
      </c>
      <c r="N45" s="7">
        <f t="shared" si="3"/>
        <v>47.61904761904761</v>
      </c>
    </row>
    <row r="46" spans="1:14" ht="31.5">
      <c r="A46" s="31" t="s">
        <v>196</v>
      </c>
      <c r="B46" s="42" t="s">
        <v>396</v>
      </c>
      <c r="C46" s="42" t="s">
        <v>283</v>
      </c>
      <c r="D46" s="42" t="s">
        <v>254</v>
      </c>
      <c r="E46" s="42"/>
      <c r="F46" s="42"/>
      <c r="G46" s="11" t="e">
        <f>G47</f>
        <v>#REF!</v>
      </c>
      <c r="H46" s="11" t="e">
        <f t="shared" si="25"/>
        <v>#REF!</v>
      </c>
      <c r="I46" s="11" t="e">
        <f t="shared" si="25"/>
        <v>#REF!</v>
      </c>
      <c r="J46" s="11" t="e">
        <f t="shared" si="25"/>
        <v>#REF!</v>
      </c>
      <c r="K46" s="11" t="e">
        <f t="shared" si="25"/>
        <v>#REF!</v>
      </c>
      <c r="L46" s="11">
        <f t="shared" si="25"/>
        <v>420</v>
      </c>
      <c r="M46" s="11">
        <f t="shared" si="25"/>
        <v>200</v>
      </c>
      <c r="N46" s="7">
        <f t="shared" si="3"/>
        <v>47.61904761904761</v>
      </c>
    </row>
    <row r="47" spans="1:14" ht="15.75">
      <c r="A47" s="31" t="s">
        <v>287</v>
      </c>
      <c r="B47" s="42" t="s">
        <v>396</v>
      </c>
      <c r="C47" s="42" t="s">
        <v>283</v>
      </c>
      <c r="D47" s="42" t="s">
        <v>254</v>
      </c>
      <c r="E47" s="42" t="s">
        <v>288</v>
      </c>
      <c r="F47" s="42"/>
      <c r="G47" s="11" t="e">
        <f>G48</f>
        <v>#REF!</v>
      </c>
      <c r="H47" s="11" t="e">
        <f t="shared" si="25"/>
        <v>#REF!</v>
      </c>
      <c r="I47" s="11" t="e">
        <f t="shared" si="25"/>
        <v>#REF!</v>
      </c>
      <c r="J47" s="11" t="e">
        <f t="shared" si="25"/>
        <v>#REF!</v>
      </c>
      <c r="K47" s="11" t="e">
        <f t="shared" si="25"/>
        <v>#REF!</v>
      </c>
      <c r="L47" s="11">
        <f t="shared" si="25"/>
        <v>420</v>
      </c>
      <c r="M47" s="11">
        <f t="shared" si="25"/>
        <v>200</v>
      </c>
      <c r="N47" s="7">
        <f t="shared" si="3"/>
        <v>47.61904761904761</v>
      </c>
    </row>
    <row r="48" spans="1:14" ht="31.5">
      <c r="A48" s="31" t="s">
        <v>387</v>
      </c>
      <c r="B48" s="42" t="s">
        <v>396</v>
      </c>
      <c r="C48" s="42" t="s">
        <v>283</v>
      </c>
      <c r="D48" s="42" t="s">
        <v>254</v>
      </c>
      <c r="E48" s="42" t="s">
        <v>388</v>
      </c>
      <c r="F48" s="42"/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>
        <f>'Прил.№4 ведомств.'!G557</f>
        <v>420</v>
      </c>
      <c r="M48" s="11">
        <f>'Прил.№4 ведомств.'!H557</f>
        <v>200</v>
      </c>
      <c r="N48" s="7">
        <f t="shared" si="3"/>
        <v>47.61904761904761</v>
      </c>
    </row>
    <row r="49" spans="1:14" ht="47.25">
      <c r="A49" s="47" t="s">
        <v>300</v>
      </c>
      <c r="B49" s="42" t="s">
        <v>395</v>
      </c>
      <c r="C49" s="42"/>
      <c r="D49" s="42"/>
      <c r="E49" s="42"/>
      <c r="F49" s="42" t="s">
        <v>685</v>
      </c>
      <c r="G49" s="11" t="e">
        <f aca="true" t="shared" si="26" ref="G49:L49">G43</f>
        <v>#REF!</v>
      </c>
      <c r="H49" s="11" t="e">
        <f t="shared" si="26"/>
        <v>#REF!</v>
      </c>
      <c r="I49" s="11" t="e">
        <f t="shared" si="26"/>
        <v>#REF!</v>
      </c>
      <c r="J49" s="11" t="e">
        <f t="shared" si="26"/>
        <v>#REF!</v>
      </c>
      <c r="K49" s="11" t="e">
        <f t="shared" si="26"/>
        <v>#REF!</v>
      </c>
      <c r="L49" s="11">
        <f t="shared" si="26"/>
        <v>420</v>
      </c>
      <c r="M49" s="11">
        <f aca="true" t="shared" si="27" ref="M49">M43</f>
        <v>200</v>
      </c>
      <c r="N49" s="7">
        <f t="shared" si="3"/>
        <v>47.61904761904761</v>
      </c>
    </row>
    <row r="50" spans="1:14" ht="15.75">
      <c r="A50" s="64" t="s">
        <v>689</v>
      </c>
      <c r="B50" s="8" t="s">
        <v>398</v>
      </c>
      <c r="C50" s="8"/>
      <c r="D50" s="8"/>
      <c r="E50" s="8"/>
      <c r="F50" s="8"/>
      <c r="G50" s="68" t="e">
        <f>G51</f>
        <v>#REF!</v>
      </c>
      <c r="H50" s="68" t="e">
        <f aca="true" t="shared" si="28" ref="H50:M52">H51</f>
        <v>#REF!</v>
      </c>
      <c r="I50" s="68" t="e">
        <f t="shared" si="28"/>
        <v>#REF!</v>
      </c>
      <c r="J50" s="68" t="e">
        <f t="shared" si="28"/>
        <v>#REF!</v>
      </c>
      <c r="K50" s="68" t="e">
        <f t="shared" si="28"/>
        <v>#REF!</v>
      </c>
      <c r="L50" s="68">
        <f t="shared" si="28"/>
        <v>1272.3000000000002</v>
      </c>
      <c r="M50" s="68">
        <f t="shared" si="28"/>
        <v>652.2</v>
      </c>
      <c r="N50" s="4">
        <f t="shared" si="3"/>
        <v>51.26149493044093</v>
      </c>
    </row>
    <row r="51" spans="1:14" ht="15.75">
      <c r="A51" s="47" t="s">
        <v>282</v>
      </c>
      <c r="B51" s="42" t="s">
        <v>398</v>
      </c>
      <c r="C51" s="42" t="s">
        <v>283</v>
      </c>
      <c r="D51" s="42"/>
      <c r="E51" s="42"/>
      <c r="F51" s="42"/>
      <c r="G51" s="11" t="e">
        <f>G52</f>
        <v>#REF!</v>
      </c>
      <c r="H51" s="11" t="e">
        <f t="shared" si="28"/>
        <v>#REF!</v>
      </c>
      <c r="I51" s="11" t="e">
        <f t="shared" si="28"/>
        <v>#REF!</v>
      </c>
      <c r="J51" s="11" t="e">
        <f t="shared" si="28"/>
        <v>#REF!</v>
      </c>
      <c r="K51" s="11" t="e">
        <f t="shared" si="28"/>
        <v>#REF!</v>
      </c>
      <c r="L51" s="11">
        <f t="shared" si="28"/>
        <v>1272.3000000000002</v>
      </c>
      <c r="M51" s="11">
        <f t="shared" si="28"/>
        <v>652.2</v>
      </c>
      <c r="N51" s="7">
        <f t="shared" si="3"/>
        <v>51.26149493044093</v>
      </c>
    </row>
    <row r="52" spans="1:14" ht="15.75">
      <c r="A52" s="47" t="s">
        <v>291</v>
      </c>
      <c r="B52" s="42" t="s">
        <v>398</v>
      </c>
      <c r="C52" s="42" t="s">
        <v>283</v>
      </c>
      <c r="D52" s="42" t="s">
        <v>254</v>
      </c>
      <c r="E52" s="42"/>
      <c r="F52" s="42"/>
      <c r="G52" s="11" t="e">
        <f>G53</f>
        <v>#REF!</v>
      </c>
      <c r="H52" s="11" t="e">
        <f t="shared" si="28"/>
        <v>#REF!</v>
      </c>
      <c r="I52" s="11" t="e">
        <f t="shared" si="28"/>
        <v>#REF!</v>
      </c>
      <c r="J52" s="11" t="e">
        <f t="shared" si="28"/>
        <v>#REF!</v>
      </c>
      <c r="K52" s="11" t="e">
        <f t="shared" si="28"/>
        <v>#REF!</v>
      </c>
      <c r="L52" s="11">
        <f t="shared" si="28"/>
        <v>1272.3000000000002</v>
      </c>
      <c r="M52" s="11">
        <f t="shared" si="28"/>
        <v>652.2</v>
      </c>
      <c r="N52" s="7">
        <f t="shared" si="3"/>
        <v>51.26149493044093</v>
      </c>
    </row>
    <row r="53" spans="1:14" ht="31.5">
      <c r="A53" s="31" t="s">
        <v>196</v>
      </c>
      <c r="B53" s="42" t="s">
        <v>399</v>
      </c>
      <c r="C53" s="42" t="s">
        <v>283</v>
      </c>
      <c r="D53" s="42" t="s">
        <v>254</v>
      </c>
      <c r="E53" s="42"/>
      <c r="F53" s="42"/>
      <c r="G53" s="11" t="e">
        <f aca="true" t="shared" si="29" ref="G53:L53">G54+G56</f>
        <v>#REF!</v>
      </c>
      <c r="H53" s="11" t="e">
        <f t="shared" si="29"/>
        <v>#REF!</v>
      </c>
      <c r="I53" s="11" t="e">
        <f t="shared" si="29"/>
        <v>#REF!</v>
      </c>
      <c r="J53" s="11" t="e">
        <f t="shared" si="29"/>
        <v>#REF!</v>
      </c>
      <c r="K53" s="11" t="e">
        <f t="shared" si="29"/>
        <v>#REF!</v>
      </c>
      <c r="L53" s="11">
        <f t="shared" si="29"/>
        <v>1272.3000000000002</v>
      </c>
      <c r="M53" s="11">
        <f aca="true" t="shared" si="30" ref="M53">M54+M56</f>
        <v>652.2</v>
      </c>
      <c r="N53" s="7">
        <f t="shared" si="3"/>
        <v>51.26149493044093</v>
      </c>
    </row>
    <row r="54" spans="1:14" ht="31.5">
      <c r="A54" s="31" t="s">
        <v>170</v>
      </c>
      <c r="B54" s="42" t="s">
        <v>399</v>
      </c>
      <c r="C54" s="42" t="s">
        <v>283</v>
      </c>
      <c r="D54" s="42" t="s">
        <v>254</v>
      </c>
      <c r="E54" s="42" t="s">
        <v>171</v>
      </c>
      <c r="F54" s="42"/>
      <c r="G54" s="11" t="e">
        <f aca="true" t="shared" si="31" ref="G54:M54">G55</f>
        <v>#REF!</v>
      </c>
      <c r="H54" s="11" t="e">
        <f t="shared" si="31"/>
        <v>#REF!</v>
      </c>
      <c r="I54" s="11" t="e">
        <f t="shared" si="31"/>
        <v>#REF!</v>
      </c>
      <c r="J54" s="11" t="e">
        <f t="shared" si="31"/>
        <v>#REF!</v>
      </c>
      <c r="K54" s="11" t="e">
        <f t="shared" si="31"/>
        <v>#REF!</v>
      </c>
      <c r="L54" s="11">
        <f t="shared" si="31"/>
        <v>356.6</v>
      </c>
      <c r="M54" s="11">
        <f t="shared" si="31"/>
        <v>201.3</v>
      </c>
      <c r="N54" s="7">
        <f t="shared" si="3"/>
        <v>56.449803701626465</v>
      </c>
    </row>
    <row r="55" spans="1:14" ht="31.5">
      <c r="A55" s="31" t="s">
        <v>172</v>
      </c>
      <c r="B55" s="42" t="s">
        <v>399</v>
      </c>
      <c r="C55" s="42" t="s">
        <v>283</v>
      </c>
      <c r="D55" s="42" t="s">
        <v>254</v>
      </c>
      <c r="E55" s="42" t="s">
        <v>173</v>
      </c>
      <c r="F55" s="42"/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>
        <f>'Прил.№4 ведомств.'!G561</f>
        <v>356.6</v>
      </c>
      <c r="M55" s="11">
        <f>'Прил.№4 ведомств.'!H561</f>
        <v>201.3</v>
      </c>
      <c r="N55" s="7">
        <f t="shared" si="3"/>
        <v>56.449803701626465</v>
      </c>
    </row>
    <row r="56" spans="1:14" ht="15.75">
      <c r="A56" s="31" t="s">
        <v>287</v>
      </c>
      <c r="B56" s="42" t="s">
        <v>399</v>
      </c>
      <c r="C56" s="42" t="s">
        <v>283</v>
      </c>
      <c r="D56" s="42" t="s">
        <v>254</v>
      </c>
      <c r="E56" s="42" t="s">
        <v>288</v>
      </c>
      <c r="F56" s="42"/>
      <c r="G56" s="11" t="e">
        <f aca="true" t="shared" si="32" ref="G56:M56">G57</f>
        <v>#REF!</v>
      </c>
      <c r="H56" s="11" t="e">
        <f t="shared" si="32"/>
        <v>#REF!</v>
      </c>
      <c r="I56" s="11" t="e">
        <f t="shared" si="32"/>
        <v>#REF!</v>
      </c>
      <c r="J56" s="11" t="e">
        <f t="shared" si="32"/>
        <v>#REF!</v>
      </c>
      <c r="K56" s="11" t="e">
        <f t="shared" si="32"/>
        <v>#REF!</v>
      </c>
      <c r="L56" s="11">
        <f t="shared" si="32"/>
        <v>915.7</v>
      </c>
      <c r="M56" s="11">
        <f t="shared" si="32"/>
        <v>450.9</v>
      </c>
      <c r="N56" s="7">
        <f t="shared" si="3"/>
        <v>49.24101780058971</v>
      </c>
    </row>
    <row r="57" spans="1:14" ht="31.5">
      <c r="A57" s="31" t="s">
        <v>387</v>
      </c>
      <c r="B57" s="42" t="s">
        <v>399</v>
      </c>
      <c r="C57" s="42" t="s">
        <v>283</v>
      </c>
      <c r="D57" s="42" t="s">
        <v>254</v>
      </c>
      <c r="E57" s="42" t="s">
        <v>388</v>
      </c>
      <c r="F57" s="42"/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>
        <f>'Прил.№4 ведомств.'!G563</f>
        <v>915.7</v>
      </c>
      <c r="M57" s="11">
        <f>'Прил.№4 ведомств.'!H563</f>
        <v>450.9</v>
      </c>
      <c r="N57" s="7">
        <f t="shared" si="3"/>
        <v>49.24101780058971</v>
      </c>
    </row>
    <row r="58" spans="1:14" ht="47.25">
      <c r="A58" s="47" t="s">
        <v>300</v>
      </c>
      <c r="B58" s="42" t="s">
        <v>398</v>
      </c>
      <c r="C58" s="42"/>
      <c r="D58" s="42"/>
      <c r="E58" s="42"/>
      <c r="F58" s="42" t="s">
        <v>685</v>
      </c>
      <c r="G58" s="11" t="e">
        <f aca="true" t="shared" si="33" ref="G58:L58">G50</f>
        <v>#REF!</v>
      </c>
      <c r="H58" s="11" t="e">
        <f t="shared" si="33"/>
        <v>#REF!</v>
      </c>
      <c r="I58" s="11" t="e">
        <f t="shared" si="33"/>
        <v>#REF!</v>
      </c>
      <c r="J58" s="11" t="e">
        <f t="shared" si="33"/>
        <v>#REF!</v>
      </c>
      <c r="K58" s="11" t="e">
        <f t="shared" si="33"/>
        <v>#REF!</v>
      </c>
      <c r="L58" s="11">
        <f t="shared" si="33"/>
        <v>1272.3000000000002</v>
      </c>
      <c r="M58" s="11">
        <f aca="true" t="shared" si="34" ref="M58">M50</f>
        <v>652.2</v>
      </c>
      <c r="N58" s="7">
        <f t="shared" si="3"/>
        <v>51.26149493044093</v>
      </c>
    </row>
    <row r="59" spans="1:14" ht="31.5">
      <c r="A59" s="64" t="s">
        <v>691</v>
      </c>
      <c r="B59" s="8" t="s">
        <v>401</v>
      </c>
      <c r="C59" s="8"/>
      <c r="D59" s="8"/>
      <c r="E59" s="8"/>
      <c r="F59" s="8"/>
      <c r="G59" s="68" t="e">
        <f>G60</f>
        <v>#REF!</v>
      </c>
      <c r="H59" s="68" t="e">
        <f aca="true" t="shared" si="35" ref="H59:M63">H60</f>
        <v>#REF!</v>
      </c>
      <c r="I59" s="68" t="e">
        <f t="shared" si="35"/>
        <v>#REF!</v>
      </c>
      <c r="J59" s="68" t="e">
        <f t="shared" si="35"/>
        <v>#REF!</v>
      </c>
      <c r="K59" s="68" t="e">
        <f t="shared" si="35"/>
        <v>#REF!</v>
      </c>
      <c r="L59" s="68">
        <f t="shared" si="35"/>
        <v>250</v>
      </c>
      <c r="M59" s="68">
        <f t="shared" si="35"/>
        <v>158</v>
      </c>
      <c r="N59" s="4">
        <f t="shared" si="3"/>
        <v>63.2</v>
      </c>
    </row>
    <row r="60" spans="1:14" ht="15.75">
      <c r="A60" s="47" t="s">
        <v>282</v>
      </c>
      <c r="B60" s="42" t="s">
        <v>401</v>
      </c>
      <c r="C60" s="42" t="s">
        <v>283</v>
      </c>
      <c r="D60" s="42"/>
      <c r="E60" s="42"/>
      <c r="F60" s="42"/>
      <c r="G60" s="11" t="e">
        <f>G61</f>
        <v>#REF!</v>
      </c>
      <c r="H60" s="11" t="e">
        <f t="shared" si="35"/>
        <v>#REF!</v>
      </c>
      <c r="I60" s="11" t="e">
        <f t="shared" si="35"/>
        <v>#REF!</v>
      </c>
      <c r="J60" s="11" t="e">
        <f t="shared" si="35"/>
        <v>#REF!</v>
      </c>
      <c r="K60" s="11" t="e">
        <f t="shared" si="35"/>
        <v>#REF!</v>
      </c>
      <c r="L60" s="11">
        <f t="shared" si="35"/>
        <v>250</v>
      </c>
      <c r="M60" s="11">
        <f t="shared" si="35"/>
        <v>158</v>
      </c>
      <c r="N60" s="7">
        <f t="shared" si="3"/>
        <v>63.2</v>
      </c>
    </row>
    <row r="61" spans="1:14" ht="21.75" customHeight="1">
      <c r="A61" s="47" t="s">
        <v>291</v>
      </c>
      <c r="B61" s="42" t="s">
        <v>401</v>
      </c>
      <c r="C61" s="42" t="s">
        <v>283</v>
      </c>
      <c r="D61" s="42" t="s">
        <v>254</v>
      </c>
      <c r="E61" s="42"/>
      <c r="F61" s="42"/>
      <c r="G61" s="11" t="e">
        <f>G62</f>
        <v>#REF!</v>
      </c>
      <c r="H61" s="11" t="e">
        <f t="shared" si="35"/>
        <v>#REF!</v>
      </c>
      <c r="I61" s="11" t="e">
        <f t="shared" si="35"/>
        <v>#REF!</v>
      </c>
      <c r="J61" s="11" t="e">
        <f t="shared" si="35"/>
        <v>#REF!</v>
      </c>
      <c r="K61" s="11" t="e">
        <f t="shared" si="35"/>
        <v>#REF!</v>
      </c>
      <c r="L61" s="11">
        <f t="shared" si="35"/>
        <v>250</v>
      </c>
      <c r="M61" s="11">
        <f t="shared" si="35"/>
        <v>158</v>
      </c>
      <c r="N61" s="7">
        <f t="shared" si="3"/>
        <v>63.2</v>
      </c>
    </row>
    <row r="62" spans="1:14" ht="31.5">
      <c r="A62" s="31" t="s">
        <v>196</v>
      </c>
      <c r="B62" s="42" t="s">
        <v>402</v>
      </c>
      <c r="C62" s="42" t="s">
        <v>283</v>
      </c>
      <c r="D62" s="42" t="s">
        <v>254</v>
      </c>
      <c r="E62" s="42"/>
      <c r="F62" s="42"/>
      <c r="G62" s="11" t="e">
        <f>G63</f>
        <v>#REF!</v>
      </c>
      <c r="H62" s="11" t="e">
        <f t="shared" si="35"/>
        <v>#REF!</v>
      </c>
      <c r="I62" s="11" t="e">
        <f t="shared" si="35"/>
        <v>#REF!</v>
      </c>
      <c r="J62" s="11" t="e">
        <f t="shared" si="35"/>
        <v>#REF!</v>
      </c>
      <c r="K62" s="11" t="e">
        <f t="shared" si="35"/>
        <v>#REF!</v>
      </c>
      <c r="L62" s="11">
        <f t="shared" si="35"/>
        <v>250</v>
      </c>
      <c r="M62" s="11">
        <f t="shared" si="35"/>
        <v>158</v>
      </c>
      <c r="N62" s="7">
        <f t="shared" si="3"/>
        <v>63.2</v>
      </c>
    </row>
    <row r="63" spans="1:14" ht="15.75">
      <c r="A63" s="31" t="s">
        <v>287</v>
      </c>
      <c r="B63" s="42" t="s">
        <v>402</v>
      </c>
      <c r="C63" s="42" t="s">
        <v>283</v>
      </c>
      <c r="D63" s="42" t="s">
        <v>254</v>
      </c>
      <c r="E63" s="42" t="s">
        <v>288</v>
      </c>
      <c r="F63" s="42"/>
      <c r="G63" s="11" t="e">
        <f>G64</f>
        <v>#REF!</v>
      </c>
      <c r="H63" s="11" t="e">
        <f t="shared" si="35"/>
        <v>#REF!</v>
      </c>
      <c r="I63" s="11" t="e">
        <f t="shared" si="35"/>
        <v>#REF!</v>
      </c>
      <c r="J63" s="11" t="e">
        <f t="shared" si="35"/>
        <v>#REF!</v>
      </c>
      <c r="K63" s="11" t="e">
        <f t="shared" si="35"/>
        <v>#REF!</v>
      </c>
      <c r="L63" s="11">
        <f t="shared" si="35"/>
        <v>250</v>
      </c>
      <c r="M63" s="11">
        <f t="shared" si="35"/>
        <v>158</v>
      </c>
      <c r="N63" s="7">
        <f t="shared" si="3"/>
        <v>63.2</v>
      </c>
    </row>
    <row r="64" spans="1:14" ht="31.5">
      <c r="A64" s="31" t="s">
        <v>387</v>
      </c>
      <c r="B64" s="42" t="s">
        <v>402</v>
      </c>
      <c r="C64" s="42" t="s">
        <v>283</v>
      </c>
      <c r="D64" s="42" t="s">
        <v>254</v>
      </c>
      <c r="E64" s="42" t="s">
        <v>388</v>
      </c>
      <c r="F64" s="42"/>
      <c r="G64" s="11" t="e">
        <f>#REF!</f>
        <v>#REF!</v>
      </c>
      <c r="H64" s="11" t="e">
        <f>#REF!</f>
        <v>#REF!</v>
      </c>
      <c r="I64" s="11" t="e">
        <f>#REF!</f>
        <v>#REF!</v>
      </c>
      <c r="J64" s="11" t="e">
        <f>#REF!</f>
        <v>#REF!</v>
      </c>
      <c r="K64" s="11" t="e">
        <f>#REF!</f>
        <v>#REF!</v>
      </c>
      <c r="L64" s="11">
        <f>'Прил.№4 ведомств.'!G567</f>
        <v>250</v>
      </c>
      <c r="M64" s="11">
        <f>'Прил.№4 ведомств.'!H567</f>
        <v>158</v>
      </c>
      <c r="N64" s="7">
        <f t="shared" si="3"/>
        <v>63.2</v>
      </c>
    </row>
    <row r="65" spans="1:14" ht="47.25">
      <c r="A65" s="47" t="s">
        <v>300</v>
      </c>
      <c r="B65" s="42" t="s">
        <v>401</v>
      </c>
      <c r="C65" s="42"/>
      <c r="D65" s="42"/>
      <c r="E65" s="42"/>
      <c r="F65" s="42" t="s">
        <v>685</v>
      </c>
      <c r="G65" s="11" t="e">
        <f aca="true" t="shared" si="36" ref="G65:L65">G59</f>
        <v>#REF!</v>
      </c>
      <c r="H65" s="11" t="e">
        <f t="shared" si="36"/>
        <v>#REF!</v>
      </c>
      <c r="I65" s="11" t="e">
        <f t="shared" si="36"/>
        <v>#REF!</v>
      </c>
      <c r="J65" s="11" t="e">
        <f t="shared" si="36"/>
        <v>#REF!</v>
      </c>
      <c r="K65" s="11" t="e">
        <f t="shared" si="36"/>
        <v>#REF!</v>
      </c>
      <c r="L65" s="11">
        <f t="shared" si="36"/>
        <v>250</v>
      </c>
      <c r="M65" s="11">
        <f aca="true" t="shared" si="37" ref="M65">M59</f>
        <v>158</v>
      </c>
      <c r="N65" s="7">
        <f t="shared" si="3"/>
        <v>63.2</v>
      </c>
    </row>
    <row r="66" spans="1:14" ht="47.25">
      <c r="A66" s="64" t="s">
        <v>403</v>
      </c>
      <c r="B66" s="8" t="s">
        <v>404</v>
      </c>
      <c r="C66" s="8"/>
      <c r="D66" s="8"/>
      <c r="E66" s="8"/>
      <c r="F66" s="8"/>
      <c r="G66" s="68" t="e">
        <f>G67</f>
        <v>#REF!</v>
      </c>
      <c r="H66" s="68" t="e">
        <f aca="true" t="shared" si="38" ref="H66:M70">H67</f>
        <v>#REF!</v>
      </c>
      <c r="I66" s="68" t="e">
        <f t="shared" si="38"/>
        <v>#REF!</v>
      </c>
      <c r="J66" s="68" t="e">
        <f t="shared" si="38"/>
        <v>#REF!</v>
      </c>
      <c r="K66" s="68" t="e">
        <f t="shared" si="38"/>
        <v>#REF!</v>
      </c>
      <c r="L66" s="68">
        <f t="shared" si="38"/>
        <v>260</v>
      </c>
      <c r="M66" s="68">
        <f t="shared" si="38"/>
        <v>89.5</v>
      </c>
      <c r="N66" s="4">
        <f t="shared" si="3"/>
        <v>34.42307692307692</v>
      </c>
    </row>
    <row r="67" spans="1:14" ht="15.75">
      <c r="A67" s="47" t="s">
        <v>337</v>
      </c>
      <c r="B67" s="42" t="s">
        <v>404</v>
      </c>
      <c r="C67" s="42" t="s">
        <v>338</v>
      </c>
      <c r="D67" s="42"/>
      <c r="E67" s="42"/>
      <c r="F67" s="42"/>
      <c r="G67" s="11" t="e">
        <f>G68</f>
        <v>#REF!</v>
      </c>
      <c r="H67" s="11" t="e">
        <f t="shared" si="38"/>
        <v>#REF!</v>
      </c>
      <c r="I67" s="11" t="e">
        <f t="shared" si="38"/>
        <v>#REF!</v>
      </c>
      <c r="J67" s="11" t="e">
        <f t="shared" si="38"/>
        <v>#REF!</v>
      </c>
      <c r="K67" s="11" t="e">
        <f t="shared" si="38"/>
        <v>#REF!</v>
      </c>
      <c r="L67" s="11">
        <f t="shared" si="38"/>
        <v>260</v>
      </c>
      <c r="M67" s="11">
        <f t="shared" si="38"/>
        <v>89.5</v>
      </c>
      <c r="N67" s="7">
        <f t="shared" si="3"/>
        <v>34.42307692307692</v>
      </c>
    </row>
    <row r="68" spans="1:14" ht="15.75">
      <c r="A68" s="47" t="s">
        <v>372</v>
      </c>
      <c r="B68" s="42" t="s">
        <v>404</v>
      </c>
      <c r="C68" s="42" t="s">
        <v>338</v>
      </c>
      <c r="D68" s="42" t="s">
        <v>189</v>
      </c>
      <c r="E68" s="42"/>
      <c r="F68" s="42"/>
      <c r="G68" s="11" t="e">
        <f>G69</f>
        <v>#REF!</v>
      </c>
      <c r="H68" s="11" t="e">
        <f t="shared" si="38"/>
        <v>#REF!</v>
      </c>
      <c r="I68" s="11" t="e">
        <f t="shared" si="38"/>
        <v>#REF!</v>
      </c>
      <c r="J68" s="11" t="e">
        <f t="shared" si="38"/>
        <v>#REF!</v>
      </c>
      <c r="K68" s="11" t="e">
        <f t="shared" si="38"/>
        <v>#REF!</v>
      </c>
      <c r="L68" s="11">
        <f t="shared" si="38"/>
        <v>260</v>
      </c>
      <c r="M68" s="11">
        <f t="shared" si="38"/>
        <v>89.5</v>
      </c>
      <c r="N68" s="7">
        <f t="shared" si="3"/>
        <v>34.42307692307692</v>
      </c>
    </row>
    <row r="69" spans="1:14" ht="42.75" customHeight="1">
      <c r="A69" s="31" t="s">
        <v>196</v>
      </c>
      <c r="B69" s="42" t="s">
        <v>405</v>
      </c>
      <c r="C69" s="42" t="s">
        <v>338</v>
      </c>
      <c r="D69" s="42" t="s">
        <v>189</v>
      </c>
      <c r="E69" s="42"/>
      <c r="F69" s="42"/>
      <c r="G69" s="11" t="e">
        <f>G70</f>
        <v>#REF!</v>
      </c>
      <c r="H69" s="11" t="e">
        <f t="shared" si="38"/>
        <v>#REF!</v>
      </c>
      <c r="I69" s="11" t="e">
        <f t="shared" si="38"/>
        <v>#REF!</v>
      </c>
      <c r="J69" s="11" t="e">
        <f t="shared" si="38"/>
        <v>#REF!</v>
      </c>
      <c r="K69" s="11" t="e">
        <f t="shared" si="38"/>
        <v>#REF!</v>
      </c>
      <c r="L69" s="11">
        <f t="shared" si="38"/>
        <v>260</v>
      </c>
      <c r="M69" s="11">
        <f t="shared" si="38"/>
        <v>89.5</v>
      </c>
      <c r="N69" s="7">
        <f t="shared" si="3"/>
        <v>34.42307692307692</v>
      </c>
    </row>
    <row r="70" spans="1:14" ht="31.5">
      <c r="A70" s="31" t="s">
        <v>170</v>
      </c>
      <c r="B70" s="42" t="s">
        <v>405</v>
      </c>
      <c r="C70" s="42" t="s">
        <v>338</v>
      </c>
      <c r="D70" s="42" t="s">
        <v>189</v>
      </c>
      <c r="E70" s="42" t="s">
        <v>171</v>
      </c>
      <c r="F70" s="42"/>
      <c r="G70" s="11" t="e">
        <f>G71</f>
        <v>#REF!</v>
      </c>
      <c r="H70" s="11" t="e">
        <f t="shared" si="38"/>
        <v>#REF!</v>
      </c>
      <c r="I70" s="11" t="e">
        <f t="shared" si="38"/>
        <v>#REF!</v>
      </c>
      <c r="J70" s="11" t="e">
        <f t="shared" si="38"/>
        <v>#REF!</v>
      </c>
      <c r="K70" s="11" t="e">
        <f t="shared" si="38"/>
        <v>#REF!</v>
      </c>
      <c r="L70" s="11">
        <f t="shared" si="38"/>
        <v>260</v>
      </c>
      <c r="M70" s="11">
        <f t="shared" si="38"/>
        <v>89.5</v>
      </c>
      <c r="N70" s="7">
        <f t="shared" si="3"/>
        <v>34.42307692307692</v>
      </c>
    </row>
    <row r="71" spans="1:14" ht="31.5">
      <c r="A71" s="31" t="s">
        <v>172</v>
      </c>
      <c r="B71" s="42" t="s">
        <v>405</v>
      </c>
      <c r="C71" s="42" t="s">
        <v>338</v>
      </c>
      <c r="D71" s="42" t="s">
        <v>189</v>
      </c>
      <c r="E71" s="42" t="s">
        <v>173</v>
      </c>
      <c r="F71" s="42"/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>
        <f>'Прил.№4 ведомств.'!G520</f>
        <v>260</v>
      </c>
      <c r="M71" s="11">
        <f>'Прил.№4 ведомств.'!H520</f>
        <v>89.5</v>
      </c>
      <c r="N71" s="7">
        <f t="shared" si="3"/>
        <v>34.42307692307692</v>
      </c>
    </row>
    <row r="72" spans="1:14" ht="47.25">
      <c r="A72" s="47" t="s">
        <v>300</v>
      </c>
      <c r="B72" s="42" t="s">
        <v>404</v>
      </c>
      <c r="C72" s="42"/>
      <c r="D72" s="42"/>
      <c r="E72" s="42"/>
      <c r="F72" s="42" t="s">
        <v>685</v>
      </c>
      <c r="G72" s="11" t="e">
        <f aca="true" t="shared" si="39" ref="G72:L72">G66</f>
        <v>#REF!</v>
      </c>
      <c r="H72" s="11" t="e">
        <f t="shared" si="39"/>
        <v>#REF!</v>
      </c>
      <c r="I72" s="11" t="e">
        <f t="shared" si="39"/>
        <v>#REF!</v>
      </c>
      <c r="J72" s="11" t="e">
        <f t="shared" si="39"/>
        <v>#REF!</v>
      </c>
      <c r="K72" s="11" t="e">
        <f t="shared" si="39"/>
        <v>#REF!</v>
      </c>
      <c r="L72" s="11">
        <f t="shared" si="39"/>
        <v>260</v>
      </c>
      <c r="M72" s="11">
        <f aca="true" t="shared" si="40" ref="M72">M66</f>
        <v>89.5</v>
      </c>
      <c r="N72" s="7">
        <f t="shared" si="3"/>
        <v>34.42307692307692</v>
      </c>
    </row>
    <row r="73" spans="1:14" ht="47.25">
      <c r="A73" s="43" t="s">
        <v>406</v>
      </c>
      <c r="B73" s="8" t="s">
        <v>407</v>
      </c>
      <c r="C73" s="8"/>
      <c r="D73" s="8"/>
      <c r="E73" s="8"/>
      <c r="F73" s="8"/>
      <c r="G73" s="68" t="e">
        <f>G74</f>
        <v>#REF!</v>
      </c>
      <c r="H73" s="68" t="e">
        <f aca="true" t="shared" si="41" ref="H73:M74">H74</f>
        <v>#REF!</v>
      </c>
      <c r="I73" s="68" t="e">
        <f t="shared" si="41"/>
        <v>#REF!</v>
      </c>
      <c r="J73" s="68" t="e">
        <f t="shared" si="41"/>
        <v>#REF!</v>
      </c>
      <c r="K73" s="68" t="e">
        <f t="shared" si="41"/>
        <v>#REF!</v>
      </c>
      <c r="L73" s="68">
        <f t="shared" si="41"/>
        <v>20</v>
      </c>
      <c r="M73" s="68">
        <f t="shared" si="41"/>
        <v>0</v>
      </c>
      <c r="N73" s="4">
        <f t="shared" si="3"/>
        <v>0</v>
      </c>
    </row>
    <row r="74" spans="1:14" ht="15.75">
      <c r="A74" s="47" t="s">
        <v>271</v>
      </c>
      <c r="B74" s="42" t="s">
        <v>407</v>
      </c>
      <c r="C74" s="42" t="s">
        <v>189</v>
      </c>
      <c r="D74" s="42"/>
      <c r="E74" s="42"/>
      <c r="F74" s="42"/>
      <c r="G74" s="11" t="e">
        <f>G75</f>
        <v>#REF!</v>
      </c>
      <c r="H74" s="11" t="e">
        <f t="shared" si="41"/>
        <v>#REF!</v>
      </c>
      <c r="I74" s="11" t="e">
        <f t="shared" si="41"/>
        <v>#REF!</v>
      </c>
      <c r="J74" s="11" t="e">
        <f t="shared" si="41"/>
        <v>#REF!</v>
      </c>
      <c r="K74" s="11" t="e">
        <f t="shared" si="41"/>
        <v>#REF!</v>
      </c>
      <c r="L74" s="11">
        <f t="shared" si="41"/>
        <v>20</v>
      </c>
      <c r="M74" s="11">
        <f t="shared" si="41"/>
        <v>0</v>
      </c>
      <c r="N74" s="7">
        <f t="shared" si="3"/>
        <v>0</v>
      </c>
    </row>
    <row r="75" spans="1:14" ht="15.75">
      <c r="A75" s="47" t="s">
        <v>276</v>
      </c>
      <c r="B75" s="42" t="s">
        <v>407</v>
      </c>
      <c r="C75" s="42" t="s">
        <v>189</v>
      </c>
      <c r="D75" s="42" t="s">
        <v>277</v>
      </c>
      <c r="E75" s="42"/>
      <c r="F75" s="42"/>
      <c r="G75" s="11" t="e">
        <f aca="true" t="shared" si="42" ref="G75:L75">G76+G94+G85+G89+G81</f>
        <v>#REF!</v>
      </c>
      <c r="H75" s="11" t="e">
        <f t="shared" si="42"/>
        <v>#REF!</v>
      </c>
      <c r="I75" s="11" t="e">
        <f t="shared" si="42"/>
        <v>#REF!</v>
      </c>
      <c r="J75" s="11" t="e">
        <f t="shared" si="42"/>
        <v>#REF!</v>
      </c>
      <c r="K75" s="11" t="e">
        <f t="shared" si="42"/>
        <v>#REF!</v>
      </c>
      <c r="L75" s="11">
        <f t="shared" si="42"/>
        <v>20</v>
      </c>
      <c r="M75" s="11">
        <f aca="true" t="shared" si="43" ref="M75">M76+M94+M85+M89+M81</f>
        <v>0</v>
      </c>
      <c r="N75" s="7">
        <f t="shared" si="3"/>
        <v>0</v>
      </c>
    </row>
    <row r="76" spans="1:14" ht="45" customHeight="1">
      <c r="A76" s="31" t="s">
        <v>196</v>
      </c>
      <c r="B76" s="42" t="s">
        <v>409</v>
      </c>
      <c r="C76" s="42" t="s">
        <v>189</v>
      </c>
      <c r="D76" s="42" t="s">
        <v>277</v>
      </c>
      <c r="E76" s="42"/>
      <c r="F76" s="42"/>
      <c r="G76" s="11" t="e">
        <f aca="true" t="shared" si="44" ref="G76:L76">G79+G77</f>
        <v>#REF!</v>
      </c>
      <c r="H76" s="11" t="e">
        <f t="shared" si="44"/>
        <v>#REF!</v>
      </c>
      <c r="I76" s="11" t="e">
        <f t="shared" si="44"/>
        <v>#REF!</v>
      </c>
      <c r="J76" s="11" t="e">
        <f t="shared" si="44"/>
        <v>#REF!</v>
      </c>
      <c r="K76" s="11" t="e">
        <f t="shared" si="44"/>
        <v>#REF!</v>
      </c>
      <c r="L76" s="11">
        <f t="shared" si="44"/>
        <v>10</v>
      </c>
      <c r="M76" s="11">
        <f aca="true" t="shared" si="45" ref="M76">M79+M77</f>
        <v>0</v>
      </c>
      <c r="N76" s="7">
        <f t="shared" si="3"/>
        <v>0</v>
      </c>
    </row>
    <row r="77" spans="1:14" ht="31.5" customHeight="1" hidden="1">
      <c r="A77" s="31" t="s">
        <v>170</v>
      </c>
      <c r="B77" s="42" t="s">
        <v>407</v>
      </c>
      <c r="C77" s="42" t="s">
        <v>189</v>
      </c>
      <c r="D77" s="42" t="s">
        <v>277</v>
      </c>
      <c r="E77" s="42" t="s">
        <v>171</v>
      </c>
      <c r="F77" s="42"/>
      <c r="G77" s="11">
        <f aca="true" t="shared" si="46" ref="G77:M77">G78</f>
        <v>0</v>
      </c>
      <c r="H77" s="11">
        <f t="shared" si="46"/>
        <v>0</v>
      </c>
      <c r="I77" s="11">
        <f t="shared" si="46"/>
        <v>0</v>
      </c>
      <c r="J77" s="11">
        <f t="shared" si="46"/>
        <v>0</v>
      </c>
      <c r="K77" s="11">
        <f t="shared" si="46"/>
        <v>0</v>
      </c>
      <c r="L77" s="11">
        <f t="shared" si="46"/>
        <v>0</v>
      </c>
      <c r="M77" s="11">
        <f t="shared" si="46"/>
        <v>0</v>
      </c>
      <c r="N77" s="7" t="e">
        <f aca="true" t="shared" si="47" ref="N77:N140">M77/L77*100</f>
        <v>#DIV/0!</v>
      </c>
    </row>
    <row r="78" spans="1:14" ht="31.5" customHeight="1" hidden="1">
      <c r="A78" s="31" t="s">
        <v>172</v>
      </c>
      <c r="B78" s="42" t="s">
        <v>407</v>
      </c>
      <c r="C78" s="42" t="s">
        <v>189</v>
      </c>
      <c r="D78" s="42" t="s">
        <v>277</v>
      </c>
      <c r="E78" s="42" t="s">
        <v>173</v>
      </c>
      <c r="F78" s="42"/>
      <c r="G78" s="11"/>
      <c r="H78" s="11"/>
      <c r="I78" s="11"/>
      <c r="J78" s="11"/>
      <c r="K78" s="11"/>
      <c r="L78" s="11"/>
      <c r="M78" s="11"/>
      <c r="N78" s="7" t="e">
        <f t="shared" si="47"/>
        <v>#DIV/0!</v>
      </c>
    </row>
    <row r="79" spans="1:14" ht="31.5">
      <c r="A79" s="26" t="s">
        <v>311</v>
      </c>
      <c r="B79" s="42" t="s">
        <v>409</v>
      </c>
      <c r="C79" s="42" t="s">
        <v>189</v>
      </c>
      <c r="D79" s="42" t="s">
        <v>277</v>
      </c>
      <c r="E79" s="42" t="s">
        <v>312</v>
      </c>
      <c r="F79" s="42"/>
      <c r="G79" s="11" t="e">
        <f aca="true" t="shared" si="48" ref="G79:M79">G80</f>
        <v>#REF!</v>
      </c>
      <c r="H79" s="11" t="e">
        <f t="shared" si="48"/>
        <v>#REF!</v>
      </c>
      <c r="I79" s="11" t="e">
        <f t="shared" si="48"/>
        <v>#REF!</v>
      </c>
      <c r="J79" s="11" t="e">
        <f t="shared" si="48"/>
        <v>#REF!</v>
      </c>
      <c r="K79" s="11" t="e">
        <f t="shared" si="48"/>
        <v>#REF!</v>
      </c>
      <c r="L79" s="11">
        <f t="shared" si="48"/>
        <v>10</v>
      </c>
      <c r="M79" s="11">
        <f t="shared" si="48"/>
        <v>0</v>
      </c>
      <c r="N79" s="7">
        <f t="shared" si="47"/>
        <v>0</v>
      </c>
    </row>
    <row r="80" spans="1:14" ht="60.75" customHeight="1">
      <c r="A80" s="26" t="s">
        <v>410</v>
      </c>
      <c r="B80" s="42" t="s">
        <v>409</v>
      </c>
      <c r="C80" s="42" t="s">
        <v>189</v>
      </c>
      <c r="D80" s="42" t="s">
        <v>277</v>
      </c>
      <c r="E80" s="42" t="s">
        <v>411</v>
      </c>
      <c r="F80" s="42"/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>
        <f>'Прил.№4 ведомств.'!G291</f>
        <v>10</v>
      </c>
      <c r="M80" s="11">
        <f>'Прил.№4 ведомств.'!H291</f>
        <v>0</v>
      </c>
      <c r="N80" s="7">
        <f t="shared" si="47"/>
        <v>0</v>
      </c>
    </row>
    <row r="81" spans="1:14" ht="47.25">
      <c r="A81" s="26" t="s">
        <v>414</v>
      </c>
      <c r="B81" s="21" t="s">
        <v>415</v>
      </c>
      <c r="C81" s="42" t="s">
        <v>189</v>
      </c>
      <c r="D81" s="42" t="s">
        <v>277</v>
      </c>
      <c r="E81" s="42"/>
      <c r="F81" s="42"/>
      <c r="G81" s="11" t="e">
        <f>G82</f>
        <v>#REF!</v>
      </c>
      <c r="H81" s="11" t="e">
        <f aca="true" t="shared" si="49" ref="H81:M82">H82</f>
        <v>#REF!</v>
      </c>
      <c r="I81" s="11" t="e">
        <f t="shared" si="49"/>
        <v>#REF!</v>
      </c>
      <c r="J81" s="11" t="e">
        <f t="shared" si="49"/>
        <v>#REF!</v>
      </c>
      <c r="K81" s="11" t="e">
        <f t="shared" si="49"/>
        <v>#REF!</v>
      </c>
      <c r="L81" s="11">
        <f t="shared" si="49"/>
        <v>10</v>
      </c>
      <c r="M81" s="11">
        <f t="shared" si="49"/>
        <v>0</v>
      </c>
      <c r="N81" s="7">
        <f t="shared" si="47"/>
        <v>0</v>
      </c>
    </row>
    <row r="82" spans="1:14" ht="15.75">
      <c r="A82" s="26" t="s">
        <v>287</v>
      </c>
      <c r="B82" s="21" t="s">
        <v>415</v>
      </c>
      <c r="C82" s="42" t="s">
        <v>189</v>
      </c>
      <c r="D82" s="42" t="s">
        <v>277</v>
      </c>
      <c r="E82" s="42" t="s">
        <v>288</v>
      </c>
      <c r="F82" s="42"/>
      <c r="G82" s="11" t="e">
        <f>G83</f>
        <v>#REF!</v>
      </c>
      <c r="H82" s="11" t="e">
        <f t="shared" si="49"/>
        <v>#REF!</v>
      </c>
      <c r="I82" s="11" t="e">
        <f t="shared" si="49"/>
        <v>#REF!</v>
      </c>
      <c r="J82" s="11" t="e">
        <f t="shared" si="49"/>
        <v>#REF!</v>
      </c>
      <c r="K82" s="11" t="e">
        <f t="shared" si="49"/>
        <v>#REF!</v>
      </c>
      <c r="L82" s="11">
        <f t="shared" si="49"/>
        <v>10</v>
      </c>
      <c r="M82" s="11">
        <f t="shared" si="49"/>
        <v>0</v>
      </c>
      <c r="N82" s="7">
        <f t="shared" si="47"/>
        <v>0</v>
      </c>
    </row>
    <row r="83" spans="1:14" ht="31.5">
      <c r="A83" s="26" t="s">
        <v>289</v>
      </c>
      <c r="B83" s="21" t="s">
        <v>415</v>
      </c>
      <c r="C83" s="42" t="s">
        <v>189</v>
      </c>
      <c r="D83" s="42" t="s">
        <v>277</v>
      </c>
      <c r="E83" s="42" t="s">
        <v>290</v>
      </c>
      <c r="F83" s="42"/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>
        <f>'Прил.№4 ведомств.'!G294</f>
        <v>10</v>
      </c>
      <c r="M83" s="11">
        <f>'Прил.№4 ведомств.'!H294</f>
        <v>0</v>
      </c>
      <c r="N83" s="7">
        <f t="shared" si="47"/>
        <v>0</v>
      </c>
    </row>
    <row r="84" spans="1:14" ht="47.25">
      <c r="A84" s="47" t="s">
        <v>300</v>
      </c>
      <c r="B84" s="21" t="s">
        <v>407</v>
      </c>
      <c r="C84" s="42"/>
      <c r="D84" s="42"/>
      <c r="E84" s="42"/>
      <c r="F84" s="10" t="s">
        <v>685</v>
      </c>
      <c r="G84" s="11" t="e">
        <f aca="true" t="shared" si="50" ref="G84:L84">G73</f>
        <v>#REF!</v>
      </c>
      <c r="H84" s="11" t="e">
        <f t="shared" si="50"/>
        <v>#REF!</v>
      </c>
      <c r="I84" s="11" t="e">
        <f t="shared" si="50"/>
        <v>#REF!</v>
      </c>
      <c r="J84" s="11" t="e">
        <f t="shared" si="50"/>
        <v>#REF!</v>
      </c>
      <c r="K84" s="11" t="e">
        <f t="shared" si="50"/>
        <v>#REF!</v>
      </c>
      <c r="L84" s="11">
        <f t="shared" si="50"/>
        <v>20</v>
      </c>
      <c r="M84" s="11">
        <f aca="true" t="shared" si="51" ref="M84">M73</f>
        <v>0</v>
      </c>
      <c r="N84" s="7">
        <f t="shared" si="47"/>
        <v>0</v>
      </c>
    </row>
    <row r="85" spans="1:14" ht="110.25" customHeight="1" hidden="1">
      <c r="A85" s="26" t="s">
        <v>412</v>
      </c>
      <c r="B85" s="21" t="s">
        <v>413</v>
      </c>
      <c r="C85" s="42" t="s">
        <v>283</v>
      </c>
      <c r="D85" s="42" t="s">
        <v>254</v>
      </c>
      <c r="E85" s="42"/>
      <c r="F85" s="10"/>
      <c r="G85" s="11">
        <f>G86</f>
        <v>0</v>
      </c>
      <c r="H85" s="11">
        <f aca="true" t="shared" si="52" ref="H85:M86">H86</f>
        <v>0</v>
      </c>
      <c r="I85" s="11">
        <f t="shared" si="52"/>
        <v>0</v>
      </c>
      <c r="J85" s="11">
        <f t="shared" si="52"/>
        <v>0</v>
      </c>
      <c r="K85" s="11">
        <f t="shared" si="52"/>
        <v>0</v>
      </c>
      <c r="L85" s="11">
        <f t="shared" si="52"/>
        <v>0</v>
      </c>
      <c r="M85" s="11">
        <f t="shared" si="52"/>
        <v>0</v>
      </c>
      <c r="N85" s="7" t="e">
        <f t="shared" si="47"/>
        <v>#DIV/0!</v>
      </c>
    </row>
    <row r="86" spans="1:14" ht="15.75" customHeight="1" hidden="1">
      <c r="A86" s="26" t="s">
        <v>174</v>
      </c>
      <c r="B86" s="21" t="s">
        <v>413</v>
      </c>
      <c r="C86" s="42" t="s">
        <v>283</v>
      </c>
      <c r="D86" s="42" t="s">
        <v>254</v>
      </c>
      <c r="E86" s="42" t="s">
        <v>184</v>
      </c>
      <c r="F86" s="10"/>
      <c r="G86" s="11">
        <f>G87</f>
        <v>0</v>
      </c>
      <c r="H86" s="11">
        <f t="shared" si="52"/>
        <v>0</v>
      </c>
      <c r="I86" s="11">
        <f t="shared" si="52"/>
        <v>0</v>
      </c>
      <c r="J86" s="11">
        <f t="shared" si="52"/>
        <v>0</v>
      </c>
      <c r="K86" s="11">
        <f t="shared" si="52"/>
        <v>0</v>
      </c>
      <c r="L86" s="11">
        <f t="shared" si="52"/>
        <v>0</v>
      </c>
      <c r="M86" s="11">
        <f t="shared" si="52"/>
        <v>0</v>
      </c>
      <c r="N86" s="7" t="e">
        <f t="shared" si="47"/>
        <v>#DIV/0!</v>
      </c>
    </row>
    <row r="87" spans="1:14" ht="47.25" customHeight="1" hidden="1">
      <c r="A87" s="26" t="s">
        <v>223</v>
      </c>
      <c r="B87" s="21" t="s">
        <v>413</v>
      </c>
      <c r="C87" s="42" t="s">
        <v>283</v>
      </c>
      <c r="D87" s="42" t="s">
        <v>254</v>
      </c>
      <c r="E87" s="42" t="s">
        <v>199</v>
      </c>
      <c r="F87" s="10"/>
      <c r="G87" s="11"/>
      <c r="H87" s="11"/>
      <c r="I87" s="11"/>
      <c r="J87" s="11"/>
      <c r="K87" s="11"/>
      <c r="L87" s="11"/>
      <c r="M87" s="11"/>
      <c r="N87" s="7" t="e">
        <f t="shared" si="47"/>
        <v>#DIV/0!</v>
      </c>
    </row>
    <row r="88" spans="1:14" ht="47.25" customHeight="1" hidden="1">
      <c r="A88" s="47" t="s">
        <v>300</v>
      </c>
      <c r="B88" s="21" t="s">
        <v>413</v>
      </c>
      <c r="C88" s="42" t="s">
        <v>283</v>
      </c>
      <c r="D88" s="42" t="s">
        <v>254</v>
      </c>
      <c r="E88" s="42"/>
      <c r="F88" s="10" t="s">
        <v>685</v>
      </c>
      <c r="G88" s="11">
        <f aca="true" t="shared" si="53" ref="G88:L88">G87</f>
        <v>0</v>
      </c>
      <c r="H88" s="11">
        <f t="shared" si="53"/>
        <v>0</v>
      </c>
      <c r="I88" s="11">
        <f t="shared" si="53"/>
        <v>0</v>
      </c>
      <c r="J88" s="11">
        <f t="shared" si="53"/>
        <v>0</v>
      </c>
      <c r="K88" s="11">
        <f t="shared" si="53"/>
        <v>0</v>
      </c>
      <c r="L88" s="11">
        <f t="shared" si="53"/>
        <v>0</v>
      </c>
      <c r="M88" s="11">
        <f aca="true" t="shared" si="54" ref="M88">M87</f>
        <v>0</v>
      </c>
      <c r="N88" s="7" t="e">
        <f t="shared" si="47"/>
        <v>#DIV/0!</v>
      </c>
    </row>
    <row r="89" spans="1:14" ht="47.25" customHeight="1" hidden="1">
      <c r="A89" s="26" t="s">
        <v>414</v>
      </c>
      <c r="B89" s="21" t="s">
        <v>415</v>
      </c>
      <c r="C89" s="42" t="s">
        <v>283</v>
      </c>
      <c r="D89" s="42" t="s">
        <v>254</v>
      </c>
      <c r="E89" s="42"/>
      <c r="F89" s="10"/>
      <c r="G89" s="11">
        <f>G90</f>
        <v>0</v>
      </c>
      <c r="H89" s="11">
        <f aca="true" t="shared" si="55" ref="H89:M90">H90</f>
        <v>0</v>
      </c>
      <c r="I89" s="11">
        <f t="shared" si="55"/>
        <v>0</v>
      </c>
      <c r="J89" s="11">
        <f t="shared" si="55"/>
        <v>0</v>
      </c>
      <c r="K89" s="11">
        <f t="shared" si="55"/>
        <v>0</v>
      </c>
      <c r="L89" s="11">
        <f t="shared" si="55"/>
        <v>0</v>
      </c>
      <c r="M89" s="11">
        <f t="shared" si="55"/>
        <v>0</v>
      </c>
      <c r="N89" s="7" t="e">
        <f t="shared" si="47"/>
        <v>#DIV/0!</v>
      </c>
    </row>
    <row r="90" spans="1:14" ht="15.75" customHeight="1" hidden="1">
      <c r="A90" s="31" t="s">
        <v>287</v>
      </c>
      <c r="B90" s="21" t="s">
        <v>415</v>
      </c>
      <c r="C90" s="42" t="s">
        <v>283</v>
      </c>
      <c r="D90" s="42" t="s">
        <v>254</v>
      </c>
      <c r="E90" s="42" t="s">
        <v>288</v>
      </c>
      <c r="F90" s="10"/>
      <c r="G90" s="11">
        <f>G91</f>
        <v>0</v>
      </c>
      <c r="H90" s="11">
        <f t="shared" si="55"/>
        <v>0</v>
      </c>
      <c r="I90" s="11">
        <f t="shared" si="55"/>
        <v>0</v>
      </c>
      <c r="J90" s="11">
        <f t="shared" si="55"/>
        <v>0</v>
      </c>
      <c r="K90" s="11">
        <f t="shared" si="55"/>
        <v>0</v>
      </c>
      <c r="L90" s="11">
        <f t="shared" si="55"/>
        <v>0</v>
      </c>
      <c r="M90" s="11">
        <f t="shared" si="55"/>
        <v>0</v>
      </c>
      <c r="N90" s="7" t="e">
        <f t="shared" si="47"/>
        <v>#DIV/0!</v>
      </c>
    </row>
    <row r="91" spans="1:14" ht="31.5" customHeight="1" hidden="1">
      <c r="A91" s="31" t="s">
        <v>289</v>
      </c>
      <c r="B91" s="21" t="s">
        <v>415</v>
      </c>
      <c r="C91" s="42" t="s">
        <v>283</v>
      </c>
      <c r="D91" s="42" t="s">
        <v>254</v>
      </c>
      <c r="E91" s="42" t="s">
        <v>290</v>
      </c>
      <c r="F91" s="10"/>
      <c r="G91" s="11"/>
      <c r="H91" s="11"/>
      <c r="I91" s="11"/>
      <c r="J91" s="11"/>
      <c r="K91" s="11"/>
      <c r="L91" s="11"/>
      <c r="M91" s="11"/>
      <c r="N91" s="7" t="e">
        <f t="shared" si="47"/>
        <v>#DIV/0!</v>
      </c>
    </row>
    <row r="92" spans="1:14" ht="47.25" customHeight="1" hidden="1">
      <c r="A92" s="47" t="s">
        <v>300</v>
      </c>
      <c r="B92" s="21" t="s">
        <v>415</v>
      </c>
      <c r="C92" s="42" t="s">
        <v>283</v>
      </c>
      <c r="D92" s="42" t="s">
        <v>254</v>
      </c>
      <c r="E92" s="42"/>
      <c r="F92" s="10" t="s">
        <v>685</v>
      </c>
      <c r="G92" s="11">
        <f aca="true" t="shared" si="56" ref="G92:L92">G89</f>
        <v>0</v>
      </c>
      <c r="H92" s="11">
        <f t="shared" si="56"/>
        <v>0</v>
      </c>
      <c r="I92" s="11">
        <f t="shared" si="56"/>
        <v>0</v>
      </c>
      <c r="J92" s="11">
        <f t="shared" si="56"/>
        <v>0</v>
      </c>
      <c r="K92" s="11">
        <f t="shared" si="56"/>
        <v>0</v>
      </c>
      <c r="L92" s="11">
        <f t="shared" si="56"/>
        <v>0</v>
      </c>
      <c r="M92" s="11">
        <f aca="true" t="shared" si="57" ref="M92">M89</f>
        <v>0</v>
      </c>
      <c r="N92" s="7" t="e">
        <f t="shared" si="47"/>
        <v>#DIV/0!</v>
      </c>
    </row>
    <row r="93" spans="1:14" ht="31.5" customHeight="1" hidden="1">
      <c r="A93" s="31" t="s">
        <v>416</v>
      </c>
      <c r="B93" s="21" t="s">
        <v>417</v>
      </c>
      <c r="C93" s="42" t="s">
        <v>283</v>
      </c>
      <c r="D93" s="42" t="s">
        <v>254</v>
      </c>
      <c r="E93" s="42"/>
      <c r="F93" s="42"/>
      <c r="G93" s="11">
        <f>G94</f>
        <v>0</v>
      </c>
      <c r="H93" s="11">
        <f aca="true" t="shared" si="58" ref="H93:M94">H94</f>
        <v>0</v>
      </c>
      <c r="I93" s="11">
        <f t="shared" si="58"/>
        <v>0</v>
      </c>
      <c r="J93" s="11">
        <f t="shared" si="58"/>
        <v>0</v>
      </c>
      <c r="K93" s="11">
        <f t="shared" si="58"/>
        <v>0</v>
      </c>
      <c r="L93" s="11">
        <f t="shared" si="58"/>
        <v>0</v>
      </c>
      <c r="M93" s="11">
        <f t="shared" si="58"/>
        <v>0</v>
      </c>
      <c r="N93" s="7" t="e">
        <f t="shared" si="47"/>
        <v>#DIV/0!</v>
      </c>
    </row>
    <row r="94" spans="1:14" ht="31.5" customHeight="1" hidden="1">
      <c r="A94" s="31" t="s">
        <v>170</v>
      </c>
      <c r="B94" s="21" t="s">
        <v>417</v>
      </c>
      <c r="C94" s="42" t="s">
        <v>283</v>
      </c>
      <c r="D94" s="42" t="s">
        <v>254</v>
      </c>
      <c r="E94" s="42" t="s">
        <v>171</v>
      </c>
      <c r="F94" s="42"/>
      <c r="G94" s="11">
        <f>G95</f>
        <v>0</v>
      </c>
      <c r="H94" s="11">
        <f t="shared" si="58"/>
        <v>0</v>
      </c>
      <c r="I94" s="11">
        <f t="shared" si="58"/>
        <v>0</v>
      </c>
      <c r="J94" s="11">
        <f t="shared" si="58"/>
        <v>0</v>
      </c>
      <c r="K94" s="11">
        <f t="shared" si="58"/>
        <v>0</v>
      </c>
      <c r="L94" s="11">
        <f t="shared" si="58"/>
        <v>0</v>
      </c>
      <c r="M94" s="11">
        <f t="shared" si="58"/>
        <v>0</v>
      </c>
      <c r="N94" s="7" t="e">
        <f t="shared" si="47"/>
        <v>#DIV/0!</v>
      </c>
    </row>
    <row r="95" spans="1:14" ht="31.5" customHeight="1" hidden="1">
      <c r="A95" s="31" t="s">
        <v>172</v>
      </c>
      <c r="B95" s="21" t="s">
        <v>417</v>
      </c>
      <c r="C95" s="42" t="s">
        <v>283</v>
      </c>
      <c r="D95" s="42" t="s">
        <v>254</v>
      </c>
      <c r="E95" s="42" t="s">
        <v>173</v>
      </c>
      <c r="F95" s="42"/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7" t="e">
        <f t="shared" si="47"/>
        <v>#DIV/0!</v>
      </c>
    </row>
    <row r="96" spans="1:14" ht="15.75" customHeight="1" hidden="1">
      <c r="A96" s="31" t="s">
        <v>174</v>
      </c>
      <c r="B96" s="21" t="s">
        <v>417</v>
      </c>
      <c r="C96" s="42" t="s">
        <v>283</v>
      </c>
      <c r="D96" s="42" t="s">
        <v>254</v>
      </c>
      <c r="E96" s="42" t="s">
        <v>184</v>
      </c>
      <c r="F96" s="42"/>
      <c r="G96" s="11"/>
      <c r="H96" s="11"/>
      <c r="I96" s="11"/>
      <c r="J96" s="11"/>
      <c r="K96" s="11"/>
      <c r="L96" s="11"/>
      <c r="M96" s="11"/>
      <c r="N96" s="7" t="e">
        <f t="shared" si="47"/>
        <v>#DIV/0!</v>
      </c>
    </row>
    <row r="97" spans="1:14" ht="47.25" customHeight="1" hidden="1">
      <c r="A97" s="31" t="s">
        <v>223</v>
      </c>
      <c r="B97" s="21" t="s">
        <v>417</v>
      </c>
      <c r="C97" s="42" t="s">
        <v>283</v>
      </c>
      <c r="D97" s="42" t="s">
        <v>254</v>
      </c>
      <c r="E97" s="42" t="s">
        <v>199</v>
      </c>
      <c r="F97" s="42"/>
      <c r="G97" s="11"/>
      <c r="H97" s="11"/>
      <c r="I97" s="11"/>
      <c r="J97" s="11"/>
      <c r="K97" s="11"/>
      <c r="L97" s="11"/>
      <c r="M97" s="11"/>
      <c r="N97" s="7" t="e">
        <f t="shared" si="47"/>
        <v>#DIV/0!</v>
      </c>
    </row>
    <row r="98" spans="1:14" ht="47.25" customHeight="1" hidden="1">
      <c r="A98" s="47" t="s">
        <v>300</v>
      </c>
      <c r="B98" s="21" t="s">
        <v>417</v>
      </c>
      <c r="C98" s="42" t="s">
        <v>283</v>
      </c>
      <c r="D98" s="42" t="s">
        <v>254</v>
      </c>
      <c r="E98" s="42"/>
      <c r="F98" s="10" t="s">
        <v>685</v>
      </c>
      <c r="G98" s="11">
        <f aca="true" t="shared" si="59" ref="G98:L98">G93</f>
        <v>0</v>
      </c>
      <c r="H98" s="11">
        <f t="shared" si="59"/>
        <v>0</v>
      </c>
      <c r="I98" s="11">
        <f t="shared" si="59"/>
        <v>0</v>
      </c>
      <c r="J98" s="11">
        <f t="shared" si="59"/>
        <v>0</v>
      </c>
      <c r="K98" s="11">
        <f t="shared" si="59"/>
        <v>0</v>
      </c>
      <c r="L98" s="11">
        <f t="shared" si="59"/>
        <v>0</v>
      </c>
      <c r="M98" s="11">
        <f aca="true" t="shared" si="60" ref="M98">M93</f>
        <v>0</v>
      </c>
      <c r="N98" s="7" t="e">
        <f t="shared" si="47"/>
        <v>#DIV/0!</v>
      </c>
    </row>
    <row r="99" spans="1:14" ht="94.5">
      <c r="A99" s="43" t="s">
        <v>419</v>
      </c>
      <c r="B99" s="8" t="s">
        <v>420</v>
      </c>
      <c r="C99" s="8"/>
      <c r="D99" s="8"/>
      <c r="E99" s="8"/>
      <c r="F99" s="9"/>
      <c r="G99" s="68" t="e">
        <f>G100</f>
        <v>#REF!</v>
      </c>
      <c r="H99" s="68" t="e">
        <f aca="true" t="shared" si="61" ref="H99:M103">H100</f>
        <v>#REF!</v>
      </c>
      <c r="I99" s="68" t="e">
        <f t="shared" si="61"/>
        <v>#REF!</v>
      </c>
      <c r="J99" s="68" t="e">
        <f t="shared" si="61"/>
        <v>#REF!</v>
      </c>
      <c r="K99" s="68" t="e">
        <f t="shared" si="61"/>
        <v>#REF!</v>
      </c>
      <c r="L99" s="68">
        <f t="shared" si="61"/>
        <v>350</v>
      </c>
      <c r="M99" s="68">
        <f t="shared" si="61"/>
        <v>282.3</v>
      </c>
      <c r="N99" s="4">
        <f t="shared" si="47"/>
        <v>80.65714285714286</v>
      </c>
    </row>
    <row r="100" spans="1:14" ht="15.75">
      <c r="A100" s="47" t="s">
        <v>156</v>
      </c>
      <c r="B100" s="42" t="s">
        <v>420</v>
      </c>
      <c r="C100" s="42" t="s">
        <v>157</v>
      </c>
      <c r="D100" s="42"/>
      <c r="E100" s="42"/>
      <c r="F100" s="10"/>
      <c r="G100" s="11" t="e">
        <f>G101</f>
        <v>#REF!</v>
      </c>
      <c r="H100" s="11" t="e">
        <f t="shared" si="61"/>
        <v>#REF!</v>
      </c>
      <c r="I100" s="11" t="e">
        <f t="shared" si="61"/>
        <v>#REF!</v>
      </c>
      <c r="J100" s="11" t="e">
        <f t="shared" si="61"/>
        <v>#REF!</v>
      </c>
      <c r="K100" s="11" t="e">
        <f t="shared" si="61"/>
        <v>#REF!</v>
      </c>
      <c r="L100" s="11">
        <f t="shared" si="61"/>
        <v>350</v>
      </c>
      <c r="M100" s="11">
        <f t="shared" si="61"/>
        <v>282.3</v>
      </c>
      <c r="N100" s="7">
        <f t="shared" si="47"/>
        <v>80.65714285714286</v>
      </c>
    </row>
    <row r="101" spans="1:14" ht="24.75" customHeight="1">
      <c r="A101" s="47" t="s">
        <v>178</v>
      </c>
      <c r="B101" s="42" t="s">
        <v>420</v>
      </c>
      <c r="C101" s="42" t="s">
        <v>157</v>
      </c>
      <c r="D101" s="42" t="s">
        <v>179</v>
      </c>
      <c r="E101" s="42"/>
      <c r="F101" s="10"/>
      <c r="G101" s="11" t="e">
        <f>G102</f>
        <v>#REF!</v>
      </c>
      <c r="H101" s="11" t="e">
        <f t="shared" si="61"/>
        <v>#REF!</v>
      </c>
      <c r="I101" s="11" t="e">
        <f t="shared" si="61"/>
        <v>#REF!</v>
      </c>
      <c r="J101" s="11" t="e">
        <f t="shared" si="61"/>
        <v>#REF!</v>
      </c>
      <c r="K101" s="11" t="e">
        <f t="shared" si="61"/>
        <v>#REF!</v>
      </c>
      <c r="L101" s="11">
        <f t="shared" si="61"/>
        <v>350</v>
      </c>
      <c r="M101" s="11">
        <f t="shared" si="61"/>
        <v>282.3</v>
      </c>
      <c r="N101" s="7">
        <f t="shared" si="47"/>
        <v>80.65714285714286</v>
      </c>
    </row>
    <row r="102" spans="1:14" ht="31.5">
      <c r="A102" s="31" t="s">
        <v>196</v>
      </c>
      <c r="B102" s="42" t="s">
        <v>421</v>
      </c>
      <c r="C102" s="42" t="s">
        <v>157</v>
      </c>
      <c r="D102" s="42" t="s">
        <v>179</v>
      </c>
      <c r="E102" s="42"/>
      <c r="F102" s="10"/>
      <c r="G102" s="11" t="e">
        <f>G103</f>
        <v>#REF!</v>
      </c>
      <c r="H102" s="11" t="e">
        <f t="shared" si="61"/>
        <v>#REF!</v>
      </c>
      <c r="I102" s="11" t="e">
        <f t="shared" si="61"/>
        <v>#REF!</v>
      </c>
      <c r="J102" s="11" t="e">
        <f t="shared" si="61"/>
        <v>#REF!</v>
      </c>
      <c r="K102" s="11" t="e">
        <f t="shared" si="61"/>
        <v>#REF!</v>
      </c>
      <c r="L102" s="11">
        <f t="shared" si="61"/>
        <v>350</v>
      </c>
      <c r="M102" s="11">
        <f t="shared" si="61"/>
        <v>282.3</v>
      </c>
      <c r="N102" s="7">
        <f t="shared" si="47"/>
        <v>80.65714285714286</v>
      </c>
    </row>
    <row r="103" spans="1:14" ht="31.5">
      <c r="A103" s="31" t="s">
        <v>170</v>
      </c>
      <c r="B103" s="42" t="s">
        <v>421</v>
      </c>
      <c r="C103" s="42" t="s">
        <v>157</v>
      </c>
      <c r="D103" s="42" t="s">
        <v>179</v>
      </c>
      <c r="E103" s="42" t="s">
        <v>171</v>
      </c>
      <c r="F103" s="10"/>
      <c r="G103" s="11" t="e">
        <f>G104</f>
        <v>#REF!</v>
      </c>
      <c r="H103" s="11" t="e">
        <f t="shared" si="61"/>
        <v>#REF!</v>
      </c>
      <c r="I103" s="11" t="e">
        <f t="shared" si="61"/>
        <v>#REF!</v>
      </c>
      <c r="J103" s="11" t="e">
        <f t="shared" si="61"/>
        <v>#REF!</v>
      </c>
      <c r="K103" s="11" t="e">
        <f t="shared" si="61"/>
        <v>#REF!</v>
      </c>
      <c r="L103" s="11">
        <f t="shared" si="61"/>
        <v>350</v>
      </c>
      <c r="M103" s="11">
        <f t="shared" si="61"/>
        <v>282.3</v>
      </c>
      <c r="N103" s="7">
        <f t="shared" si="47"/>
        <v>80.65714285714286</v>
      </c>
    </row>
    <row r="104" spans="1:14" ht="31.5">
      <c r="A104" s="31" t="s">
        <v>172</v>
      </c>
      <c r="B104" s="42" t="s">
        <v>421</v>
      </c>
      <c r="C104" s="42" t="s">
        <v>157</v>
      </c>
      <c r="D104" s="42" t="s">
        <v>179</v>
      </c>
      <c r="E104" s="42" t="s">
        <v>173</v>
      </c>
      <c r="F104" s="10"/>
      <c r="G104" s="11" t="e">
        <f>#REF!</f>
        <v>#REF!</v>
      </c>
      <c r="H104" s="11" t="e">
        <f>#REF!</f>
        <v>#REF!</v>
      </c>
      <c r="I104" s="11" t="e">
        <f>#REF!</f>
        <v>#REF!</v>
      </c>
      <c r="J104" s="11" t="e">
        <f>#REF!</f>
        <v>#REF!</v>
      </c>
      <c r="K104" s="11" t="e">
        <f>#REF!</f>
        <v>#REF!</v>
      </c>
      <c r="L104" s="11">
        <f>'Прил.№4 ведомств.'!G252</f>
        <v>350</v>
      </c>
      <c r="M104" s="11">
        <f>'Прил.№4 ведомств.'!H252</f>
        <v>282.3</v>
      </c>
      <c r="N104" s="7">
        <f t="shared" si="47"/>
        <v>80.65714285714286</v>
      </c>
    </row>
    <row r="105" spans="1:14" ht="47.25">
      <c r="A105" s="47" t="s">
        <v>300</v>
      </c>
      <c r="B105" s="42" t="s">
        <v>420</v>
      </c>
      <c r="C105" s="42"/>
      <c r="D105" s="42"/>
      <c r="E105" s="42"/>
      <c r="F105" s="10" t="s">
        <v>685</v>
      </c>
      <c r="G105" s="11" t="e">
        <f aca="true" t="shared" si="62" ref="G105:L105">G99</f>
        <v>#REF!</v>
      </c>
      <c r="H105" s="11" t="e">
        <f t="shared" si="62"/>
        <v>#REF!</v>
      </c>
      <c r="I105" s="11" t="e">
        <f t="shared" si="62"/>
        <v>#REF!</v>
      </c>
      <c r="J105" s="11" t="e">
        <f t="shared" si="62"/>
        <v>#REF!</v>
      </c>
      <c r="K105" s="11" t="e">
        <f t="shared" si="62"/>
        <v>#REF!</v>
      </c>
      <c r="L105" s="11">
        <f t="shared" si="62"/>
        <v>350</v>
      </c>
      <c r="M105" s="11">
        <f aca="true" t="shared" si="63" ref="M105">M99</f>
        <v>282.3</v>
      </c>
      <c r="N105" s="7">
        <f t="shared" si="47"/>
        <v>80.65714285714286</v>
      </c>
    </row>
    <row r="106" spans="1:14" ht="47.25">
      <c r="A106" s="64" t="s">
        <v>466</v>
      </c>
      <c r="B106" s="8" t="s">
        <v>446</v>
      </c>
      <c r="C106" s="8"/>
      <c r="D106" s="8"/>
      <c r="E106" s="8"/>
      <c r="F106" s="8"/>
      <c r="G106" s="68" t="e">
        <f aca="true" t="shared" si="64" ref="G106:L106">G107+G122+G173+G210+G234</f>
        <v>#REF!</v>
      </c>
      <c r="H106" s="68" t="e">
        <f t="shared" si="64"/>
        <v>#REF!</v>
      </c>
      <c r="I106" s="68" t="e">
        <f t="shared" si="64"/>
        <v>#REF!</v>
      </c>
      <c r="J106" s="68" t="e">
        <f t="shared" si="64"/>
        <v>#REF!</v>
      </c>
      <c r="K106" s="68" t="e">
        <f t="shared" si="64"/>
        <v>#REF!</v>
      </c>
      <c r="L106" s="68">
        <f t="shared" si="64"/>
        <v>94382.5</v>
      </c>
      <c r="M106" s="68">
        <f aca="true" t="shared" si="65" ref="M106">M107+M122+M173+M210+M234</f>
        <v>69398.5</v>
      </c>
      <c r="N106" s="4">
        <f t="shared" si="47"/>
        <v>73.52899107355707</v>
      </c>
    </row>
    <row r="107" spans="1:14" ht="31.5">
      <c r="A107" s="43" t="s">
        <v>447</v>
      </c>
      <c r="B107" s="8" t="s">
        <v>448</v>
      </c>
      <c r="C107" s="8"/>
      <c r="D107" s="8"/>
      <c r="E107" s="8"/>
      <c r="F107" s="8"/>
      <c r="G107" s="68" t="e">
        <f aca="true" t="shared" si="66" ref="G107:M107">G108</f>
        <v>#REF!</v>
      </c>
      <c r="H107" s="68" t="e">
        <f t="shared" si="66"/>
        <v>#REF!</v>
      </c>
      <c r="I107" s="68" t="e">
        <f t="shared" si="66"/>
        <v>#REF!</v>
      </c>
      <c r="J107" s="68" t="e">
        <f t="shared" si="66"/>
        <v>#REF!</v>
      </c>
      <c r="K107" s="68" t="e">
        <f t="shared" si="66"/>
        <v>#REF!</v>
      </c>
      <c r="L107" s="68">
        <f t="shared" si="66"/>
        <v>70551.9</v>
      </c>
      <c r="M107" s="68">
        <f t="shared" si="66"/>
        <v>48889.1</v>
      </c>
      <c r="N107" s="4">
        <f t="shared" si="47"/>
        <v>69.29522805197308</v>
      </c>
    </row>
    <row r="108" spans="1:14" ht="15.75">
      <c r="A108" s="31" t="s">
        <v>302</v>
      </c>
      <c r="B108" s="42" t="s">
        <v>448</v>
      </c>
      <c r="C108" s="42" t="s">
        <v>303</v>
      </c>
      <c r="D108" s="42"/>
      <c r="E108" s="42"/>
      <c r="F108" s="42"/>
      <c r="G108" s="11" t="e">
        <f aca="true" t="shared" si="67" ref="G108:L108">G109+G113+G117</f>
        <v>#REF!</v>
      </c>
      <c r="H108" s="11" t="e">
        <f t="shared" si="67"/>
        <v>#REF!</v>
      </c>
      <c r="I108" s="11" t="e">
        <f t="shared" si="67"/>
        <v>#REF!</v>
      </c>
      <c r="J108" s="11" t="e">
        <f t="shared" si="67"/>
        <v>#REF!</v>
      </c>
      <c r="K108" s="11" t="e">
        <f t="shared" si="67"/>
        <v>#REF!</v>
      </c>
      <c r="L108" s="11">
        <f t="shared" si="67"/>
        <v>70551.9</v>
      </c>
      <c r="M108" s="11">
        <f aca="true" t="shared" si="68" ref="M108">M109+M113+M117</f>
        <v>48889.1</v>
      </c>
      <c r="N108" s="7">
        <f t="shared" si="47"/>
        <v>69.29522805197308</v>
      </c>
    </row>
    <row r="109" spans="1:14" ht="15.75">
      <c r="A109" s="47" t="s">
        <v>444</v>
      </c>
      <c r="B109" s="42" t="s">
        <v>448</v>
      </c>
      <c r="C109" s="42" t="s">
        <v>303</v>
      </c>
      <c r="D109" s="42" t="s">
        <v>157</v>
      </c>
      <c r="E109" s="42"/>
      <c r="F109" s="42"/>
      <c r="G109" s="11" t="e">
        <f>G110</f>
        <v>#REF!</v>
      </c>
      <c r="H109" s="11" t="e">
        <f aca="true" t="shared" si="69" ref="H109:M111">H110</f>
        <v>#REF!</v>
      </c>
      <c r="I109" s="11" t="e">
        <f t="shared" si="69"/>
        <v>#REF!</v>
      </c>
      <c r="J109" s="11" t="e">
        <f t="shared" si="69"/>
        <v>#REF!</v>
      </c>
      <c r="K109" s="11" t="e">
        <f t="shared" si="69"/>
        <v>#REF!</v>
      </c>
      <c r="L109" s="11">
        <f t="shared" si="69"/>
        <v>12145.500000000002</v>
      </c>
      <c r="M109" s="11">
        <f t="shared" si="69"/>
        <v>7974.9</v>
      </c>
      <c r="N109" s="7">
        <f t="shared" si="47"/>
        <v>65.66135605779917</v>
      </c>
    </row>
    <row r="110" spans="1:14" ht="31.5">
      <c r="A110" s="31" t="s">
        <v>449</v>
      </c>
      <c r="B110" s="42" t="s">
        <v>450</v>
      </c>
      <c r="C110" s="42" t="s">
        <v>303</v>
      </c>
      <c r="D110" s="42" t="s">
        <v>157</v>
      </c>
      <c r="E110" s="42"/>
      <c r="F110" s="42"/>
      <c r="G110" s="11" t="e">
        <f>G111</f>
        <v>#REF!</v>
      </c>
      <c r="H110" s="11" t="e">
        <f t="shared" si="69"/>
        <v>#REF!</v>
      </c>
      <c r="I110" s="11" t="e">
        <f t="shared" si="69"/>
        <v>#REF!</v>
      </c>
      <c r="J110" s="11" t="e">
        <f t="shared" si="69"/>
        <v>#REF!</v>
      </c>
      <c r="K110" s="11" t="e">
        <f t="shared" si="69"/>
        <v>#REF!</v>
      </c>
      <c r="L110" s="11">
        <f t="shared" si="69"/>
        <v>12145.500000000002</v>
      </c>
      <c r="M110" s="11">
        <f t="shared" si="69"/>
        <v>7974.9</v>
      </c>
      <c r="N110" s="7">
        <f t="shared" si="47"/>
        <v>65.66135605779917</v>
      </c>
    </row>
    <row r="111" spans="1:14" ht="31.5">
      <c r="A111" s="31" t="s">
        <v>311</v>
      </c>
      <c r="B111" s="42" t="s">
        <v>450</v>
      </c>
      <c r="C111" s="42" t="s">
        <v>303</v>
      </c>
      <c r="D111" s="42" t="s">
        <v>157</v>
      </c>
      <c r="E111" s="42" t="s">
        <v>312</v>
      </c>
      <c r="F111" s="42"/>
      <c r="G111" s="11" t="e">
        <f>G112</f>
        <v>#REF!</v>
      </c>
      <c r="H111" s="11" t="e">
        <f t="shared" si="69"/>
        <v>#REF!</v>
      </c>
      <c r="I111" s="11" t="e">
        <f t="shared" si="69"/>
        <v>#REF!</v>
      </c>
      <c r="J111" s="11" t="e">
        <f t="shared" si="69"/>
        <v>#REF!</v>
      </c>
      <c r="K111" s="11" t="e">
        <f t="shared" si="69"/>
        <v>#REF!</v>
      </c>
      <c r="L111" s="11">
        <f t="shared" si="69"/>
        <v>12145.500000000002</v>
      </c>
      <c r="M111" s="11">
        <f t="shared" si="69"/>
        <v>7974.9</v>
      </c>
      <c r="N111" s="7">
        <f t="shared" si="47"/>
        <v>65.66135605779917</v>
      </c>
    </row>
    <row r="112" spans="1:14" ht="15.75">
      <c r="A112" s="31" t="s">
        <v>313</v>
      </c>
      <c r="B112" s="42" t="s">
        <v>450</v>
      </c>
      <c r="C112" s="42" t="s">
        <v>303</v>
      </c>
      <c r="D112" s="42" t="s">
        <v>157</v>
      </c>
      <c r="E112" s="42" t="s">
        <v>314</v>
      </c>
      <c r="F112" s="42"/>
      <c r="G112" s="7" t="e">
        <f>#REF!</f>
        <v>#REF!</v>
      </c>
      <c r="H112" s="7" t="e">
        <f>#REF!</f>
        <v>#REF!</v>
      </c>
      <c r="I112" s="7" t="e">
        <f>#REF!</f>
        <v>#REF!</v>
      </c>
      <c r="J112" s="7" t="e">
        <f>#REF!</f>
        <v>#REF!</v>
      </c>
      <c r="K112" s="7" t="e">
        <f>#REF!</f>
        <v>#REF!</v>
      </c>
      <c r="L112" s="7">
        <f>'Прил.№4 ведомств.'!G691</f>
        <v>12145.500000000002</v>
      </c>
      <c r="M112" s="7">
        <f>'Прил.№4 ведомств.'!H691</f>
        <v>7974.9</v>
      </c>
      <c r="N112" s="7">
        <f t="shared" si="47"/>
        <v>65.66135605779917</v>
      </c>
    </row>
    <row r="113" spans="1:14" ht="15.75">
      <c r="A113" s="31" t="s">
        <v>465</v>
      </c>
      <c r="B113" s="42" t="s">
        <v>448</v>
      </c>
      <c r="C113" s="42" t="s">
        <v>303</v>
      </c>
      <c r="D113" s="42" t="s">
        <v>252</v>
      </c>
      <c r="E113" s="42"/>
      <c r="F113" s="42"/>
      <c r="G113" s="11" t="e">
        <f>G114</f>
        <v>#REF!</v>
      </c>
      <c r="H113" s="11" t="e">
        <f aca="true" t="shared" si="70" ref="H113:M115">H114</f>
        <v>#REF!</v>
      </c>
      <c r="I113" s="11" t="e">
        <f t="shared" si="70"/>
        <v>#REF!</v>
      </c>
      <c r="J113" s="11" t="e">
        <f t="shared" si="70"/>
        <v>#REF!</v>
      </c>
      <c r="K113" s="11" t="e">
        <f t="shared" si="70"/>
        <v>#REF!</v>
      </c>
      <c r="L113" s="11">
        <f t="shared" si="70"/>
        <v>27637.999999999996</v>
      </c>
      <c r="M113" s="11">
        <f t="shared" si="70"/>
        <v>18675.6</v>
      </c>
      <c r="N113" s="7">
        <f t="shared" si="47"/>
        <v>67.5721832259932</v>
      </c>
    </row>
    <row r="114" spans="1:14" ht="30.75" customHeight="1">
      <c r="A114" s="31" t="s">
        <v>467</v>
      </c>
      <c r="B114" s="42" t="s">
        <v>468</v>
      </c>
      <c r="C114" s="42" t="s">
        <v>303</v>
      </c>
      <c r="D114" s="42" t="s">
        <v>252</v>
      </c>
      <c r="E114" s="42"/>
      <c r="F114" s="42"/>
      <c r="G114" s="11" t="e">
        <f>G115</f>
        <v>#REF!</v>
      </c>
      <c r="H114" s="11" t="e">
        <f t="shared" si="70"/>
        <v>#REF!</v>
      </c>
      <c r="I114" s="11" t="e">
        <f t="shared" si="70"/>
        <v>#REF!</v>
      </c>
      <c r="J114" s="11" t="e">
        <f t="shared" si="70"/>
        <v>#REF!</v>
      </c>
      <c r="K114" s="11" t="e">
        <f t="shared" si="70"/>
        <v>#REF!</v>
      </c>
      <c r="L114" s="11">
        <f t="shared" si="70"/>
        <v>27637.999999999996</v>
      </c>
      <c r="M114" s="11">
        <f t="shared" si="70"/>
        <v>18675.6</v>
      </c>
      <c r="N114" s="7">
        <f t="shared" si="47"/>
        <v>67.5721832259932</v>
      </c>
    </row>
    <row r="115" spans="1:14" ht="37.5" customHeight="1">
      <c r="A115" s="31" t="s">
        <v>311</v>
      </c>
      <c r="B115" s="42" t="s">
        <v>468</v>
      </c>
      <c r="C115" s="42" t="s">
        <v>303</v>
      </c>
      <c r="D115" s="42" t="s">
        <v>252</v>
      </c>
      <c r="E115" s="42" t="s">
        <v>312</v>
      </c>
      <c r="F115" s="42"/>
      <c r="G115" s="11" t="e">
        <f>G116</f>
        <v>#REF!</v>
      </c>
      <c r="H115" s="11" t="e">
        <f t="shared" si="70"/>
        <v>#REF!</v>
      </c>
      <c r="I115" s="11" t="e">
        <f t="shared" si="70"/>
        <v>#REF!</v>
      </c>
      <c r="J115" s="11" t="e">
        <f t="shared" si="70"/>
        <v>#REF!</v>
      </c>
      <c r="K115" s="11" t="e">
        <f t="shared" si="70"/>
        <v>#REF!</v>
      </c>
      <c r="L115" s="11">
        <f t="shared" si="70"/>
        <v>27637.999999999996</v>
      </c>
      <c r="M115" s="11">
        <f t="shared" si="70"/>
        <v>18675.6</v>
      </c>
      <c r="N115" s="7">
        <f t="shared" si="47"/>
        <v>67.5721832259932</v>
      </c>
    </row>
    <row r="116" spans="1:14" ht="15.75">
      <c r="A116" s="31" t="s">
        <v>313</v>
      </c>
      <c r="B116" s="42" t="s">
        <v>468</v>
      </c>
      <c r="C116" s="42" t="s">
        <v>303</v>
      </c>
      <c r="D116" s="42" t="s">
        <v>252</v>
      </c>
      <c r="E116" s="42" t="s">
        <v>314</v>
      </c>
      <c r="F116" s="42"/>
      <c r="G116" s="7" t="e">
        <f>#REF!</f>
        <v>#REF!</v>
      </c>
      <c r="H116" s="7" t="e">
        <f>#REF!</f>
        <v>#REF!</v>
      </c>
      <c r="I116" s="7" t="e">
        <f>#REF!</f>
        <v>#REF!</v>
      </c>
      <c r="J116" s="7" t="e">
        <f>#REF!</f>
        <v>#REF!</v>
      </c>
      <c r="K116" s="7" t="e">
        <f>#REF!</f>
        <v>#REF!</v>
      </c>
      <c r="L116" s="7">
        <f>'Прил.№4 ведомств.'!G750</f>
        <v>27637.999999999996</v>
      </c>
      <c r="M116" s="7">
        <f>'Прил.№4 ведомств.'!H750</f>
        <v>18675.6</v>
      </c>
      <c r="N116" s="7">
        <f t="shared" si="47"/>
        <v>67.5721832259932</v>
      </c>
    </row>
    <row r="117" spans="1:14" ht="15.75">
      <c r="A117" s="31" t="s">
        <v>304</v>
      </c>
      <c r="B117" s="42" t="s">
        <v>448</v>
      </c>
      <c r="C117" s="42" t="s">
        <v>303</v>
      </c>
      <c r="D117" s="42" t="s">
        <v>254</v>
      </c>
      <c r="E117" s="42"/>
      <c r="F117" s="42"/>
      <c r="G117" s="7" t="e">
        <f>G118</f>
        <v>#REF!</v>
      </c>
      <c r="H117" s="7" t="e">
        <f aca="true" t="shared" si="71" ref="H117:M119">H118</f>
        <v>#REF!</v>
      </c>
      <c r="I117" s="7" t="e">
        <f t="shared" si="71"/>
        <v>#REF!</v>
      </c>
      <c r="J117" s="7" t="e">
        <f t="shared" si="71"/>
        <v>#REF!</v>
      </c>
      <c r="K117" s="7" t="e">
        <f t="shared" si="71"/>
        <v>#REF!</v>
      </c>
      <c r="L117" s="7">
        <f t="shared" si="71"/>
        <v>30768.399999999998</v>
      </c>
      <c r="M117" s="7">
        <f t="shared" si="71"/>
        <v>22238.6</v>
      </c>
      <c r="N117" s="7">
        <f t="shared" si="47"/>
        <v>72.27740148984022</v>
      </c>
    </row>
    <row r="118" spans="1:14" ht="47.25">
      <c r="A118" s="31" t="s">
        <v>309</v>
      </c>
      <c r="B118" s="42" t="s">
        <v>469</v>
      </c>
      <c r="C118" s="42" t="s">
        <v>303</v>
      </c>
      <c r="D118" s="42" t="s">
        <v>254</v>
      </c>
      <c r="E118" s="8"/>
      <c r="F118" s="8"/>
      <c r="G118" s="11" t="e">
        <f>G119</f>
        <v>#REF!</v>
      </c>
      <c r="H118" s="11" t="e">
        <f t="shared" si="71"/>
        <v>#REF!</v>
      </c>
      <c r="I118" s="11" t="e">
        <f t="shared" si="71"/>
        <v>#REF!</v>
      </c>
      <c r="J118" s="11" t="e">
        <f t="shared" si="71"/>
        <v>#REF!</v>
      </c>
      <c r="K118" s="11" t="e">
        <f t="shared" si="71"/>
        <v>#REF!</v>
      </c>
      <c r="L118" s="11">
        <f t="shared" si="71"/>
        <v>30768.399999999998</v>
      </c>
      <c r="M118" s="11">
        <f t="shared" si="71"/>
        <v>22238.6</v>
      </c>
      <c r="N118" s="7">
        <f t="shared" si="47"/>
        <v>72.27740148984022</v>
      </c>
    </row>
    <row r="119" spans="1:14" ht="31.5">
      <c r="A119" s="31" t="s">
        <v>311</v>
      </c>
      <c r="B119" s="42" t="s">
        <v>469</v>
      </c>
      <c r="C119" s="42" t="s">
        <v>303</v>
      </c>
      <c r="D119" s="42" t="s">
        <v>254</v>
      </c>
      <c r="E119" s="42" t="s">
        <v>312</v>
      </c>
      <c r="F119" s="42"/>
      <c r="G119" s="11" t="e">
        <f>G120</f>
        <v>#REF!</v>
      </c>
      <c r="H119" s="11" t="e">
        <f t="shared" si="71"/>
        <v>#REF!</v>
      </c>
      <c r="I119" s="11" t="e">
        <f t="shared" si="71"/>
        <v>#REF!</v>
      </c>
      <c r="J119" s="11" t="e">
        <f t="shared" si="71"/>
        <v>#REF!</v>
      </c>
      <c r="K119" s="11" t="e">
        <f t="shared" si="71"/>
        <v>#REF!</v>
      </c>
      <c r="L119" s="11">
        <f t="shared" si="71"/>
        <v>30768.399999999998</v>
      </c>
      <c r="M119" s="11">
        <f t="shared" si="71"/>
        <v>22238.6</v>
      </c>
      <c r="N119" s="7">
        <f t="shared" si="47"/>
        <v>72.27740148984022</v>
      </c>
    </row>
    <row r="120" spans="1:14" ht="15.75">
      <c r="A120" s="31" t="s">
        <v>313</v>
      </c>
      <c r="B120" s="42" t="s">
        <v>469</v>
      </c>
      <c r="C120" s="42" t="s">
        <v>303</v>
      </c>
      <c r="D120" s="42" t="s">
        <v>254</v>
      </c>
      <c r="E120" s="42" t="s">
        <v>314</v>
      </c>
      <c r="F120" s="42"/>
      <c r="G120" s="7" t="e">
        <f>#REF!</f>
        <v>#REF!</v>
      </c>
      <c r="H120" s="7" t="e">
        <f>#REF!</f>
        <v>#REF!</v>
      </c>
      <c r="I120" s="7" t="e">
        <f>#REF!</f>
        <v>#REF!</v>
      </c>
      <c r="J120" s="7" t="e">
        <f>#REF!</f>
        <v>#REF!</v>
      </c>
      <c r="K120" s="7" t="e">
        <f>#REF!</f>
        <v>#REF!</v>
      </c>
      <c r="L120" s="7">
        <f>'Прил.№4 ведомств.'!G830</f>
        <v>30768.399999999998</v>
      </c>
      <c r="M120" s="7">
        <f>'Прил.№4 ведомств.'!H830</f>
        <v>22238.6</v>
      </c>
      <c r="N120" s="7">
        <f t="shared" si="47"/>
        <v>72.27740148984022</v>
      </c>
    </row>
    <row r="121" spans="1:14" ht="31.5">
      <c r="A121" s="31" t="s">
        <v>443</v>
      </c>
      <c r="B121" s="42" t="s">
        <v>448</v>
      </c>
      <c r="C121" s="42"/>
      <c r="D121" s="42"/>
      <c r="E121" s="42"/>
      <c r="F121" s="42" t="s">
        <v>694</v>
      </c>
      <c r="G121" s="7" t="e">
        <f aca="true" t="shared" si="72" ref="G121:L121">G107</f>
        <v>#REF!</v>
      </c>
      <c r="H121" s="7" t="e">
        <f t="shared" si="72"/>
        <v>#REF!</v>
      </c>
      <c r="I121" s="7" t="e">
        <f t="shared" si="72"/>
        <v>#REF!</v>
      </c>
      <c r="J121" s="7" t="e">
        <f t="shared" si="72"/>
        <v>#REF!</v>
      </c>
      <c r="K121" s="7" t="e">
        <f t="shared" si="72"/>
        <v>#REF!</v>
      </c>
      <c r="L121" s="7">
        <f t="shared" si="72"/>
        <v>70551.9</v>
      </c>
      <c r="M121" s="7">
        <f aca="true" t="shared" si="73" ref="M121">M107</f>
        <v>48889.1</v>
      </c>
      <c r="N121" s="7">
        <f t="shared" si="47"/>
        <v>69.29522805197308</v>
      </c>
    </row>
    <row r="122" spans="1:14" ht="31.5">
      <c r="A122" s="43" t="s">
        <v>451</v>
      </c>
      <c r="B122" s="8" t="s">
        <v>452</v>
      </c>
      <c r="C122" s="8"/>
      <c r="D122" s="8"/>
      <c r="E122" s="8"/>
      <c r="F122" s="8"/>
      <c r="G122" s="68" t="e">
        <f aca="true" t="shared" si="74" ref="G122:M123">G123</f>
        <v>#REF!</v>
      </c>
      <c r="H122" s="68" t="e">
        <f t="shared" si="74"/>
        <v>#REF!</v>
      </c>
      <c r="I122" s="68" t="e">
        <f t="shared" si="74"/>
        <v>#REF!</v>
      </c>
      <c r="J122" s="68" t="e">
        <f t="shared" si="74"/>
        <v>#REF!</v>
      </c>
      <c r="K122" s="68" t="e">
        <f t="shared" si="74"/>
        <v>#REF!</v>
      </c>
      <c r="L122" s="68">
        <f t="shared" si="74"/>
        <v>10147.500000000002</v>
      </c>
      <c r="M122" s="68">
        <f t="shared" si="74"/>
        <v>8592.6</v>
      </c>
      <c r="N122" s="4">
        <f t="shared" si="47"/>
        <v>84.6770140428677</v>
      </c>
    </row>
    <row r="123" spans="1:14" ht="15.75">
      <c r="A123" s="31" t="s">
        <v>302</v>
      </c>
      <c r="B123" s="42" t="s">
        <v>452</v>
      </c>
      <c r="C123" s="42" t="s">
        <v>303</v>
      </c>
      <c r="D123" s="42"/>
      <c r="E123" s="42"/>
      <c r="F123" s="42"/>
      <c r="G123" s="11" t="e">
        <f t="shared" si="74"/>
        <v>#REF!</v>
      </c>
      <c r="H123" s="11" t="e">
        <f t="shared" si="74"/>
        <v>#REF!</v>
      </c>
      <c r="I123" s="11" t="e">
        <f t="shared" si="74"/>
        <v>#REF!</v>
      </c>
      <c r="J123" s="11" t="e">
        <f t="shared" si="74"/>
        <v>#REF!</v>
      </c>
      <c r="K123" s="11" t="e">
        <f t="shared" si="74"/>
        <v>#REF!</v>
      </c>
      <c r="L123" s="11">
        <f t="shared" si="74"/>
        <v>10147.500000000002</v>
      </c>
      <c r="M123" s="11">
        <f t="shared" si="74"/>
        <v>8592.6</v>
      </c>
      <c r="N123" s="7">
        <f t="shared" si="47"/>
        <v>84.6770140428677</v>
      </c>
    </row>
    <row r="124" spans="1:14" ht="15.75">
      <c r="A124" s="47" t="s">
        <v>444</v>
      </c>
      <c r="B124" s="42" t="s">
        <v>452</v>
      </c>
      <c r="C124" s="42" t="s">
        <v>303</v>
      </c>
      <c r="D124" s="42" t="s">
        <v>157</v>
      </c>
      <c r="E124" s="42"/>
      <c r="F124" s="42"/>
      <c r="G124" s="11" t="e">
        <f>G135+G133+G129+G138+G141+G144</f>
        <v>#REF!</v>
      </c>
      <c r="H124" s="11" t="e">
        <f>H135+H133+H129+H138+H141+H144</f>
        <v>#REF!</v>
      </c>
      <c r="I124" s="11" t="e">
        <f>I135+I133+I129+I138+I141+I144</f>
        <v>#REF!</v>
      </c>
      <c r="J124" s="11" t="e">
        <f>J135+J133+J129+J138+J141+J144</f>
        <v>#REF!</v>
      </c>
      <c r="K124" s="11" t="e">
        <f>K135+K133+K129+K138+K141+K144</f>
        <v>#REF!</v>
      </c>
      <c r="L124" s="11">
        <f>L135+L133+L129+L138+L141+L144+L147</f>
        <v>10147.500000000002</v>
      </c>
      <c r="M124" s="11">
        <f aca="true" t="shared" si="75" ref="M124">M135+M133+M129+M138+M141+M144+M147</f>
        <v>8592.6</v>
      </c>
      <c r="N124" s="7">
        <f t="shared" si="47"/>
        <v>84.6770140428677</v>
      </c>
    </row>
    <row r="125" spans="1:14" ht="57.75" customHeight="1" hidden="1">
      <c r="A125" s="31" t="s">
        <v>644</v>
      </c>
      <c r="B125" s="42" t="s">
        <v>645</v>
      </c>
      <c r="C125" s="42" t="s">
        <v>303</v>
      </c>
      <c r="D125" s="42" t="s">
        <v>157</v>
      </c>
      <c r="E125" s="42"/>
      <c r="F125" s="42"/>
      <c r="G125" s="11">
        <f>G126</f>
        <v>0</v>
      </c>
      <c r="H125" s="11">
        <f aca="true" t="shared" si="76" ref="H125:M126">H126</f>
        <v>0</v>
      </c>
      <c r="I125" s="11">
        <f t="shared" si="76"/>
        <v>0</v>
      </c>
      <c r="J125" s="11">
        <f t="shared" si="76"/>
        <v>0</v>
      </c>
      <c r="K125" s="11">
        <f t="shared" si="76"/>
        <v>0</v>
      </c>
      <c r="L125" s="11">
        <f t="shared" si="76"/>
        <v>0</v>
      </c>
      <c r="M125" s="11">
        <f t="shared" si="76"/>
        <v>0</v>
      </c>
      <c r="N125" s="7" t="e">
        <f t="shared" si="47"/>
        <v>#DIV/0!</v>
      </c>
    </row>
    <row r="126" spans="1:14" ht="31.5" customHeight="1" hidden="1">
      <c r="A126" s="31" t="s">
        <v>311</v>
      </c>
      <c r="B126" s="42" t="s">
        <v>645</v>
      </c>
      <c r="C126" s="42" t="s">
        <v>303</v>
      </c>
      <c r="D126" s="42" t="s">
        <v>157</v>
      </c>
      <c r="E126" s="42" t="s">
        <v>312</v>
      </c>
      <c r="F126" s="42"/>
      <c r="G126" s="11">
        <f>G127</f>
        <v>0</v>
      </c>
      <c r="H126" s="11">
        <f t="shared" si="76"/>
        <v>0</v>
      </c>
      <c r="I126" s="11">
        <f t="shared" si="76"/>
        <v>0</v>
      </c>
      <c r="J126" s="11">
        <f t="shared" si="76"/>
        <v>0</v>
      </c>
      <c r="K126" s="11">
        <f t="shared" si="76"/>
        <v>0</v>
      </c>
      <c r="L126" s="11">
        <f t="shared" si="76"/>
        <v>0</v>
      </c>
      <c r="M126" s="11">
        <f t="shared" si="76"/>
        <v>0</v>
      </c>
      <c r="N126" s="7" t="e">
        <f t="shared" si="47"/>
        <v>#DIV/0!</v>
      </c>
    </row>
    <row r="127" spans="1:14" ht="15.75" customHeight="1" hidden="1">
      <c r="A127" s="31" t="s">
        <v>313</v>
      </c>
      <c r="B127" s="42" t="s">
        <v>645</v>
      </c>
      <c r="C127" s="42" t="s">
        <v>303</v>
      </c>
      <c r="D127" s="42" t="s">
        <v>157</v>
      </c>
      <c r="E127" s="42" t="s">
        <v>314</v>
      </c>
      <c r="F127" s="42"/>
      <c r="G127" s="11"/>
      <c r="H127" s="11"/>
      <c r="I127" s="11"/>
      <c r="J127" s="11"/>
      <c r="K127" s="11"/>
      <c r="L127" s="11"/>
      <c r="M127" s="11"/>
      <c r="N127" s="7" t="e">
        <f t="shared" si="47"/>
        <v>#DIV/0!</v>
      </c>
    </row>
    <row r="128" spans="1:14" ht="31.5" customHeight="1" hidden="1">
      <c r="A128" s="31" t="s">
        <v>443</v>
      </c>
      <c r="B128" s="42" t="s">
        <v>645</v>
      </c>
      <c r="C128" s="42" t="s">
        <v>303</v>
      </c>
      <c r="D128" s="42" t="s">
        <v>157</v>
      </c>
      <c r="E128" s="42"/>
      <c r="F128" s="42" t="s">
        <v>694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7" t="e">
        <f t="shared" si="47"/>
        <v>#DIV/0!</v>
      </c>
    </row>
    <row r="129" spans="1:14" ht="31.5">
      <c r="A129" s="31" t="s">
        <v>317</v>
      </c>
      <c r="B129" s="42" t="s">
        <v>453</v>
      </c>
      <c r="C129" s="42" t="s">
        <v>303</v>
      </c>
      <c r="D129" s="42" t="s">
        <v>157</v>
      </c>
      <c r="E129" s="42"/>
      <c r="F129" s="42"/>
      <c r="G129" s="11" t="e">
        <f>G130</f>
        <v>#REF!</v>
      </c>
      <c r="H129" s="11" t="e">
        <f aca="true" t="shared" si="77" ref="H129:M130">H130</f>
        <v>#REF!</v>
      </c>
      <c r="I129" s="11" t="e">
        <f t="shared" si="77"/>
        <v>#REF!</v>
      </c>
      <c r="J129" s="11" t="e">
        <f t="shared" si="77"/>
        <v>#REF!</v>
      </c>
      <c r="K129" s="11" t="e">
        <f t="shared" si="77"/>
        <v>#REF!</v>
      </c>
      <c r="L129" s="11">
        <f t="shared" si="77"/>
        <v>503.8</v>
      </c>
      <c r="M129" s="11">
        <f t="shared" si="77"/>
        <v>303.8</v>
      </c>
      <c r="N129" s="7">
        <f t="shared" si="47"/>
        <v>60.30170702659786</v>
      </c>
    </row>
    <row r="130" spans="1:14" ht="31.5">
      <c r="A130" s="31" t="s">
        <v>311</v>
      </c>
      <c r="B130" s="42" t="s">
        <v>453</v>
      </c>
      <c r="C130" s="42" t="s">
        <v>303</v>
      </c>
      <c r="D130" s="42" t="s">
        <v>157</v>
      </c>
      <c r="E130" s="42" t="s">
        <v>312</v>
      </c>
      <c r="F130" s="42"/>
      <c r="G130" s="11" t="e">
        <f>G131</f>
        <v>#REF!</v>
      </c>
      <c r="H130" s="11" t="e">
        <f t="shared" si="77"/>
        <v>#REF!</v>
      </c>
      <c r="I130" s="11" t="e">
        <f t="shared" si="77"/>
        <v>#REF!</v>
      </c>
      <c r="J130" s="11" t="e">
        <f t="shared" si="77"/>
        <v>#REF!</v>
      </c>
      <c r="K130" s="11" t="e">
        <f t="shared" si="77"/>
        <v>#REF!</v>
      </c>
      <c r="L130" s="11">
        <f t="shared" si="77"/>
        <v>503.8</v>
      </c>
      <c r="M130" s="11">
        <f t="shared" si="77"/>
        <v>303.8</v>
      </c>
      <c r="N130" s="7">
        <f t="shared" si="47"/>
        <v>60.30170702659786</v>
      </c>
    </row>
    <row r="131" spans="1:14" ht="15.75">
      <c r="A131" s="31" t="s">
        <v>313</v>
      </c>
      <c r="B131" s="42" t="s">
        <v>453</v>
      </c>
      <c r="C131" s="42" t="s">
        <v>303</v>
      </c>
      <c r="D131" s="42" t="s">
        <v>157</v>
      </c>
      <c r="E131" s="42" t="s">
        <v>314</v>
      </c>
      <c r="F131" s="42"/>
      <c r="G131" s="11" t="e">
        <f>#REF!</f>
        <v>#REF!</v>
      </c>
      <c r="H131" s="11" t="e">
        <f>#REF!</f>
        <v>#REF!</v>
      </c>
      <c r="I131" s="11" t="e">
        <f>#REF!</f>
        <v>#REF!</v>
      </c>
      <c r="J131" s="11" t="e">
        <f>#REF!</f>
        <v>#REF!</v>
      </c>
      <c r="K131" s="11" t="e">
        <f>#REF!</f>
        <v>#REF!</v>
      </c>
      <c r="L131" s="11">
        <f>'Прил.№4 ведомств.'!G695</f>
        <v>503.8</v>
      </c>
      <c r="M131" s="11">
        <f>'Прил.№4 ведомств.'!H695</f>
        <v>303.8</v>
      </c>
      <c r="N131" s="7">
        <f t="shared" si="47"/>
        <v>60.30170702659786</v>
      </c>
    </row>
    <row r="132" spans="1:14" ht="31.5" customHeight="1">
      <c r="A132" s="31" t="s">
        <v>319</v>
      </c>
      <c r="B132" s="42" t="s">
        <v>454</v>
      </c>
      <c r="C132" s="42" t="s">
        <v>303</v>
      </c>
      <c r="D132" s="42" t="s">
        <v>157</v>
      </c>
      <c r="E132" s="42"/>
      <c r="F132" s="42"/>
      <c r="G132" s="11" t="e">
        <f>G133</f>
        <v>#REF!</v>
      </c>
      <c r="H132" s="11" t="e">
        <f aca="true" t="shared" si="78" ref="H132:M133">H133</f>
        <v>#REF!</v>
      </c>
      <c r="I132" s="11" t="e">
        <f t="shared" si="78"/>
        <v>#REF!</v>
      </c>
      <c r="J132" s="11" t="e">
        <f t="shared" si="78"/>
        <v>#REF!</v>
      </c>
      <c r="K132" s="11" t="e">
        <f t="shared" si="78"/>
        <v>#REF!</v>
      </c>
      <c r="L132" s="11">
        <f t="shared" si="78"/>
        <v>240.8</v>
      </c>
      <c r="M132" s="11">
        <f t="shared" si="78"/>
        <v>240.8</v>
      </c>
      <c r="N132" s="7">
        <f t="shared" si="47"/>
        <v>100</v>
      </c>
    </row>
    <row r="133" spans="1:14" ht="31.5" customHeight="1">
      <c r="A133" s="31" t="s">
        <v>311</v>
      </c>
      <c r="B133" s="42" t="s">
        <v>454</v>
      </c>
      <c r="C133" s="42" t="s">
        <v>303</v>
      </c>
      <c r="D133" s="42" t="s">
        <v>157</v>
      </c>
      <c r="E133" s="42" t="s">
        <v>312</v>
      </c>
      <c r="F133" s="42"/>
      <c r="G133" s="11" t="e">
        <f>G134</f>
        <v>#REF!</v>
      </c>
      <c r="H133" s="11" t="e">
        <f t="shared" si="78"/>
        <v>#REF!</v>
      </c>
      <c r="I133" s="11" t="e">
        <f t="shared" si="78"/>
        <v>#REF!</v>
      </c>
      <c r="J133" s="11" t="e">
        <f t="shared" si="78"/>
        <v>#REF!</v>
      </c>
      <c r="K133" s="11" t="e">
        <f t="shared" si="78"/>
        <v>#REF!</v>
      </c>
      <c r="L133" s="11">
        <f t="shared" si="78"/>
        <v>240.8</v>
      </c>
      <c r="M133" s="11">
        <f t="shared" si="78"/>
        <v>240.8</v>
      </c>
      <c r="N133" s="7">
        <f t="shared" si="47"/>
        <v>100</v>
      </c>
    </row>
    <row r="134" spans="1:14" ht="15.75" customHeight="1">
      <c r="A134" s="31" t="s">
        <v>313</v>
      </c>
      <c r="B134" s="42" t="s">
        <v>454</v>
      </c>
      <c r="C134" s="42" t="s">
        <v>303</v>
      </c>
      <c r="D134" s="42" t="s">
        <v>157</v>
      </c>
      <c r="E134" s="42" t="s">
        <v>314</v>
      </c>
      <c r="F134" s="42"/>
      <c r="G134" s="11" t="e">
        <f>#REF!</f>
        <v>#REF!</v>
      </c>
      <c r="H134" s="11" t="e">
        <f>#REF!</f>
        <v>#REF!</v>
      </c>
      <c r="I134" s="11" t="e">
        <f>#REF!</f>
        <v>#REF!</v>
      </c>
      <c r="J134" s="11" t="e">
        <f>#REF!</f>
        <v>#REF!</v>
      </c>
      <c r="K134" s="11" t="e">
        <f>#REF!</f>
        <v>#REF!</v>
      </c>
      <c r="L134" s="11">
        <f>'Прил.№4 ведомств.'!G698</f>
        <v>240.8</v>
      </c>
      <c r="M134" s="11">
        <f>'Прил.№4 ведомств.'!H698</f>
        <v>240.8</v>
      </c>
      <c r="N134" s="7">
        <f t="shared" si="47"/>
        <v>100</v>
      </c>
    </row>
    <row r="135" spans="1:14" ht="31.5">
      <c r="A135" s="31" t="s">
        <v>455</v>
      </c>
      <c r="B135" s="42" t="s">
        <v>456</v>
      </c>
      <c r="C135" s="42" t="s">
        <v>303</v>
      </c>
      <c r="D135" s="42" t="s">
        <v>157</v>
      </c>
      <c r="E135" s="42"/>
      <c r="F135" s="42"/>
      <c r="G135" s="11" t="e">
        <f>G136</f>
        <v>#REF!</v>
      </c>
      <c r="H135" s="11" t="e">
        <f aca="true" t="shared" si="79" ref="H135:M136">H136</f>
        <v>#REF!</v>
      </c>
      <c r="I135" s="11" t="e">
        <f t="shared" si="79"/>
        <v>#REF!</v>
      </c>
      <c r="J135" s="11" t="e">
        <f t="shared" si="79"/>
        <v>#REF!</v>
      </c>
      <c r="K135" s="11" t="e">
        <f t="shared" si="79"/>
        <v>#REF!</v>
      </c>
      <c r="L135" s="11">
        <f t="shared" si="79"/>
        <v>5168.8</v>
      </c>
      <c r="M135" s="11">
        <f t="shared" si="79"/>
        <v>3940</v>
      </c>
      <c r="N135" s="7">
        <f t="shared" si="47"/>
        <v>76.22659031109735</v>
      </c>
    </row>
    <row r="136" spans="1:14" ht="65.25" customHeight="1">
      <c r="A136" s="31" t="s">
        <v>311</v>
      </c>
      <c r="B136" s="42" t="s">
        <v>456</v>
      </c>
      <c r="C136" s="42" t="s">
        <v>303</v>
      </c>
      <c r="D136" s="42" t="s">
        <v>157</v>
      </c>
      <c r="E136" s="42" t="s">
        <v>312</v>
      </c>
      <c r="F136" s="42"/>
      <c r="G136" s="11" t="e">
        <f>G137</f>
        <v>#REF!</v>
      </c>
      <c r="H136" s="11" t="e">
        <f t="shared" si="79"/>
        <v>#REF!</v>
      </c>
      <c r="I136" s="11" t="e">
        <f t="shared" si="79"/>
        <v>#REF!</v>
      </c>
      <c r="J136" s="11" t="e">
        <f t="shared" si="79"/>
        <v>#REF!</v>
      </c>
      <c r="K136" s="11" t="e">
        <f t="shared" si="79"/>
        <v>#REF!</v>
      </c>
      <c r="L136" s="11">
        <f t="shared" si="79"/>
        <v>5168.8</v>
      </c>
      <c r="M136" s="11">
        <f t="shared" si="79"/>
        <v>3940</v>
      </c>
      <c r="N136" s="7">
        <f t="shared" si="47"/>
        <v>76.22659031109735</v>
      </c>
    </row>
    <row r="137" spans="1:14" ht="15.75">
      <c r="A137" s="31" t="s">
        <v>313</v>
      </c>
      <c r="B137" s="42" t="s">
        <v>456</v>
      </c>
      <c r="C137" s="42" t="s">
        <v>303</v>
      </c>
      <c r="D137" s="42" t="s">
        <v>157</v>
      </c>
      <c r="E137" s="42" t="s">
        <v>314</v>
      </c>
      <c r="F137" s="42"/>
      <c r="G137" s="7" t="e">
        <f>#REF!</f>
        <v>#REF!</v>
      </c>
      <c r="H137" s="7" t="e">
        <f>#REF!</f>
        <v>#REF!</v>
      </c>
      <c r="I137" s="7" t="e">
        <f>#REF!</f>
        <v>#REF!</v>
      </c>
      <c r="J137" s="7" t="e">
        <f>#REF!</f>
        <v>#REF!</v>
      </c>
      <c r="K137" s="7" t="e">
        <f>#REF!</f>
        <v>#REF!</v>
      </c>
      <c r="L137" s="7">
        <f>'Прил.№4 ведомств.'!G701</f>
        <v>5168.8</v>
      </c>
      <c r="M137" s="7">
        <f>'Прил.№4 ведомств.'!H701</f>
        <v>3940</v>
      </c>
      <c r="N137" s="7">
        <f t="shared" si="47"/>
        <v>76.22659031109735</v>
      </c>
    </row>
    <row r="138" spans="1:14" ht="31.5" customHeight="1" hidden="1">
      <c r="A138" s="31" t="s">
        <v>323</v>
      </c>
      <c r="B138" s="42" t="s">
        <v>457</v>
      </c>
      <c r="C138" s="42" t="s">
        <v>303</v>
      </c>
      <c r="D138" s="42" t="s">
        <v>157</v>
      </c>
      <c r="E138" s="42"/>
      <c r="F138" s="42"/>
      <c r="G138" s="11" t="e">
        <f>G139</f>
        <v>#REF!</v>
      </c>
      <c r="H138" s="11" t="e">
        <f aca="true" t="shared" si="80" ref="H138:M139">H139</f>
        <v>#REF!</v>
      </c>
      <c r="I138" s="11" t="e">
        <f t="shared" si="80"/>
        <v>#REF!</v>
      </c>
      <c r="J138" s="11" t="e">
        <f t="shared" si="80"/>
        <v>#REF!</v>
      </c>
      <c r="K138" s="11" t="e">
        <f t="shared" si="80"/>
        <v>#REF!</v>
      </c>
      <c r="L138" s="11">
        <f t="shared" si="80"/>
        <v>0</v>
      </c>
      <c r="M138" s="11">
        <f t="shared" si="80"/>
        <v>0</v>
      </c>
      <c r="N138" s="7" t="e">
        <f t="shared" si="47"/>
        <v>#DIV/0!</v>
      </c>
    </row>
    <row r="139" spans="1:14" ht="31.5" customHeight="1" hidden="1">
      <c r="A139" s="31" t="s">
        <v>311</v>
      </c>
      <c r="B139" s="42" t="s">
        <v>457</v>
      </c>
      <c r="C139" s="42" t="s">
        <v>303</v>
      </c>
      <c r="D139" s="42" t="s">
        <v>157</v>
      </c>
      <c r="E139" s="42" t="s">
        <v>312</v>
      </c>
      <c r="F139" s="42"/>
      <c r="G139" s="11" t="e">
        <f>G140</f>
        <v>#REF!</v>
      </c>
      <c r="H139" s="11" t="e">
        <f t="shared" si="80"/>
        <v>#REF!</v>
      </c>
      <c r="I139" s="11" t="e">
        <f t="shared" si="80"/>
        <v>#REF!</v>
      </c>
      <c r="J139" s="11" t="e">
        <f t="shared" si="80"/>
        <v>#REF!</v>
      </c>
      <c r="K139" s="11" t="e">
        <f t="shared" si="80"/>
        <v>#REF!</v>
      </c>
      <c r="L139" s="11">
        <f t="shared" si="80"/>
        <v>0</v>
      </c>
      <c r="M139" s="11">
        <f t="shared" si="80"/>
        <v>0</v>
      </c>
      <c r="N139" s="7" t="e">
        <f t="shared" si="47"/>
        <v>#DIV/0!</v>
      </c>
    </row>
    <row r="140" spans="1:14" ht="15.75" customHeight="1" hidden="1">
      <c r="A140" s="31" t="s">
        <v>313</v>
      </c>
      <c r="B140" s="42" t="s">
        <v>457</v>
      </c>
      <c r="C140" s="42" t="s">
        <v>303</v>
      </c>
      <c r="D140" s="42" t="s">
        <v>157</v>
      </c>
      <c r="E140" s="42" t="s">
        <v>314</v>
      </c>
      <c r="F140" s="42"/>
      <c r="G140" s="11" t="e">
        <f>#REF!</f>
        <v>#REF!</v>
      </c>
      <c r="H140" s="11" t="e">
        <f>#REF!</f>
        <v>#REF!</v>
      </c>
      <c r="I140" s="11" t="e">
        <f>#REF!</f>
        <v>#REF!</v>
      </c>
      <c r="J140" s="11" t="e">
        <f>#REF!</f>
        <v>#REF!</v>
      </c>
      <c r="K140" s="11" t="e">
        <f>#REF!</f>
        <v>#REF!</v>
      </c>
      <c r="L140" s="11">
        <f>'Прил.№4 ведомств.'!G704</f>
        <v>0</v>
      </c>
      <c r="M140" s="11">
        <f>'Прил.№4 ведомств.'!H704</f>
        <v>0</v>
      </c>
      <c r="N140" s="7" t="e">
        <f t="shared" si="47"/>
        <v>#DIV/0!</v>
      </c>
    </row>
    <row r="141" spans="1:14" ht="31.5">
      <c r="A141" s="70" t="s">
        <v>837</v>
      </c>
      <c r="B141" s="21" t="s">
        <v>840</v>
      </c>
      <c r="C141" s="21" t="s">
        <v>303</v>
      </c>
      <c r="D141" s="21" t="s">
        <v>157</v>
      </c>
      <c r="E141" s="21"/>
      <c r="F141" s="21"/>
      <c r="G141" s="11" t="e">
        <f>G142</f>
        <v>#REF!</v>
      </c>
      <c r="H141" s="11" t="e">
        <f aca="true" t="shared" si="81" ref="H141:M142">H142</f>
        <v>#REF!</v>
      </c>
      <c r="I141" s="11" t="e">
        <f t="shared" si="81"/>
        <v>#REF!</v>
      </c>
      <c r="J141" s="11" t="e">
        <f t="shared" si="81"/>
        <v>#REF!</v>
      </c>
      <c r="K141" s="11" t="e">
        <f t="shared" si="81"/>
        <v>#REF!</v>
      </c>
      <c r="L141" s="11">
        <f t="shared" si="81"/>
        <v>2850</v>
      </c>
      <c r="M141" s="11">
        <f t="shared" si="81"/>
        <v>2735</v>
      </c>
      <c r="N141" s="7">
        <f aca="true" t="shared" si="82" ref="N141:N204">M141/L141*100</f>
        <v>95.96491228070175</v>
      </c>
    </row>
    <row r="142" spans="1:14" ht="31.5">
      <c r="A142" s="31" t="s">
        <v>311</v>
      </c>
      <c r="B142" s="21" t="s">
        <v>840</v>
      </c>
      <c r="C142" s="21" t="s">
        <v>303</v>
      </c>
      <c r="D142" s="21" t="s">
        <v>157</v>
      </c>
      <c r="E142" s="21" t="s">
        <v>312</v>
      </c>
      <c r="F142" s="21"/>
      <c r="G142" s="11" t="e">
        <f>G143</f>
        <v>#REF!</v>
      </c>
      <c r="H142" s="11" t="e">
        <f t="shared" si="81"/>
        <v>#REF!</v>
      </c>
      <c r="I142" s="11" t="e">
        <f t="shared" si="81"/>
        <v>#REF!</v>
      </c>
      <c r="J142" s="11" t="e">
        <f t="shared" si="81"/>
        <v>#REF!</v>
      </c>
      <c r="K142" s="11" t="e">
        <f t="shared" si="81"/>
        <v>#REF!</v>
      </c>
      <c r="L142" s="11">
        <f t="shared" si="81"/>
        <v>2850</v>
      </c>
      <c r="M142" s="11">
        <f t="shared" si="81"/>
        <v>2735</v>
      </c>
      <c r="N142" s="7">
        <f t="shared" si="82"/>
        <v>95.96491228070175</v>
      </c>
    </row>
    <row r="143" spans="1:14" ht="15.75">
      <c r="A143" s="242" t="s">
        <v>313</v>
      </c>
      <c r="B143" s="21" t="s">
        <v>840</v>
      </c>
      <c r="C143" s="21" t="s">
        <v>303</v>
      </c>
      <c r="D143" s="21" t="s">
        <v>157</v>
      </c>
      <c r="E143" s="21" t="s">
        <v>314</v>
      </c>
      <c r="F143" s="21"/>
      <c r="G143" s="11" t="e">
        <f>#REF!</f>
        <v>#REF!</v>
      </c>
      <c r="H143" s="11" t="e">
        <f>#REF!</f>
        <v>#REF!</v>
      </c>
      <c r="I143" s="11" t="e">
        <f>#REF!</f>
        <v>#REF!</v>
      </c>
      <c r="J143" s="11" t="e">
        <f>#REF!</f>
        <v>#REF!</v>
      </c>
      <c r="K143" s="11" t="e">
        <f>#REF!</f>
        <v>#REF!</v>
      </c>
      <c r="L143" s="11">
        <f>'Прил.№4 ведомств.'!G707</f>
        <v>2850</v>
      </c>
      <c r="M143" s="11">
        <f>'Прил.№4 ведомств.'!H707</f>
        <v>2735</v>
      </c>
      <c r="N143" s="7">
        <f t="shared" si="82"/>
        <v>95.96491228070175</v>
      </c>
    </row>
    <row r="144" spans="1:14" ht="47.25">
      <c r="A144" s="70" t="s">
        <v>846</v>
      </c>
      <c r="B144" s="21" t="s">
        <v>841</v>
      </c>
      <c r="C144" s="21" t="s">
        <v>303</v>
      </c>
      <c r="D144" s="21" t="s">
        <v>157</v>
      </c>
      <c r="E144" s="21"/>
      <c r="F144" s="21"/>
      <c r="G144" s="11" t="e">
        <f>G145</f>
        <v>#REF!</v>
      </c>
      <c r="H144" s="11" t="e">
        <f aca="true" t="shared" si="83" ref="H144:M145">H145</f>
        <v>#REF!</v>
      </c>
      <c r="I144" s="11" t="e">
        <f t="shared" si="83"/>
        <v>#REF!</v>
      </c>
      <c r="J144" s="11" t="e">
        <f t="shared" si="83"/>
        <v>#REF!</v>
      </c>
      <c r="K144" s="11" t="e">
        <f t="shared" si="83"/>
        <v>#REF!</v>
      </c>
      <c r="L144" s="11">
        <f t="shared" si="83"/>
        <v>1259.6999999999998</v>
      </c>
      <c r="M144" s="11">
        <f t="shared" si="83"/>
        <v>1248.6</v>
      </c>
      <c r="N144" s="7">
        <f t="shared" si="82"/>
        <v>99.11883781852822</v>
      </c>
    </row>
    <row r="145" spans="1:14" ht="31.5">
      <c r="A145" s="31" t="s">
        <v>311</v>
      </c>
      <c r="B145" s="21" t="s">
        <v>841</v>
      </c>
      <c r="C145" s="21" t="s">
        <v>303</v>
      </c>
      <c r="D145" s="21" t="s">
        <v>157</v>
      </c>
      <c r="E145" s="21" t="s">
        <v>312</v>
      </c>
      <c r="F145" s="21"/>
      <c r="G145" s="11" t="e">
        <f>G146</f>
        <v>#REF!</v>
      </c>
      <c r="H145" s="11" t="e">
        <f t="shared" si="83"/>
        <v>#REF!</v>
      </c>
      <c r="I145" s="11" t="e">
        <f t="shared" si="83"/>
        <v>#REF!</v>
      </c>
      <c r="J145" s="11" t="e">
        <f t="shared" si="83"/>
        <v>#REF!</v>
      </c>
      <c r="K145" s="11" t="e">
        <f t="shared" si="83"/>
        <v>#REF!</v>
      </c>
      <c r="L145" s="11">
        <f t="shared" si="83"/>
        <v>1259.6999999999998</v>
      </c>
      <c r="M145" s="11">
        <f t="shared" si="83"/>
        <v>1248.6</v>
      </c>
      <c r="N145" s="7">
        <f t="shared" si="82"/>
        <v>99.11883781852822</v>
      </c>
    </row>
    <row r="146" spans="1:14" ht="15.75">
      <c r="A146" s="242" t="s">
        <v>313</v>
      </c>
      <c r="B146" s="21" t="s">
        <v>841</v>
      </c>
      <c r="C146" s="21" t="s">
        <v>303</v>
      </c>
      <c r="D146" s="21" t="s">
        <v>157</v>
      </c>
      <c r="E146" s="21" t="s">
        <v>314</v>
      </c>
      <c r="F146" s="21"/>
      <c r="G146" s="11" t="e">
        <f>#REF!</f>
        <v>#REF!</v>
      </c>
      <c r="H146" s="11" t="e">
        <f>#REF!</f>
        <v>#REF!</v>
      </c>
      <c r="I146" s="11" t="e">
        <f>#REF!</f>
        <v>#REF!</v>
      </c>
      <c r="J146" s="11" t="e">
        <f>#REF!</f>
        <v>#REF!</v>
      </c>
      <c r="K146" s="11" t="e">
        <f>#REF!</f>
        <v>#REF!</v>
      </c>
      <c r="L146" s="11">
        <f>'Прил.№4 ведомств.'!G710</f>
        <v>1259.6999999999998</v>
      </c>
      <c r="M146" s="11">
        <f>'Прил.№4 ведомств.'!H710</f>
        <v>1248.6</v>
      </c>
      <c r="N146" s="7">
        <f t="shared" si="82"/>
        <v>99.11883781852822</v>
      </c>
    </row>
    <row r="147" spans="1:14" ht="126">
      <c r="A147" s="26" t="s">
        <v>463</v>
      </c>
      <c r="B147" s="21" t="s">
        <v>978</v>
      </c>
      <c r="C147" s="21" t="s">
        <v>303</v>
      </c>
      <c r="D147" s="21" t="s">
        <v>157</v>
      </c>
      <c r="E147" s="21"/>
      <c r="F147" s="21"/>
      <c r="G147" s="11"/>
      <c r="H147" s="11"/>
      <c r="I147" s="11"/>
      <c r="J147" s="11"/>
      <c r="K147" s="11"/>
      <c r="L147" s="11">
        <f>L148</f>
        <v>124.4</v>
      </c>
      <c r="M147" s="11">
        <f aca="true" t="shared" si="84" ref="M147:M148">M148</f>
        <v>124.4</v>
      </c>
      <c r="N147" s="7">
        <f t="shared" si="82"/>
        <v>100</v>
      </c>
    </row>
    <row r="148" spans="1:14" ht="31.5">
      <c r="A148" s="26" t="s">
        <v>311</v>
      </c>
      <c r="B148" s="21" t="s">
        <v>978</v>
      </c>
      <c r="C148" s="21" t="s">
        <v>303</v>
      </c>
      <c r="D148" s="21" t="s">
        <v>157</v>
      </c>
      <c r="E148" s="21" t="s">
        <v>312</v>
      </c>
      <c r="F148" s="21"/>
      <c r="G148" s="11"/>
      <c r="H148" s="11"/>
      <c r="I148" s="11"/>
      <c r="J148" s="11"/>
      <c r="K148" s="11"/>
      <c r="L148" s="11">
        <f>L149</f>
        <v>124.4</v>
      </c>
      <c r="M148" s="11">
        <f t="shared" si="84"/>
        <v>124.4</v>
      </c>
      <c r="N148" s="7">
        <f t="shared" si="82"/>
        <v>100</v>
      </c>
    </row>
    <row r="149" spans="1:14" ht="15.75">
      <c r="A149" s="26" t="s">
        <v>313</v>
      </c>
      <c r="B149" s="21" t="s">
        <v>978</v>
      </c>
      <c r="C149" s="21" t="s">
        <v>303</v>
      </c>
      <c r="D149" s="21" t="s">
        <v>157</v>
      </c>
      <c r="E149" s="21" t="s">
        <v>314</v>
      </c>
      <c r="F149" s="21"/>
      <c r="G149" s="11"/>
      <c r="H149" s="11"/>
      <c r="I149" s="11"/>
      <c r="J149" s="11"/>
      <c r="K149" s="11"/>
      <c r="L149" s="11">
        <f>'Прил.№4 ведомств.'!G713</f>
        <v>124.4</v>
      </c>
      <c r="M149" s="11">
        <f>'Прил.№4 ведомств.'!H713</f>
        <v>124.4</v>
      </c>
      <c r="N149" s="7">
        <f t="shared" si="82"/>
        <v>100</v>
      </c>
    </row>
    <row r="150" spans="1:14" ht="31.5">
      <c r="A150" s="31" t="s">
        <v>443</v>
      </c>
      <c r="B150" s="42" t="s">
        <v>452</v>
      </c>
      <c r="C150" s="42"/>
      <c r="D150" s="42"/>
      <c r="E150" s="42"/>
      <c r="F150" s="42" t="s">
        <v>694</v>
      </c>
      <c r="G150" s="11" t="e">
        <f aca="true" t="shared" si="85" ref="G150:L150">G122</f>
        <v>#REF!</v>
      </c>
      <c r="H150" s="11" t="e">
        <f t="shared" si="85"/>
        <v>#REF!</v>
      </c>
      <c r="I150" s="11" t="e">
        <f t="shared" si="85"/>
        <v>#REF!</v>
      </c>
      <c r="J150" s="11" t="e">
        <f t="shared" si="85"/>
        <v>#REF!</v>
      </c>
      <c r="K150" s="11" t="e">
        <f t="shared" si="85"/>
        <v>#REF!</v>
      </c>
      <c r="L150" s="11">
        <f t="shared" si="85"/>
        <v>10147.500000000002</v>
      </c>
      <c r="M150" s="11">
        <f aca="true" t="shared" si="86" ref="M150">M122</f>
        <v>8592.6</v>
      </c>
      <c r="N150" s="7">
        <f t="shared" si="82"/>
        <v>84.6770140428677</v>
      </c>
    </row>
    <row r="151" spans="1:14" ht="31.5">
      <c r="A151" s="43" t="s">
        <v>470</v>
      </c>
      <c r="B151" s="8" t="s">
        <v>471</v>
      </c>
      <c r="C151" s="8"/>
      <c r="D151" s="8"/>
      <c r="E151" s="8"/>
      <c r="F151" s="8"/>
      <c r="G151" s="4" t="e">
        <f aca="true" t="shared" si="87" ref="G151:L151">G172</f>
        <v>#REF!</v>
      </c>
      <c r="H151" s="4" t="e">
        <f t="shared" si="87"/>
        <v>#REF!</v>
      </c>
      <c r="I151" s="4" t="e">
        <f t="shared" si="87"/>
        <v>#REF!</v>
      </c>
      <c r="J151" s="4" t="e">
        <f t="shared" si="87"/>
        <v>#REF!</v>
      </c>
      <c r="K151" s="4" t="e">
        <f t="shared" si="87"/>
        <v>#REF!</v>
      </c>
      <c r="L151" s="4">
        <f t="shared" si="87"/>
        <v>9410.1</v>
      </c>
      <c r="M151" s="4">
        <f aca="true" t="shared" si="88" ref="M151">M172</f>
        <v>7643.8</v>
      </c>
      <c r="N151" s="4">
        <f t="shared" si="82"/>
        <v>81.22974251070659</v>
      </c>
    </row>
    <row r="152" spans="1:14" ht="70.5" customHeight="1" hidden="1">
      <c r="A152" s="31" t="s">
        <v>644</v>
      </c>
      <c r="B152" s="42" t="s">
        <v>650</v>
      </c>
      <c r="C152" s="42" t="s">
        <v>303</v>
      </c>
      <c r="D152" s="42" t="s">
        <v>252</v>
      </c>
      <c r="E152" s="42"/>
      <c r="F152" s="42"/>
      <c r="G152" s="11">
        <f aca="true" t="shared" si="89" ref="G152:M152">G153</f>
        <v>0</v>
      </c>
      <c r="H152" s="11">
        <f t="shared" si="89"/>
        <v>0</v>
      </c>
      <c r="I152" s="11">
        <f t="shared" si="89"/>
        <v>0</v>
      </c>
      <c r="J152" s="11">
        <f t="shared" si="89"/>
        <v>0</v>
      </c>
      <c r="K152" s="11">
        <f t="shared" si="89"/>
        <v>0</v>
      </c>
      <c r="L152" s="11">
        <f t="shared" si="89"/>
        <v>0</v>
      </c>
      <c r="M152" s="11">
        <f t="shared" si="89"/>
        <v>0</v>
      </c>
      <c r="N152" s="7" t="e">
        <f t="shared" si="82"/>
        <v>#DIV/0!</v>
      </c>
    </row>
    <row r="153" spans="1:14" ht="31.5" customHeight="1" hidden="1">
      <c r="A153" s="31" t="s">
        <v>311</v>
      </c>
      <c r="B153" s="42" t="s">
        <v>650</v>
      </c>
      <c r="C153" s="42" t="s">
        <v>303</v>
      </c>
      <c r="D153" s="42" t="s">
        <v>252</v>
      </c>
      <c r="E153" s="42" t="s">
        <v>312</v>
      </c>
      <c r="F153" s="42"/>
      <c r="G153" s="11">
        <f aca="true" t="shared" si="90" ref="G153:L153">G155</f>
        <v>0</v>
      </c>
      <c r="H153" s="11">
        <f t="shared" si="90"/>
        <v>0</v>
      </c>
      <c r="I153" s="11">
        <f t="shared" si="90"/>
        <v>0</v>
      </c>
      <c r="J153" s="11">
        <f t="shared" si="90"/>
        <v>0</v>
      </c>
      <c r="K153" s="11">
        <f t="shared" si="90"/>
        <v>0</v>
      </c>
      <c r="L153" s="11">
        <f t="shared" si="90"/>
        <v>0</v>
      </c>
      <c r="M153" s="11">
        <f aca="true" t="shared" si="91" ref="M153">M155</f>
        <v>0</v>
      </c>
      <c r="N153" s="7" t="e">
        <f t="shared" si="82"/>
        <v>#DIV/0!</v>
      </c>
    </row>
    <row r="154" spans="1:14" ht="18.75" customHeight="1" hidden="1">
      <c r="A154" s="31" t="s">
        <v>313</v>
      </c>
      <c r="B154" s="42" t="s">
        <v>650</v>
      </c>
      <c r="C154" s="42" t="s">
        <v>303</v>
      </c>
      <c r="D154" s="42" t="s">
        <v>252</v>
      </c>
      <c r="E154" s="42" t="s">
        <v>314</v>
      </c>
      <c r="F154" s="42"/>
      <c r="G154" s="11"/>
      <c r="H154" s="11"/>
      <c r="I154" s="11"/>
      <c r="J154" s="11"/>
      <c r="K154" s="11"/>
      <c r="L154" s="11"/>
      <c r="M154" s="11"/>
      <c r="N154" s="7" t="e">
        <f t="shared" si="82"/>
        <v>#DIV/0!</v>
      </c>
    </row>
    <row r="155" spans="1:14" ht="31.5" customHeight="1" hidden="1">
      <c r="A155" s="31" t="s">
        <v>443</v>
      </c>
      <c r="B155" s="42" t="s">
        <v>650</v>
      </c>
      <c r="C155" s="42" t="s">
        <v>303</v>
      </c>
      <c r="D155" s="42" t="s">
        <v>252</v>
      </c>
      <c r="E155" s="42"/>
      <c r="F155" s="42" t="s">
        <v>694</v>
      </c>
      <c r="G155" s="11"/>
      <c r="H155" s="11"/>
      <c r="I155" s="11"/>
      <c r="J155" s="11"/>
      <c r="K155" s="11"/>
      <c r="L155" s="11"/>
      <c r="M155" s="11"/>
      <c r="N155" s="7" t="e">
        <f t="shared" si="82"/>
        <v>#DIV/0!</v>
      </c>
    </row>
    <row r="156" spans="1:14" ht="47.25" customHeight="1" hidden="1">
      <c r="A156" s="26" t="s">
        <v>472</v>
      </c>
      <c r="B156" s="42" t="s">
        <v>473</v>
      </c>
      <c r="C156" s="42" t="s">
        <v>303</v>
      </c>
      <c r="D156" s="42" t="s">
        <v>252</v>
      </c>
      <c r="E156" s="42"/>
      <c r="F156" s="42"/>
      <c r="G156" s="11">
        <f>G157</f>
        <v>0</v>
      </c>
      <c r="H156" s="11">
        <f aca="true" t="shared" si="92" ref="H156:M157">H157</f>
        <v>0</v>
      </c>
      <c r="I156" s="11">
        <f t="shared" si="92"/>
        <v>0</v>
      </c>
      <c r="J156" s="11">
        <f t="shared" si="92"/>
        <v>0</v>
      </c>
      <c r="K156" s="11">
        <f t="shared" si="92"/>
        <v>0</v>
      </c>
      <c r="L156" s="11">
        <f t="shared" si="92"/>
        <v>0</v>
      </c>
      <c r="M156" s="11">
        <f t="shared" si="92"/>
        <v>0</v>
      </c>
      <c r="N156" s="7" t="e">
        <f t="shared" si="82"/>
        <v>#DIV/0!</v>
      </c>
    </row>
    <row r="157" spans="1:14" ht="31.5" customHeight="1" hidden="1">
      <c r="A157" s="31" t="s">
        <v>311</v>
      </c>
      <c r="B157" s="42" t="s">
        <v>473</v>
      </c>
      <c r="C157" s="42" t="s">
        <v>303</v>
      </c>
      <c r="D157" s="42" t="s">
        <v>252</v>
      </c>
      <c r="E157" s="42" t="s">
        <v>312</v>
      </c>
      <c r="F157" s="42"/>
      <c r="G157" s="11">
        <f>G158</f>
        <v>0</v>
      </c>
      <c r="H157" s="11">
        <f t="shared" si="92"/>
        <v>0</v>
      </c>
      <c r="I157" s="11">
        <f t="shared" si="92"/>
        <v>0</v>
      </c>
      <c r="J157" s="11">
        <f t="shared" si="92"/>
        <v>0</v>
      </c>
      <c r="K157" s="11">
        <f t="shared" si="92"/>
        <v>0</v>
      </c>
      <c r="L157" s="11">
        <f t="shared" si="92"/>
        <v>0</v>
      </c>
      <c r="M157" s="11">
        <f t="shared" si="92"/>
        <v>0</v>
      </c>
      <c r="N157" s="7" t="e">
        <f t="shared" si="82"/>
        <v>#DIV/0!</v>
      </c>
    </row>
    <row r="158" spans="1:14" ht="15.75" customHeight="1" hidden="1">
      <c r="A158" s="31" t="s">
        <v>313</v>
      </c>
      <c r="B158" s="42" t="s">
        <v>473</v>
      </c>
      <c r="C158" s="42" t="s">
        <v>303</v>
      </c>
      <c r="D158" s="42" t="s">
        <v>252</v>
      </c>
      <c r="E158" s="42" t="s">
        <v>314</v>
      </c>
      <c r="F158" s="42"/>
      <c r="G158" s="11"/>
      <c r="H158" s="11"/>
      <c r="I158" s="11"/>
      <c r="J158" s="11"/>
      <c r="K158" s="11"/>
      <c r="L158" s="11"/>
      <c r="M158" s="11"/>
      <c r="N158" s="7" t="e">
        <f t="shared" si="82"/>
        <v>#DIV/0!</v>
      </c>
    </row>
    <row r="159" spans="1:14" ht="54.75" customHeight="1" hidden="1">
      <c r="A159" s="31" t="s">
        <v>443</v>
      </c>
      <c r="B159" s="42" t="s">
        <v>473</v>
      </c>
      <c r="C159" s="42" t="s">
        <v>303</v>
      </c>
      <c r="D159" s="42" t="s">
        <v>252</v>
      </c>
      <c r="E159" s="42"/>
      <c r="F159" s="42" t="s">
        <v>694</v>
      </c>
      <c r="G159" s="11">
        <f aca="true" t="shared" si="93" ref="G159:L159">G156</f>
        <v>0</v>
      </c>
      <c r="H159" s="11">
        <f t="shared" si="93"/>
        <v>0</v>
      </c>
      <c r="I159" s="11">
        <f t="shared" si="93"/>
        <v>0</v>
      </c>
      <c r="J159" s="11">
        <f t="shared" si="93"/>
        <v>0</v>
      </c>
      <c r="K159" s="11">
        <f t="shared" si="93"/>
        <v>0</v>
      </c>
      <c r="L159" s="11">
        <f t="shared" si="93"/>
        <v>0</v>
      </c>
      <c r="M159" s="11">
        <f aca="true" t="shared" si="94" ref="M159">M156</f>
        <v>0</v>
      </c>
      <c r="N159" s="7" t="e">
        <f t="shared" si="82"/>
        <v>#DIV/0!</v>
      </c>
    </row>
    <row r="160" spans="1:14" ht="31.5" customHeight="1" hidden="1">
      <c r="A160" s="26" t="s">
        <v>474</v>
      </c>
      <c r="B160" s="21" t="s">
        <v>475</v>
      </c>
      <c r="C160" s="42" t="s">
        <v>303</v>
      </c>
      <c r="D160" s="42" t="s">
        <v>252</v>
      </c>
      <c r="E160" s="42"/>
      <c r="F160" s="42"/>
      <c r="G160" s="11">
        <f>G161</f>
        <v>0</v>
      </c>
      <c r="H160" s="11">
        <f aca="true" t="shared" si="95" ref="H160:M161">H161</f>
        <v>0</v>
      </c>
      <c r="I160" s="11">
        <f t="shared" si="95"/>
        <v>0</v>
      </c>
      <c r="J160" s="11">
        <f t="shared" si="95"/>
        <v>0</v>
      </c>
      <c r="K160" s="11">
        <f t="shared" si="95"/>
        <v>0</v>
      </c>
      <c r="L160" s="11">
        <f t="shared" si="95"/>
        <v>0</v>
      </c>
      <c r="M160" s="11">
        <f t="shared" si="95"/>
        <v>0</v>
      </c>
      <c r="N160" s="7" t="e">
        <f t="shared" si="82"/>
        <v>#DIV/0!</v>
      </c>
    </row>
    <row r="161" spans="1:14" ht="65.25" customHeight="1" hidden="1">
      <c r="A161" s="26" t="s">
        <v>311</v>
      </c>
      <c r="B161" s="21" t="s">
        <v>475</v>
      </c>
      <c r="C161" s="42" t="s">
        <v>303</v>
      </c>
      <c r="D161" s="42" t="s">
        <v>252</v>
      </c>
      <c r="E161" s="42" t="s">
        <v>312</v>
      </c>
      <c r="F161" s="42"/>
      <c r="G161" s="11">
        <f>G162</f>
        <v>0</v>
      </c>
      <c r="H161" s="11">
        <f t="shared" si="95"/>
        <v>0</v>
      </c>
      <c r="I161" s="11">
        <f t="shared" si="95"/>
        <v>0</v>
      </c>
      <c r="J161" s="11">
        <f t="shared" si="95"/>
        <v>0</v>
      </c>
      <c r="K161" s="11">
        <f t="shared" si="95"/>
        <v>0</v>
      </c>
      <c r="L161" s="11">
        <f t="shared" si="95"/>
        <v>0</v>
      </c>
      <c r="M161" s="11">
        <f t="shared" si="95"/>
        <v>0</v>
      </c>
      <c r="N161" s="7" t="e">
        <f t="shared" si="82"/>
        <v>#DIV/0!</v>
      </c>
    </row>
    <row r="162" spans="1:14" ht="15.75" customHeight="1" hidden="1">
      <c r="A162" s="26" t="s">
        <v>313</v>
      </c>
      <c r="B162" s="21" t="s">
        <v>475</v>
      </c>
      <c r="C162" s="42" t="s">
        <v>303</v>
      </c>
      <c r="D162" s="42" t="s">
        <v>252</v>
      </c>
      <c r="E162" s="42" t="s">
        <v>314</v>
      </c>
      <c r="F162" s="42"/>
      <c r="G162" s="11"/>
      <c r="H162" s="11"/>
      <c r="I162" s="11"/>
      <c r="J162" s="11"/>
      <c r="K162" s="11"/>
      <c r="L162" s="11"/>
      <c r="M162" s="11"/>
      <c r="N162" s="7" t="e">
        <f t="shared" si="82"/>
        <v>#DIV/0!</v>
      </c>
    </row>
    <row r="163" spans="1:14" ht="31.5" customHeight="1" hidden="1">
      <c r="A163" s="31" t="s">
        <v>443</v>
      </c>
      <c r="B163" s="21" t="s">
        <v>475</v>
      </c>
      <c r="C163" s="42" t="s">
        <v>303</v>
      </c>
      <c r="D163" s="42" t="s">
        <v>252</v>
      </c>
      <c r="E163" s="42"/>
      <c r="F163" s="42" t="s">
        <v>694</v>
      </c>
      <c r="G163" s="11">
        <f aca="true" t="shared" si="96" ref="G163:L163">G160</f>
        <v>0</v>
      </c>
      <c r="H163" s="11">
        <f t="shared" si="96"/>
        <v>0</v>
      </c>
      <c r="I163" s="11">
        <f t="shared" si="96"/>
        <v>0</v>
      </c>
      <c r="J163" s="11">
        <f t="shared" si="96"/>
        <v>0</v>
      </c>
      <c r="K163" s="11">
        <f t="shared" si="96"/>
        <v>0</v>
      </c>
      <c r="L163" s="11">
        <f t="shared" si="96"/>
        <v>0</v>
      </c>
      <c r="M163" s="11">
        <f aca="true" t="shared" si="97" ref="M163">M160</f>
        <v>0</v>
      </c>
      <c r="N163" s="7" t="e">
        <f t="shared" si="82"/>
        <v>#DIV/0!</v>
      </c>
    </row>
    <row r="164" spans="1:14" ht="47.25" customHeight="1" hidden="1">
      <c r="A164" s="26" t="s">
        <v>478</v>
      </c>
      <c r="B164" s="21" t="s">
        <v>479</v>
      </c>
      <c r="C164" s="42" t="s">
        <v>303</v>
      </c>
      <c r="D164" s="42" t="s">
        <v>252</v>
      </c>
      <c r="E164" s="42"/>
      <c r="F164" s="42"/>
      <c r="G164" s="11">
        <f>G165</f>
        <v>0</v>
      </c>
      <c r="H164" s="11">
        <f aca="true" t="shared" si="98" ref="H164:M165">H165</f>
        <v>0</v>
      </c>
      <c r="I164" s="11">
        <f t="shared" si="98"/>
        <v>0</v>
      </c>
      <c r="J164" s="11">
        <f t="shared" si="98"/>
        <v>0</v>
      </c>
      <c r="K164" s="11">
        <f t="shared" si="98"/>
        <v>0</v>
      </c>
      <c r="L164" s="11">
        <f t="shared" si="98"/>
        <v>0</v>
      </c>
      <c r="M164" s="11">
        <f t="shared" si="98"/>
        <v>0</v>
      </c>
      <c r="N164" s="7" t="e">
        <f t="shared" si="82"/>
        <v>#DIV/0!</v>
      </c>
    </row>
    <row r="165" spans="1:14" ht="31.5" customHeight="1" hidden="1">
      <c r="A165" s="31" t="s">
        <v>311</v>
      </c>
      <c r="B165" s="21" t="s">
        <v>479</v>
      </c>
      <c r="C165" s="42" t="s">
        <v>303</v>
      </c>
      <c r="D165" s="42" t="s">
        <v>252</v>
      </c>
      <c r="E165" s="42" t="s">
        <v>312</v>
      </c>
      <c r="F165" s="42"/>
      <c r="G165" s="11">
        <f>G166</f>
        <v>0</v>
      </c>
      <c r="H165" s="11">
        <f t="shared" si="98"/>
        <v>0</v>
      </c>
      <c r="I165" s="11">
        <f t="shared" si="98"/>
        <v>0</v>
      </c>
      <c r="J165" s="11">
        <f t="shared" si="98"/>
        <v>0</v>
      </c>
      <c r="K165" s="11">
        <f t="shared" si="98"/>
        <v>0</v>
      </c>
      <c r="L165" s="11">
        <f t="shared" si="98"/>
        <v>0</v>
      </c>
      <c r="M165" s="11">
        <f t="shared" si="98"/>
        <v>0</v>
      </c>
      <c r="N165" s="7" t="e">
        <f t="shared" si="82"/>
        <v>#DIV/0!</v>
      </c>
    </row>
    <row r="166" spans="1:14" ht="15.75" customHeight="1" hidden="1">
      <c r="A166" s="31" t="s">
        <v>313</v>
      </c>
      <c r="B166" s="21" t="s">
        <v>479</v>
      </c>
      <c r="C166" s="42" t="s">
        <v>303</v>
      </c>
      <c r="D166" s="42" t="s">
        <v>252</v>
      </c>
      <c r="E166" s="42" t="s">
        <v>314</v>
      </c>
      <c r="F166" s="42"/>
      <c r="G166" s="11"/>
      <c r="H166" s="11"/>
      <c r="I166" s="11"/>
      <c r="J166" s="11"/>
      <c r="K166" s="11"/>
      <c r="L166" s="11"/>
      <c r="M166" s="11"/>
      <c r="N166" s="7" t="e">
        <f t="shared" si="82"/>
        <v>#DIV/0!</v>
      </c>
    </row>
    <row r="167" spans="1:14" ht="31.5" customHeight="1" hidden="1">
      <c r="A167" s="31" t="s">
        <v>443</v>
      </c>
      <c r="B167" s="21" t="s">
        <v>479</v>
      </c>
      <c r="C167" s="42" t="s">
        <v>303</v>
      </c>
      <c r="D167" s="42" t="s">
        <v>252</v>
      </c>
      <c r="E167" s="42"/>
      <c r="F167" s="42" t="s">
        <v>694</v>
      </c>
      <c r="G167" s="11">
        <f aca="true" t="shared" si="99" ref="G167:L167">G166</f>
        <v>0</v>
      </c>
      <c r="H167" s="11">
        <f t="shared" si="99"/>
        <v>0</v>
      </c>
      <c r="I167" s="11">
        <f t="shared" si="99"/>
        <v>0</v>
      </c>
      <c r="J167" s="11">
        <f t="shared" si="99"/>
        <v>0</v>
      </c>
      <c r="K167" s="11">
        <f t="shared" si="99"/>
        <v>0</v>
      </c>
      <c r="L167" s="11">
        <f t="shared" si="99"/>
        <v>0</v>
      </c>
      <c r="M167" s="11">
        <f aca="true" t="shared" si="100" ref="M167">M166</f>
        <v>0</v>
      </c>
      <c r="N167" s="7" t="e">
        <f t="shared" si="82"/>
        <v>#DIV/0!</v>
      </c>
    </row>
    <row r="168" spans="1:14" ht="31.5" customHeight="1" hidden="1">
      <c r="A168" s="26" t="s">
        <v>653</v>
      </c>
      <c r="B168" s="21" t="s">
        <v>482</v>
      </c>
      <c r="C168" s="42" t="s">
        <v>303</v>
      </c>
      <c r="D168" s="42" t="s">
        <v>252</v>
      </c>
      <c r="E168" s="42"/>
      <c r="F168" s="42"/>
      <c r="G168" s="11">
        <f>G169</f>
        <v>0</v>
      </c>
      <c r="H168" s="11">
        <f aca="true" t="shared" si="101" ref="H168:M169">H169</f>
        <v>0</v>
      </c>
      <c r="I168" s="11">
        <f t="shared" si="101"/>
        <v>0</v>
      </c>
      <c r="J168" s="11">
        <f t="shared" si="101"/>
        <v>0</v>
      </c>
      <c r="K168" s="11">
        <f t="shared" si="101"/>
        <v>0</v>
      </c>
      <c r="L168" s="11">
        <f t="shared" si="101"/>
        <v>0</v>
      </c>
      <c r="M168" s="11">
        <f t="shared" si="101"/>
        <v>0</v>
      </c>
      <c r="N168" s="7" t="e">
        <f t="shared" si="82"/>
        <v>#DIV/0!</v>
      </c>
    </row>
    <row r="169" spans="1:14" ht="31.5" customHeight="1" hidden="1">
      <c r="A169" s="26" t="s">
        <v>311</v>
      </c>
      <c r="B169" s="21" t="s">
        <v>482</v>
      </c>
      <c r="C169" s="42" t="s">
        <v>303</v>
      </c>
      <c r="D169" s="42" t="s">
        <v>252</v>
      </c>
      <c r="E169" s="42" t="s">
        <v>312</v>
      </c>
      <c r="F169" s="42"/>
      <c r="G169" s="11">
        <f>G170</f>
        <v>0</v>
      </c>
      <c r="H169" s="11">
        <f t="shared" si="101"/>
        <v>0</v>
      </c>
      <c r="I169" s="11">
        <f t="shared" si="101"/>
        <v>0</v>
      </c>
      <c r="J169" s="11">
        <f t="shared" si="101"/>
        <v>0</v>
      </c>
      <c r="K169" s="11">
        <f t="shared" si="101"/>
        <v>0</v>
      </c>
      <c r="L169" s="11">
        <f t="shared" si="101"/>
        <v>0</v>
      </c>
      <c r="M169" s="11">
        <f t="shared" si="101"/>
        <v>0</v>
      </c>
      <c r="N169" s="7" t="e">
        <f t="shared" si="82"/>
        <v>#DIV/0!</v>
      </c>
    </row>
    <row r="170" spans="1:14" ht="15.75" customHeight="1" hidden="1">
      <c r="A170" s="26" t="s">
        <v>313</v>
      </c>
      <c r="B170" s="21" t="s">
        <v>482</v>
      </c>
      <c r="C170" s="42" t="s">
        <v>303</v>
      </c>
      <c r="D170" s="42" t="s">
        <v>252</v>
      </c>
      <c r="E170" s="42" t="s">
        <v>314</v>
      </c>
      <c r="F170" s="42"/>
      <c r="G170" s="11"/>
      <c r="H170" s="11"/>
      <c r="I170" s="11"/>
      <c r="J170" s="11"/>
      <c r="K170" s="11"/>
      <c r="L170" s="11"/>
      <c r="M170" s="11"/>
      <c r="N170" s="7" t="e">
        <f t="shared" si="82"/>
        <v>#DIV/0!</v>
      </c>
    </row>
    <row r="171" spans="1:14" ht="31.5" customHeight="1" hidden="1">
      <c r="A171" s="31" t="s">
        <v>443</v>
      </c>
      <c r="B171" s="21" t="s">
        <v>482</v>
      </c>
      <c r="C171" s="42" t="s">
        <v>303</v>
      </c>
      <c r="D171" s="42" t="s">
        <v>252</v>
      </c>
      <c r="E171" s="42"/>
      <c r="F171" s="42" t="s">
        <v>694</v>
      </c>
      <c r="G171" s="11">
        <f aca="true" t="shared" si="102" ref="G171:L171">G169</f>
        <v>0</v>
      </c>
      <c r="H171" s="11">
        <f t="shared" si="102"/>
        <v>0</v>
      </c>
      <c r="I171" s="11">
        <f t="shared" si="102"/>
        <v>0</v>
      </c>
      <c r="J171" s="11">
        <f t="shared" si="102"/>
        <v>0</v>
      </c>
      <c r="K171" s="11">
        <f t="shared" si="102"/>
        <v>0</v>
      </c>
      <c r="L171" s="11">
        <f t="shared" si="102"/>
        <v>0</v>
      </c>
      <c r="M171" s="11">
        <f aca="true" t="shared" si="103" ref="M171">M169</f>
        <v>0</v>
      </c>
      <c r="N171" s="7" t="e">
        <f t="shared" si="82"/>
        <v>#DIV/0!</v>
      </c>
    </row>
    <row r="172" spans="1:14" ht="15.75">
      <c r="A172" s="31" t="s">
        <v>302</v>
      </c>
      <c r="B172" s="42" t="s">
        <v>471</v>
      </c>
      <c r="C172" s="42" t="s">
        <v>303</v>
      </c>
      <c r="D172" s="42"/>
      <c r="E172" s="42"/>
      <c r="F172" s="42"/>
      <c r="G172" s="11" t="e">
        <f aca="true" t="shared" si="104" ref="G172:M172">G173</f>
        <v>#REF!</v>
      </c>
      <c r="H172" s="11" t="e">
        <f t="shared" si="104"/>
        <v>#REF!</v>
      </c>
      <c r="I172" s="11" t="e">
        <f t="shared" si="104"/>
        <v>#REF!</v>
      </c>
      <c r="J172" s="11" t="e">
        <f t="shared" si="104"/>
        <v>#REF!</v>
      </c>
      <c r="K172" s="11" t="e">
        <f t="shared" si="104"/>
        <v>#REF!</v>
      </c>
      <c r="L172" s="11">
        <f t="shared" si="104"/>
        <v>9410.1</v>
      </c>
      <c r="M172" s="11">
        <f t="shared" si="104"/>
        <v>7643.8</v>
      </c>
      <c r="N172" s="7">
        <f t="shared" si="82"/>
        <v>81.22974251070659</v>
      </c>
    </row>
    <row r="173" spans="1:14" ht="15.75">
      <c r="A173" s="31" t="s">
        <v>465</v>
      </c>
      <c r="B173" s="42" t="s">
        <v>471</v>
      </c>
      <c r="C173" s="42" t="s">
        <v>303</v>
      </c>
      <c r="D173" s="42" t="s">
        <v>252</v>
      </c>
      <c r="E173" s="42"/>
      <c r="F173" s="42"/>
      <c r="G173" s="11" t="e">
        <f>G174+G177+G189+G183+G192+G186+G195</f>
        <v>#REF!</v>
      </c>
      <c r="H173" s="11" t="e">
        <f>H174+H177+H189+H183+H192+H186+H195</f>
        <v>#REF!</v>
      </c>
      <c r="I173" s="11" t="e">
        <f>I174+I177+I189+I183+I192+I186+I195</f>
        <v>#REF!</v>
      </c>
      <c r="J173" s="11" t="e">
        <f>J174+J177+J189+J183+J192+J186+J195</f>
        <v>#REF!</v>
      </c>
      <c r="K173" s="11" t="e">
        <f>K174+K177+K189+K183+K192+K186+K195</f>
        <v>#REF!</v>
      </c>
      <c r="L173" s="11">
        <f>L174+L177+L189+L183+L192+L186+L195+L180+L198</f>
        <v>9410.1</v>
      </c>
      <c r="M173" s="11">
        <f aca="true" t="shared" si="105" ref="M173">M174+M177+M189+M183+M192+M186+M195+M180+M198</f>
        <v>7643.8</v>
      </c>
      <c r="N173" s="7">
        <f t="shared" si="82"/>
        <v>81.22974251070659</v>
      </c>
    </row>
    <row r="174" spans="1:14" ht="47.25">
      <c r="A174" s="31" t="s">
        <v>652</v>
      </c>
      <c r="B174" s="21" t="s">
        <v>477</v>
      </c>
      <c r="C174" s="42" t="s">
        <v>303</v>
      </c>
      <c r="D174" s="42" t="s">
        <v>252</v>
      </c>
      <c r="E174" s="42"/>
      <c r="F174" s="42"/>
      <c r="G174" s="11" t="e">
        <f>G175</f>
        <v>#REF!</v>
      </c>
      <c r="H174" s="11" t="e">
        <f aca="true" t="shared" si="106" ref="H174:M175">H175</f>
        <v>#REF!</v>
      </c>
      <c r="I174" s="11" t="e">
        <f t="shared" si="106"/>
        <v>#REF!</v>
      </c>
      <c r="J174" s="11" t="e">
        <f t="shared" si="106"/>
        <v>#REF!</v>
      </c>
      <c r="K174" s="11" t="e">
        <f t="shared" si="106"/>
        <v>#REF!</v>
      </c>
      <c r="L174" s="11">
        <f t="shared" si="106"/>
        <v>2914.2000000000003</v>
      </c>
      <c r="M174" s="11">
        <f t="shared" si="106"/>
        <v>1488</v>
      </c>
      <c r="N174" s="7">
        <f t="shared" si="82"/>
        <v>51.060325303685396</v>
      </c>
    </row>
    <row r="175" spans="1:14" ht="31.5">
      <c r="A175" s="31" t="s">
        <v>311</v>
      </c>
      <c r="B175" s="21" t="s">
        <v>477</v>
      </c>
      <c r="C175" s="42" t="s">
        <v>303</v>
      </c>
      <c r="D175" s="42" t="s">
        <v>252</v>
      </c>
      <c r="E175" s="42" t="s">
        <v>312</v>
      </c>
      <c r="F175" s="42"/>
      <c r="G175" s="11" t="e">
        <f>G176</f>
        <v>#REF!</v>
      </c>
      <c r="H175" s="11" t="e">
        <f t="shared" si="106"/>
        <v>#REF!</v>
      </c>
      <c r="I175" s="11" t="e">
        <f t="shared" si="106"/>
        <v>#REF!</v>
      </c>
      <c r="J175" s="11" t="e">
        <f t="shared" si="106"/>
        <v>#REF!</v>
      </c>
      <c r="K175" s="11" t="e">
        <f t="shared" si="106"/>
        <v>#REF!</v>
      </c>
      <c r="L175" s="11">
        <f t="shared" si="106"/>
        <v>2914.2000000000003</v>
      </c>
      <c r="M175" s="11">
        <f t="shared" si="106"/>
        <v>1488</v>
      </c>
      <c r="N175" s="7">
        <f t="shared" si="82"/>
        <v>51.060325303685396</v>
      </c>
    </row>
    <row r="176" spans="1:14" ht="24" customHeight="1">
      <c r="A176" s="31" t="s">
        <v>313</v>
      </c>
      <c r="B176" s="21" t="s">
        <v>477</v>
      </c>
      <c r="C176" s="42" t="s">
        <v>303</v>
      </c>
      <c r="D176" s="42" t="s">
        <v>252</v>
      </c>
      <c r="E176" s="42" t="s">
        <v>314</v>
      </c>
      <c r="F176" s="42"/>
      <c r="G176" s="7" t="e">
        <f>#REF!</f>
        <v>#REF!</v>
      </c>
      <c r="H176" s="7" t="e">
        <f>#REF!</f>
        <v>#REF!</v>
      </c>
      <c r="I176" s="7" t="e">
        <f>#REF!</f>
        <v>#REF!</v>
      </c>
      <c r="J176" s="7" t="e">
        <f>#REF!</f>
        <v>#REF!</v>
      </c>
      <c r="K176" s="7" t="e">
        <f>#REF!</f>
        <v>#REF!</v>
      </c>
      <c r="L176" s="7">
        <f>'Прил.№4 ведомств.'!G760</f>
        <v>2914.2000000000003</v>
      </c>
      <c r="M176" s="7">
        <f>'Прил.№4 ведомств.'!H760</f>
        <v>1488</v>
      </c>
      <c r="N176" s="7">
        <f t="shared" si="82"/>
        <v>51.060325303685396</v>
      </c>
    </row>
    <row r="177" spans="1:14" ht="47.25">
      <c r="A177" s="26" t="s">
        <v>478</v>
      </c>
      <c r="B177" s="21" t="s">
        <v>479</v>
      </c>
      <c r="C177" s="42" t="s">
        <v>303</v>
      </c>
      <c r="D177" s="42" t="s">
        <v>252</v>
      </c>
      <c r="E177" s="42"/>
      <c r="F177" s="42"/>
      <c r="G177" s="7" t="e">
        <f>G178</f>
        <v>#REF!</v>
      </c>
      <c r="H177" s="7" t="e">
        <f aca="true" t="shared" si="107" ref="H177:M178">H178</f>
        <v>#REF!</v>
      </c>
      <c r="I177" s="7" t="e">
        <f t="shared" si="107"/>
        <v>#REF!</v>
      </c>
      <c r="J177" s="7" t="e">
        <f t="shared" si="107"/>
        <v>#REF!</v>
      </c>
      <c r="K177" s="7" t="e">
        <f t="shared" si="107"/>
        <v>#REF!</v>
      </c>
      <c r="L177" s="7">
        <f t="shared" si="107"/>
        <v>416</v>
      </c>
      <c r="M177" s="7">
        <f t="shared" si="107"/>
        <v>416</v>
      </c>
      <c r="N177" s="7">
        <f t="shared" si="82"/>
        <v>100</v>
      </c>
    </row>
    <row r="178" spans="1:14" ht="31.5">
      <c r="A178" s="26" t="s">
        <v>311</v>
      </c>
      <c r="B178" s="21" t="s">
        <v>479</v>
      </c>
      <c r="C178" s="42" t="s">
        <v>303</v>
      </c>
      <c r="D178" s="42" t="s">
        <v>252</v>
      </c>
      <c r="E178" s="42" t="s">
        <v>312</v>
      </c>
      <c r="F178" s="42"/>
      <c r="G178" s="7" t="e">
        <f>G179</f>
        <v>#REF!</v>
      </c>
      <c r="H178" s="7" t="e">
        <f t="shared" si="107"/>
        <v>#REF!</v>
      </c>
      <c r="I178" s="7" t="e">
        <f t="shared" si="107"/>
        <v>#REF!</v>
      </c>
      <c r="J178" s="7" t="e">
        <f t="shared" si="107"/>
        <v>#REF!</v>
      </c>
      <c r="K178" s="7" t="e">
        <f t="shared" si="107"/>
        <v>#REF!</v>
      </c>
      <c r="L178" s="7">
        <f t="shared" si="107"/>
        <v>416</v>
      </c>
      <c r="M178" s="7">
        <f t="shared" si="107"/>
        <v>416</v>
      </c>
      <c r="N178" s="7">
        <f t="shared" si="82"/>
        <v>100</v>
      </c>
    </row>
    <row r="179" spans="1:14" ht="15.75">
      <c r="A179" s="26" t="s">
        <v>313</v>
      </c>
      <c r="B179" s="21" t="s">
        <v>479</v>
      </c>
      <c r="C179" s="42" t="s">
        <v>303</v>
      </c>
      <c r="D179" s="42" t="s">
        <v>252</v>
      </c>
      <c r="E179" s="42" t="s">
        <v>314</v>
      </c>
      <c r="F179" s="42"/>
      <c r="G179" s="7" t="e">
        <f>#REF!</f>
        <v>#REF!</v>
      </c>
      <c r="H179" s="7" t="e">
        <f>#REF!</f>
        <v>#REF!</v>
      </c>
      <c r="I179" s="7" t="e">
        <f>#REF!</f>
        <v>#REF!</v>
      </c>
      <c r="J179" s="7" t="e">
        <f>#REF!</f>
        <v>#REF!</v>
      </c>
      <c r="K179" s="7" t="e">
        <f>#REF!</f>
        <v>#REF!</v>
      </c>
      <c r="L179" s="7">
        <f>'Прил.№4 ведомств.'!G763</f>
        <v>416</v>
      </c>
      <c r="M179" s="7">
        <f>'Прил.№4 ведомств.'!H763</f>
        <v>416</v>
      </c>
      <c r="N179" s="7">
        <f t="shared" si="82"/>
        <v>100</v>
      </c>
    </row>
    <row r="180" spans="1:14" ht="47.25">
      <c r="A180" s="26" t="s">
        <v>939</v>
      </c>
      <c r="B180" s="21" t="s">
        <v>481</v>
      </c>
      <c r="C180" s="42" t="s">
        <v>303</v>
      </c>
      <c r="D180" s="42" t="s">
        <v>252</v>
      </c>
      <c r="E180" s="42"/>
      <c r="F180" s="42"/>
      <c r="G180" s="7"/>
      <c r="H180" s="7"/>
      <c r="I180" s="7"/>
      <c r="J180" s="7"/>
      <c r="K180" s="7"/>
      <c r="L180" s="7">
        <f>L181</f>
        <v>57.3</v>
      </c>
      <c r="M180" s="7">
        <f aca="true" t="shared" si="108" ref="M180:M181">M181</f>
        <v>57.3</v>
      </c>
      <c r="N180" s="7">
        <f t="shared" si="82"/>
        <v>100</v>
      </c>
    </row>
    <row r="181" spans="1:14" ht="31.5">
      <c r="A181" s="26" t="s">
        <v>311</v>
      </c>
      <c r="B181" s="21" t="s">
        <v>481</v>
      </c>
      <c r="C181" s="42" t="s">
        <v>303</v>
      </c>
      <c r="D181" s="42" t="s">
        <v>252</v>
      </c>
      <c r="E181" s="42" t="s">
        <v>312</v>
      </c>
      <c r="F181" s="42"/>
      <c r="G181" s="7"/>
      <c r="H181" s="7"/>
      <c r="I181" s="7"/>
      <c r="J181" s="7"/>
      <c r="K181" s="7"/>
      <c r="L181" s="7">
        <f>L182</f>
        <v>57.3</v>
      </c>
      <c r="M181" s="7">
        <f t="shared" si="108"/>
        <v>57.3</v>
      </c>
      <c r="N181" s="7">
        <f t="shared" si="82"/>
        <v>100</v>
      </c>
    </row>
    <row r="182" spans="1:14" ht="15.75">
      <c r="A182" s="26" t="s">
        <v>313</v>
      </c>
      <c r="B182" s="21" t="s">
        <v>481</v>
      </c>
      <c r="C182" s="42" t="s">
        <v>303</v>
      </c>
      <c r="D182" s="42" t="s">
        <v>252</v>
      </c>
      <c r="E182" s="42" t="s">
        <v>314</v>
      </c>
      <c r="F182" s="42"/>
      <c r="G182" s="7"/>
      <c r="H182" s="7"/>
      <c r="I182" s="7"/>
      <c r="J182" s="7"/>
      <c r="K182" s="7"/>
      <c r="L182" s="7">
        <f>'Прил.№4 ведомств.'!G766</f>
        <v>57.3</v>
      </c>
      <c r="M182" s="7">
        <f>'Прил.№4 ведомств.'!H766</f>
        <v>57.3</v>
      </c>
      <c r="N182" s="7">
        <f t="shared" si="82"/>
        <v>100</v>
      </c>
    </row>
    <row r="183" spans="1:14" ht="31.5">
      <c r="A183" s="26" t="s">
        <v>317</v>
      </c>
      <c r="B183" s="42" t="s">
        <v>482</v>
      </c>
      <c r="C183" s="42" t="s">
        <v>303</v>
      </c>
      <c r="D183" s="42" t="s">
        <v>252</v>
      </c>
      <c r="E183" s="42"/>
      <c r="F183" s="42"/>
      <c r="G183" s="7" t="e">
        <f>G184</f>
        <v>#REF!</v>
      </c>
      <c r="H183" s="7" t="e">
        <f aca="true" t="shared" si="109" ref="H183:M184">H184</f>
        <v>#REF!</v>
      </c>
      <c r="I183" s="7" t="e">
        <f t="shared" si="109"/>
        <v>#REF!</v>
      </c>
      <c r="J183" s="7" t="e">
        <f t="shared" si="109"/>
        <v>#REF!</v>
      </c>
      <c r="K183" s="7" t="e">
        <f t="shared" si="109"/>
        <v>#REF!</v>
      </c>
      <c r="L183" s="7">
        <f t="shared" si="109"/>
        <v>1337.5</v>
      </c>
      <c r="M183" s="7">
        <f t="shared" si="109"/>
        <v>1311.4</v>
      </c>
      <c r="N183" s="7">
        <f t="shared" si="82"/>
        <v>98.04859813084113</v>
      </c>
    </row>
    <row r="184" spans="1:14" ht="31.5">
      <c r="A184" s="26" t="s">
        <v>311</v>
      </c>
      <c r="B184" s="42" t="s">
        <v>482</v>
      </c>
      <c r="C184" s="42" t="s">
        <v>303</v>
      </c>
      <c r="D184" s="42" t="s">
        <v>252</v>
      </c>
      <c r="E184" s="42" t="s">
        <v>312</v>
      </c>
      <c r="F184" s="42"/>
      <c r="G184" s="7" t="e">
        <f>G185</f>
        <v>#REF!</v>
      </c>
      <c r="H184" s="7" t="e">
        <f t="shared" si="109"/>
        <v>#REF!</v>
      </c>
      <c r="I184" s="7" t="e">
        <f t="shared" si="109"/>
        <v>#REF!</v>
      </c>
      <c r="J184" s="7" t="e">
        <f t="shared" si="109"/>
        <v>#REF!</v>
      </c>
      <c r="K184" s="7" t="e">
        <f t="shared" si="109"/>
        <v>#REF!</v>
      </c>
      <c r="L184" s="7">
        <f t="shared" si="109"/>
        <v>1337.5</v>
      </c>
      <c r="M184" s="7">
        <f t="shared" si="109"/>
        <v>1311.4</v>
      </c>
      <c r="N184" s="7">
        <f t="shared" si="82"/>
        <v>98.04859813084113</v>
      </c>
    </row>
    <row r="185" spans="1:14" ht="15.75">
      <c r="A185" s="26" t="s">
        <v>313</v>
      </c>
      <c r="B185" s="42" t="s">
        <v>482</v>
      </c>
      <c r="C185" s="42" t="s">
        <v>303</v>
      </c>
      <c r="D185" s="42" t="s">
        <v>252</v>
      </c>
      <c r="E185" s="42" t="s">
        <v>314</v>
      </c>
      <c r="F185" s="42"/>
      <c r="G185" s="7" t="e">
        <f>#REF!</f>
        <v>#REF!</v>
      </c>
      <c r="H185" s="7" t="e">
        <f>#REF!</f>
        <v>#REF!</v>
      </c>
      <c r="I185" s="7" t="e">
        <f>#REF!</f>
        <v>#REF!</v>
      </c>
      <c r="J185" s="7" t="e">
        <f>#REF!</f>
        <v>#REF!</v>
      </c>
      <c r="K185" s="7" t="e">
        <f>#REF!</f>
        <v>#REF!</v>
      </c>
      <c r="L185" s="7">
        <f>'Прил.№4 ведомств.'!G769</f>
        <v>1337.5</v>
      </c>
      <c r="M185" s="7">
        <f>'Прил.№4 ведомств.'!H769</f>
        <v>1311.4</v>
      </c>
      <c r="N185" s="7">
        <f t="shared" si="82"/>
        <v>98.04859813084113</v>
      </c>
    </row>
    <row r="186" spans="1:14" ht="31.5" customHeight="1">
      <c r="A186" s="26" t="s">
        <v>319</v>
      </c>
      <c r="B186" s="42" t="s">
        <v>483</v>
      </c>
      <c r="C186" s="42" t="s">
        <v>303</v>
      </c>
      <c r="D186" s="42" t="s">
        <v>252</v>
      </c>
      <c r="E186" s="42"/>
      <c r="F186" s="42"/>
      <c r="G186" s="7" t="e">
        <f>G187</f>
        <v>#REF!</v>
      </c>
      <c r="H186" s="7" t="e">
        <f aca="true" t="shared" si="110" ref="H186:M187">H187</f>
        <v>#REF!</v>
      </c>
      <c r="I186" s="7" t="e">
        <f t="shared" si="110"/>
        <v>#REF!</v>
      </c>
      <c r="J186" s="7" t="e">
        <f t="shared" si="110"/>
        <v>#REF!</v>
      </c>
      <c r="K186" s="7" t="e">
        <f t="shared" si="110"/>
        <v>#REF!</v>
      </c>
      <c r="L186" s="7">
        <f t="shared" si="110"/>
        <v>547.2</v>
      </c>
      <c r="M186" s="7">
        <f t="shared" si="110"/>
        <v>547.2</v>
      </c>
      <c r="N186" s="7">
        <f t="shared" si="82"/>
        <v>100</v>
      </c>
    </row>
    <row r="187" spans="1:14" ht="31.5" customHeight="1">
      <c r="A187" s="26" t="s">
        <v>311</v>
      </c>
      <c r="B187" s="42" t="s">
        <v>483</v>
      </c>
      <c r="C187" s="42" t="s">
        <v>303</v>
      </c>
      <c r="D187" s="42" t="s">
        <v>252</v>
      </c>
      <c r="E187" s="42" t="s">
        <v>312</v>
      </c>
      <c r="F187" s="42"/>
      <c r="G187" s="7" t="e">
        <f>G188</f>
        <v>#REF!</v>
      </c>
      <c r="H187" s="7" t="e">
        <f t="shared" si="110"/>
        <v>#REF!</v>
      </c>
      <c r="I187" s="7" t="e">
        <f t="shared" si="110"/>
        <v>#REF!</v>
      </c>
      <c r="J187" s="7" t="e">
        <f t="shared" si="110"/>
        <v>#REF!</v>
      </c>
      <c r="K187" s="7" t="e">
        <f t="shared" si="110"/>
        <v>#REF!</v>
      </c>
      <c r="L187" s="7">
        <f t="shared" si="110"/>
        <v>547.2</v>
      </c>
      <c r="M187" s="7">
        <f t="shared" si="110"/>
        <v>547.2</v>
      </c>
      <c r="N187" s="7">
        <f t="shared" si="82"/>
        <v>100</v>
      </c>
    </row>
    <row r="188" spans="1:14" ht="15.75" customHeight="1">
      <c r="A188" s="26" t="s">
        <v>313</v>
      </c>
      <c r="B188" s="42" t="s">
        <v>483</v>
      </c>
      <c r="C188" s="42" t="s">
        <v>303</v>
      </c>
      <c r="D188" s="42" t="s">
        <v>252</v>
      </c>
      <c r="E188" s="42" t="s">
        <v>314</v>
      </c>
      <c r="F188" s="42"/>
      <c r="G188" s="7" t="e">
        <f>#REF!</f>
        <v>#REF!</v>
      </c>
      <c r="H188" s="7" t="e">
        <f>#REF!</f>
        <v>#REF!</v>
      </c>
      <c r="I188" s="7" t="e">
        <f>#REF!</f>
        <v>#REF!</v>
      </c>
      <c r="J188" s="7" t="e">
        <f>#REF!</f>
        <v>#REF!</v>
      </c>
      <c r="K188" s="7" t="e">
        <f>#REF!</f>
        <v>#REF!</v>
      </c>
      <c r="L188" s="7">
        <f>'Прил.№4 ведомств.'!G772</f>
        <v>547.2</v>
      </c>
      <c r="M188" s="7">
        <f>'Прил.№4 ведомств.'!H772</f>
        <v>547.2</v>
      </c>
      <c r="N188" s="7">
        <f t="shared" si="82"/>
        <v>100</v>
      </c>
    </row>
    <row r="189" spans="1:14" ht="31.5">
      <c r="A189" s="31" t="s">
        <v>321</v>
      </c>
      <c r="B189" s="42" t="s">
        <v>484</v>
      </c>
      <c r="C189" s="42" t="s">
        <v>303</v>
      </c>
      <c r="D189" s="42" t="s">
        <v>252</v>
      </c>
      <c r="E189" s="42"/>
      <c r="F189" s="42"/>
      <c r="G189" s="11" t="e">
        <f>G190</f>
        <v>#REF!</v>
      </c>
      <c r="H189" s="11" t="e">
        <f aca="true" t="shared" si="111" ref="H189:M190">H190</f>
        <v>#REF!</v>
      </c>
      <c r="I189" s="11" t="e">
        <f t="shared" si="111"/>
        <v>#REF!</v>
      </c>
      <c r="J189" s="11" t="e">
        <f t="shared" si="111"/>
        <v>#REF!</v>
      </c>
      <c r="K189" s="11" t="e">
        <f t="shared" si="111"/>
        <v>#REF!</v>
      </c>
      <c r="L189" s="11">
        <f t="shared" si="111"/>
        <v>224.2</v>
      </c>
      <c r="M189" s="11">
        <f t="shared" si="111"/>
        <v>162.6</v>
      </c>
      <c r="N189" s="7">
        <f t="shared" si="82"/>
        <v>72.52453166815343</v>
      </c>
    </row>
    <row r="190" spans="1:14" ht="31.5">
      <c r="A190" s="31" t="s">
        <v>311</v>
      </c>
      <c r="B190" s="42" t="s">
        <v>484</v>
      </c>
      <c r="C190" s="42" t="s">
        <v>303</v>
      </c>
      <c r="D190" s="42" t="s">
        <v>252</v>
      </c>
      <c r="E190" s="42" t="s">
        <v>312</v>
      </c>
      <c r="F190" s="42"/>
      <c r="G190" s="11" t="e">
        <f>G191</f>
        <v>#REF!</v>
      </c>
      <c r="H190" s="11" t="e">
        <f t="shared" si="111"/>
        <v>#REF!</v>
      </c>
      <c r="I190" s="11" t="e">
        <f t="shared" si="111"/>
        <v>#REF!</v>
      </c>
      <c r="J190" s="11" t="e">
        <f t="shared" si="111"/>
        <v>#REF!</v>
      </c>
      <c r="K190" s="11" t="e">
        <f t="shared" si="111"/>
        <v>#REF!</v>
      </c>
      <c r="L190" s="11">
        <f t="shared" si="111"/>
        <v>224.2</v>
      </c>
      <c r="M190" s="11">
        <f t="shared" si="111"/>
        <v>162.6</v>
      </c>
      <c r="N190" s="7">
        <f t="shared" si="82"/>
        <v>72.52453166815343</v>
      </c>
    </row>
    <row r="191" spans="1:14" ht="26.25" customHeight="1">
      <c r="A191" s="31" t="s">
        <v>313</v>
      </c>
      <c r="B191" s="42" t="s">
        <v>484</v>
      </c>
      <c r="C191" s="42" t="s">
        <v>303</v>
      </c>
      <c r="D191" s="42" t="s">
        <v>252</v>
      </c>
      <c r="E191" s="42" t="s">
        <v>314</v>
      </c>
      <c r="F191" s="42"/>
      <c r="G191" s="11" t="e">
        <f>#REF!</f>
        <v>#REF!</v>
      </c>
      <c r="H191" s="11" t="e">
        <f>#REF!</f>
        <v>#REF!</v>
      </c>
      <c r="I191" s="11" t="e">
        <f>#REF!</f>
        <v>#REF!</v>
      </c>
      <c r="J191" s="11" t="e">
        <f>#REF!</f>
        <v>#REF!</v>
      </c>
      <c r="K191" s="11" t="e">
        <f>#REF!</f>
        <v>#REF!</v>
      </c>
      <c r="L191" s="11">
        <f>'Прил.№4 ведомств.'!G775</f>
        <v>224.2</v>
      </c>
      <c r="M191" s="11">
        <f>'Прил.№4 ведомств.'!H775</f>
        <v>162.6</v>
      </c>
      <c r="N191" s="7">
        <f t="shared" si="82"/>
        <v>72.52453166815343</v>
      </c>
    </row>
    <row r="192" spans="1:14" ht="31.5" customHeight="1">
      <c r="A192" s="31" t="s">
        <v>323</v>
      </c>
      <c r="B192" s="42" t="s">
        <v>485</v>
      </c>
      <c r="C192" s="42" t="s">
        <v>303</v>
      </c>
      <c r="D192" s="42" t="s">
        <v>252</v>
      </c>
      <c r="E192" s="42"/>
      <c r="F192" s="42"/>
      <c r="G192" s="11" t="e">
        <f>G193</f>
        <v>#REF!</v>
      </c>
      <c r="H192" s="11" t="e">
        <f aca="true" t="shared" si="112" ref="H192:M193">H193</f>
        <v>#REF!</v>
      </c>
      <c r="I192" s="11" t="e">
        <f t="shared" si="112"/>
        <v>#REF!</v>
      </c>
      <c r="J192" s="11" t="e">
        <f t="shared" si="112"/>
        <v>#REF!</v>
      </c>
      <c r="K192" s="11" t="e">
        <f t="shared" si="112"/>
        <v>#REF!</v>
      </c>
      <c r="L192" s="11">
        <f t="shared" si="112"/>
        <v>658.1</v>
      </c>
      <c r="M192" s="11">
        <f t="shared" si="112"/>
        <v>658.2</v>
      </c>
      <c r="N192" s="7">
        <f t="shared" si="82"/>
        <v>100.01519525907918</v>
      </c>
    </row>
    <row r="193" spans="1:14" ht="31.5" customHeight="1">
      <c r="A193" s="31" t="s">
        <v>311</v>
      </c>
      <c r="B193" s="42" t="s">
        <v>485</v>
      </c>
      <c r="C193" s="42" t="s">
        <v>303</v>
      </c>
      <c r="D193" s="42" t="s">
        <v>252</v>
      </c>
      <c r="E193" s="42" t="s">
        <v>312</v>
      </c>
      <c r="F193" s="42"/>
      <c r="G193" s="11" t="e">
        <f>G194</f>
        <v>#REF!</v>
      </c>
      <c r="H193" s="11" t="e">
        <f t="shared" si="112"/>
        <v>#REF!</v>
      </c>
      <c r="I193" s="11" t="e">
        <f t="shared" si="112"/>
        <v>#REF!</v>
      </c>
      <c r="J193" s="11" t="e">
        <f t="shared" si="112"/>
        <v>#REF!</v>
      </c>
      <c r="K193" s="11" t="e">
        <f t="shared" si="112"/>
        <v>#REF!</v>
      </c>
      <c r="L193" s="11">
        <f t="shared" si="112"/>
        <v>658.1</v>
      </c>
      <c r="M193" s="11">
        <f t="shared" si="112"/>
        <v>658.2</v>
      </c>
      <c r="N193" s="7">
        <f t="shared" si="82"/>
        <v>100.01519525907918</v>
      </c>
    </row>
    <row r="194" spans="1:14" ht="26.25" customHeight="1">
      <c r="A194" s="31" t="s">
        <v>313</v>
      </c>
      <c r="B194" s="42" t="s">
        <v>485</v>
      </c>
      <c r="C194" s="42" t="s">
        <v>303</v>
      </c>
      <c r="D194" s="42" t="s">
        <v>252</v>
      </c>
      <c r="E194" s="42" t="s">
        <v>314</v>
      </c>
      <c r="F194" s="42"/>
      <c r="G194" s="11" t="e">
        <f>#REF!</f>
        <v>#REF!</v>
      </c>
      <c r="H194" s="11" t="e">
        <f>#REF!</f>
        <v>#REF!</v>
      </c>
      <c r="I194" s="11" t="e">
        <f>#REF!</f>
        <v>#REF!</v>
      </c>
      <c r="J194" s="11" t="e">
        <f>#REF!</f>
        <v>#REF!</v>
      </c>
      <c r="K194" s="11" t="e">
        <f>#REF!</f>
        <v>#REF!</v>
      </c>
      <c r="L194" s="11">
        <f>'Прил.№4 ведомств.'!G778</f>
        <v>658.1</v>
      </c>
      <c r="M194" s="11">
        <f>'Прил.№4 ведомств.'!H778</f>
        <v>658.2</v>
      </c>
      <c r="N194" s="7">
        <f t="shared" si="82"/>
        <v>100.01519525907918</v>
      </c>
    </row>
    <row r="195" spans="1:14" ht="34.5" customHeight="1">
      <c r="A195" s="70" t="s">
        <v>837</v>
      </c>
      <c r="B195" s="42" t="s">
        <v>839</v>
      </c>
      <c r="C195" s="42" t="s">
        <v>303</v>
      </c>
      <c r="D195" s="42" t="s">
        <v>252</v>
      </c>
      <c r="E195" s="42"/>
      <c r="F195" s="42"/>
      <c r="G195" s="11" t="e">
        <f>G196</f>
        <v>#REF!</v>
      </c>
      <c r="H195" s="11" t="e">
        <f aca="true" t="shared" si="113" ref="H195:M196">H196</f>
        <v>#REF!</v>
      </c>
      <c r="I195" s="11" t="e">
        <f t="shared" si="113"/>
        <v>#REF!</v>
      </c>
      <c r="J195" s="11" t="e">
        <f t="shared" si="113"/>
        <v>#REF!</v>
      </c>
      <c r="K195" s="11" t="e">
        <f t="shared" si="113"/>
        <v>#REF!</v>
      </c>
      <c r="L195" s="11">
        <f t="shared" si="113"/>
        <v>2634</v>
      </c>
      <c r="M195" s="11">
        <f t="shared" si="113"/>
        <v>2634</v>
      </c>
      <c r="N195" s="7">
        <f t="shared" si="82"/>
        <v>100</v>
      </c>
    </row>
    <row r="196" spans="1:14" ht="40.5" customHeight="1">
      <c r="A196" s="31" t="s">
        <v>311</v>
      </c>
      <c r="B196" s="42" t="s">
        <v>839</v>
      </c>
      <c r="C196" s="42" t="s">
        <v>303</v>
      </c>
      <c r="D196" s="42" t="s">
        <v>252</v>
      </c>
      <c r="E196" s="42" t="s">
        <v>312</v>
      </c>
      <c r="F196" s="42"/>
      <c r="G196" s="11" t="e">
        <f>G197</f>
        <v>#REF!</v>
      </c>
      <c r="H196" s="11" t="e">
        <f t="shared" si="113"/>
        <v>#REF!</v>
      </c>
      <c r="I196" s="11" t="e">
        <f t="shared" si="113"/>
        <v>#REF!</v>
      </c>
      <c r="J196" s="11" t="e">
        <f t="shared" si="113"/>
        <v>#REF!</v>
      </c>
      <c r="K196" s="11" t="e">
        <f t="shared" si="113"/>
        <v>#REF!</v>
      </c>
      <c r="L196" s="11">
        <f t="shared" si="113"/>
        <v>2634</v>
      </c>
      <c r="M196" s="11">
        <f t="shared" si="113"/>
        <v>2634</v>
      </c>
      <c r="N196" s="7">
        <f t="shared" si="82"/>
        <v>100</v>
      </c>
    </row>
    <row r="197" spans="1:14" ht="26.25" customHeight="1">
      <c r="A197" s="242" t="s">
        <v>313</v>
      </c>
      <c r="B197" s="42" t="s">
        <v>839</v>
      </c>
      <c r="C197" s="42" t="s">
        <v>303</v>
      </c>
      <c r="D197" s="42" t="s">
        <v>252</v>
      </c>
      <c r="E197" s="42" t="s">
        <v>314</v>
      </c>
      <c r="F197" s="42"/>
      <c r="G197" s="11" t="e">
        <f>#REF!</f>
        <v>#REF!</v>
      </c>
      <c r="H197" s="11" t="e">
        <f>#REF!</f>
        <v>#REF!</v>
      </c>
      <c r="I197" s="11" t="e">
        <f>#REF!</f>
        <v>#REF!</v>
      </c>
      <c r="J197" s="11" t="e">
        <f>#REF!</f>
        <v>#REF!</v>
      </c>
      <c r="K197" s="11" t="e">
        <f>#REF!</f>
        <v>#REF!</v>
      </c>
      <c r="L197" s="11">
        <f>'Прил.№4 ведомств.'!G781</f>
        <v>2634</v>
      </c>
      <c r="M197" s="11">
        <f>'Прил.№4 ведомств.'!H781</f>
        <v>2634</v>
      </c>
      <c r="N197" s="7">
        <f t="shared" si="82"/>
        <v>100</v>
      </c>
    </row>
    <row r="198" spans="1:14" s="299" customFormat="1" ht="47.25">
      <c r="A198" s="242" t="s">
        <v>1057</v>
      </c>
      <c r="B198" s="42" t="s">
        <v>1058</v>
      </c>
      <c r="C198" s="42" t="s">
        <v>303</v>
      </c>
      <c r="D198" s="42" t="s">
        <v>252</v>
      </c>
      <c r="E198" s="42"/>
      <c r="F198" s="42"/>
      <c r="G198" s="11"/>
      <c r="H198" s="11"/>
      <c r="I198" s="11"/>
      <c r="J198" s="11"/>
      <c r="K198" s="11"/>
      <c r="L198" s="11">
        <f>L199</f>
        <v>621.6</v>
      </c>
      <c r="M198" s="11">
        <f aca="true" t="shared" si="114" ref="M198:M199">M199</f>
        <v>369.1</v>
      </c>
      <c r="N198" s="7">
        <f t="shared" si="82"/>
        <v>59.37902187902188</v>
      </c>
    </row>
    <row r="199" spans="1:14" s="299" customFormat="1" ht="31.5">
      <c r="A199" s="31" t="s">
        <v>311</v>
      </c>
      <c r="B199" s="42" t="s">
        <v>1058</v>
      </c>
      <c r="C199" s="42" t="s">
        <v>303</v>
      </c>
      <c r="D199" s="42" t="s">
        <v>252</v>
      </c>
      <c r="E199" s="42" t="s">
        <v>312</v>
      </c>
      <c r="F199" s="42"/>
      <c r="G199" s="11"/>
      <c r="H199" s="11"/>
      <c r="I199" s="11"/>
      <c r="J199" s="11"/>
      <c r="K199" s="11"/>
      <c r="L199" s="11">
        <f>L200</f>
        <v>621.6</v>
      </c>
      <c r="M199" s="11">
        <f t="shared" si="114"/>
        <v>369.1</v>
      </c>
      <c r="N199" s="7">
        <f t="shared" si="82"/>
        <v>59.37902187902188</v>
      </c>
    </row>
    <row r="200" spans="1:14" s="299" customFormat="1" ht="26.25" customHeight="1">
      <c r="A200" s="242" t="s">
        <v>313</v>
      </c>
      <c r="B200" s="42" t="s">
        <v>1058</v>
      </c>
      <c r="C200" s="42" t="s">
        <v>303</v>
      </c>
      <c r="D200" s="42" t="s">
        <v>252</v>
      </c>
      <c r="E200" s="42" t="s">
        <v>314</v>
      </c>
      <c r="F200" s="42"/>
      <c r="G200" s="11"/>
      <c r="H200" s="11"/>
      <c r="I200" s="11"/>
      <c r="J200" s="11"/>
      <c r="K200" s="11"/>
      <c r="L200" s="11">
        <f>'Прил.№4 ведомств.'!G784</f>
        <v>621.6</v>
      </c>
      <c r="M200" s="11">
        <f>'Прил.№4 ведомств.'!H784</f>
        <v>369.1</v>
      </c>
      <c r="N200" s="7">
        <f t="shared" si="82"/>
        <v>59.37902187902188</v>
      </c>
    </row>
    <row r="201" spans="1:14" ht="31.5">
      <c r="A201" s="31" t="s">
        <v>443</v>
      </c>
      <c r="B201" s="42" t="s">
        <v>471</v>
      </c>
      <c r="C201" s="42"/>
      <c r="D201" s="42"/>
      <c r="E201" s="42"/>
      <c r="F201" s="42" t="s">
        <v>694</v>
      </c>
      <c r="G201" s="11" t="e">
        <f aca="true" t="shared" si="115" ref="G201:L201">G151</f>
        <v>#REF!</v>
      </c>
      <c r="H201" s="11" t="e">
        <f t="shared" si="115"/>
        <v>#REF!</v>
      </c>
      <c r="I201" s="11" t="e">
        <f t="shared" si="115"/>
        <v>#REF!</v>
      </c>
      <c r="J201" s="11" t="e">
        <f t="shared" si="115"/>
        <v>#REF!</v>
      </c>
      <c r="K201" s="11" t="e">
        <f t="shared" si="115"/>
        <v>#REF!</v>
      </c>
      <c r="L201" s="11">
        <f t="shared" si="115"/>
        <v>9410.1</v>
      </c>
      <c r="M201" s="11">
        <f aca="true" t="shared" si="116" ref="M201">M151</f>
        <v>7643.8</v>
      </c>
      <c r="N201" s="7">
        <f t="shared" si="82"/>
        <v>81.22974251070659</v>
      </c>
    </row>
    <row r="202" spans="1:14" ht="31.5" customHeight="1" hidden="1">
      <c r="A202" s="31" t="s">
        <v>323</v>
      </c>
      <c r="B202" s="42" t="s">
        <v>654</v>
      </c>
      <c r="C202" s="42" t="s">
        <v>303</v>
      </c>
      <c r="D202" s="42" t="s">
        <v>252</v>
      </c>
      <c r="E202" s="42"/>
      <c r="F202" s="42"/>
      <c r="G202" s="11">
        <f>G203</f>
        <v>0</v>
      </c>
      <c r="H202" s="11">
        <f aca="true" t="shared" si="117" ref="H202:M203">H203</f>
        <v>0</v>
      </c>
      <c r="I202" s="11">
        <f t="shared" si="117"/>
        <v>0</v>
      </c>
      <c r="J202" s="11">
        <f t="shared" si="117"/>
        <v>0</v>
      </c>
      <c r="K202" s="11">
        <f t="shared" si="117"/>
        <v>0</v>
      </c>
      <c r="L202" s="11">
        <f t="shared" si="117"/>
        <v>0</v>
      </c>
      <c r="M202" s="11">
        <f t="shared" si="117"/>
        <v>0</v>
      </c>
      <c r="N202" s="7" t="e">
        <f t="shared" si="82"/>
        <v>#DIV/0!</v>
      </c>
    </row>
    <row r="203" spans="1:14" ht="31.5" customHeight="1" hidden="1">
      <c r="A203" s="31" t="s">
        <v>311</v>
      </c>
      <c r="B203" s="42" t="s">
        <v>654</v>
      </c>
      <c r="C203" s="42" t="s">
        <v>303</v>
      </c>
      <c r="D203" s="42" t="s">
        <v>252</v>
      </c>
      <c r="E203" s="42" t="s">
        <v>312</v>
      </c>
      <c r="F203" s="42"/>
      <c r="G203" s="11">
        <f>G204</f>
        <v>0</v>
      </c>
      <c r="H203" s="11">
        <f t="shared" si="117"/>
        <v>0</v>
      </c>
      <c r="I203" s="11">
        <f t="shared" si="117"/>
        <v>0</v>
      </c>
      <c r="J203" s="11">
        <f t="shared" si="117"/>
        <v>0</v>
      </c>
      <c r="K203" s="11">
        <f t="shared" si="117"/>
        <v>0</v>
      </c>
      <c r="L203" s="11">
        <f t="shared" si="117"/>
        <v>0</v>
      </c>
      <c r="M203" s="11">
        <f t="shared" si="117"/>
        <v>0</v>
      </c>
      <c r="N203" s="7" t="e">
        <f t="shared" si="82"/>
        <v>#DIV/0!</v>
      </c>
    </row>
    <row r="204" spans="1:14" ht="15.75" customHeight="1" hidden="1">
      <c r="A204" s="31" t="s">
        <v>313</v>
      </c>
      <c r="B204" s="42" t="s">
        <v>654</v>
      </c>
      <c r="C204" s="42" t="s">
        <v>303</v>
      </c>
      <c r="D204" s="42" t="s">
        <v>252</v>
      </c>
      <c r="E204" s="42" t="s">
        <v>314</v>
      </c>
      <c r="F204" s="42"/>
      <c r="G204" s="11"/>
      <c r="H204" s="11"/>
      <c r="I204" s="11"/>
      <c r="J204" s="11"/>
      <c r="K204" s="11"/>
      <c r="L204" s="11"/>
      <c r="M204" s="11"/>
      <c r="N204" s="7" t="e">
        <f t="shared" si="82"/>
        <v>#DIV/0!</v>
      </c>
    </row>
    <row r="205" spans="1:14" ht="31.5" customHeight="1" hidden="1">
      <c r="A205" s="31" t="s">
        <v>443</v>
      </c>
      <c r="B205" s="42" t="s">
        <v>654</v>
      </c>
      <c r="C205" s="42" t="s">
        <v>303</v>
      </c>
      <c r="D205" s="42" t="s">
        <v>252</v>
      </c>
      <c r="E205" s="42"/>
      <c r="F205" s="42" t="s">
        <v>694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7" t="e">
        <f aca="true" t="shared" si="118" ref="N205:N268">M205/L205*100</f>
        <v>#DIV/0!</v>
      </c>
    </row>
    <row r="206" spans="1:14" ht="31.5" customHeight="1" hidden="1">
      <c r="A206" s="31" t="s">
        <v>695</v>
      </c>
      <c r="B206" s="42" t="s">
        <v>655</v>
      </c>
      <c r="C206" s="42" t="s">
        <v>303</v>
      </c>
      <c r="D206" s="42" t="s">
        <v>252</v>
      </c>
      <c r="E206" s="42"/>
      <c r="F206" s="42"/>
      <c r="G206" s="11">
        <f>G207</f>
        <v>0</v>
      </c>
      <c r="H206" s="11">
        <f aca="true" t="shared" si="119" ref="H206:M207">H207</f>
        <v>0</v>
      </c>
      <c r="I206" s="11">
        <f t="shared" si="119"/>
        <v>0</v>
      </c>
      <c r="J206" s="11">
        <f t="shared" si="119"/>
        <v>0</v>
      </c>
      <c r="K206" s="11">
        <f t="shared" si="119"/>
        <v>0</v>
      </c>
      <c r="L206" s="11">
        <f t="shared" si="119"/>
        <v>0</v>
      </c>
      <c r="M206" s="11">
        <f t="shared" si="119"/>
        <v>0</v>
      </c>
      <c r="N206" s="7" t="e">
        <f t="shared" si="118"/>
        <v>#DIV/0!</v>
      </c>
    </row>
    <row r="207" spans="1:14" ht="31.5" customHeight="1" hidden="1">
      <c r="A207" s="31" t="s">
        <v>311</v>
      </c>
      <c r="B207" s="42" t="s">
        <v>655</v>
      </c>
      <c r="C207" s="42" t="s">
        <v>303</v>
      </c>
      <c r="D207" s="42" t="s">
        <v>252</v>
      </c>
      <c r="E207" s="42" t="s">
        <v>312</v>
      </c>
      <c r="F207" s="42"/>
      <c r="G207" s="11">
        <f>G208</f>
        <v>0</v>
      </c>
      <c r="H207" s="11">
        <f t="shared" si="119"/>
        <v>0</v>
      </c>
      <c r="I207" s="11">
        <f t="shared" si="119"/>
        <v>0</v>
      </c>
      <c r="J207" s="11">
        <f t="shared" si="119"/>
        <v>0</v>
      </c>
      <c r="K207" s="11">
        <f t="shared" si="119"/>
        <v>0</v>
      </c>
      <c r="L207" s="11">
        <f t="shared" si="119"/>
        <v>0</v>
      </c>
      <c r="M207" s="11">
        <f t="shared" si="119"/>
        <v>0</v>
      </c>
      <c r="N207" s="7" t="e">
        <f t="shared" si="118"/>
        <v>#DIV/0!</v>
      </c>
    </row>
    <row r="208" spans="1:14" ht="15.75" customHeight="1" hidden="1">
      <c r="A208" s="31" t="s">
        <v>313</v>
      </c>
      <c r="B208" s="42" t="s">
        <v>655</v>
      </c>
      <c r="C208" s="42" t="s">
        <v>303</v>
      </c>
      <c r="D208" s="42" t="s">
        <v>252</v>
      </c>
      <c r="E208" s="42" t="s">
        <v>314</v>
      </c>
      <c r="F208" s="42"/>
      <c r="G208" s="11"/>
      <c r="H208" s="11"/>
      <c r="I208" s="11"/>
      <c r="J208" s="11"/>
      <c r="K208" s="11"/>
      <c r="L208" s="11"/>
      <c r="M208" s="11"/>
      <c r="N208" s="7" t="e">
        <f t="shared" si="118"/>
        <v>#DIV/0!</v>
      </c>
    </row>
    <row r="209" spans="1:14" ht="31.5" customHeight="1" hidden="1">
      <c r="A209" s="31" t="s">
        <v>443</v>
      </c>
      <c r="B209" s="42" t="s">
        <v>655</v>
      </c>
      <c r="C209" s="42" t="s">
        <v>303</v>
      </c>
      <c r="D209" s="42" t="s">
        <v>252</v>
      </c>
      <c r="E209" s="42"/>
      <c r="F209" s="42" t="s">
        <v>694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7" t="e">
        <f t="shared" si="118"/>
        <v>#DIV/0!</v>
      </c>
    </row>
    <row r="210" spans="1:14" ht="36" customHeight="1">
      <c r="A210" s="43" t="s">
        <v>486</v>
      </c>
      <c r="B210" s="8" t="s">
        <v>487</v>
      </c>
      <c r="C210" s="8"/>
      <c r="D210" s="8"/>
      <c r="E210" s="8"/>
      <c r="F210" s="8"/>
      <c r="G210" s="68" t="e">
        <f>G211</f>
        <v>#REF!</v>
      </c>
      <c r="H210" s="68" t="e">
        <f aca="true" t="shared" si="120" ref="H210:M213">H211</f>
        <v>#REF!</v>
      </c>
      <c r="I210" s="68" t="e">
        <f t="shared" si="120"/>
        <v>#REF!</v>
      </c>
      <c r="J210" s="68" t="e">
        <f t="shared" si="120"/>
        <v>#REF!</v>
      </c>
      <c r="K210" s="68" t="e">
        <f t="shared" si="120"/>
        <v>#REF!</v>
      </c>
      <c r="L210" s="68">
        <f t="shared" si="120"/>
        <v>689</v>
      </c>
      <c r="M210" s="68">
        <f t="shared" si="120"/>
        <v>689</v>
      </c>
      <c r="N210" s="4">
        <f t="shared" si="118"/>
        <v>100</v>
      </c>
    </row>
    <row r="211" spans="1:14" ht="21" customHeight="1">
      <c r="A211" s="31" t="s">
        <v>302</v>
      </c>
      <c r="B211" s="42" t="s">
        <v>487</v>
      </c>
      <c r="C211" s="42" t="s">
        <v>303</v>
      </c>
      <c r="D211" s="42"/>
      <c r="E211" s="42"/>
      <c r="F211" s="42"/>
      <c r="G211" s="11" t="e">
        <f>G212</f>
        <v>#REF!</v>
      </c>
      <c r="H211" s="11" t="e">
        <f t="shared" si="120"/>
        <v>#REF!</v>
      </c>
      <c r="I211" s="11" t="e">
        <f t="shared" si="120"/>
        <v>#REF!</v>
      </c>
      <c r="J211" s="11" t="e">
        <f t="shared" si="120"/>
        <v>#REF!</v>
      </c>
      <c r="K211" s="11" t="e">
        <f t="shared" si="120"/>
        <v>#REF!</v>
      </c>
      <c r="L211" s="11">
        <f t="shared" si="120"/>
        <v>689</v>
      </c>
      <c r="M211" s="11">
        <f t="shared" si="120"/>
        <v>689</v>
      </c>
      <c r="N211" s="7">
        <f t="shared" si="118"/>
        <v>100</v>
      </c>
    </row>
    <row r="212" spans="1:14" ht="22.5" customHeight="1">
      <c r="A212" s="31" t="s">
        <v>304</v>
      </c>
      <c r="B212" s="42" t="s">
        <v>487</v>
      </c>
      <c r="C212" s="42" t="s">
        <v>303</v>
      </c>
      <c r="D212" s="42" t="s">
        <v>254</v>
      </c>
      <c r="E212" s="42"/>
      <c r="F212" s="42"/>
      <c r="G212" s="11" t="e">
        <f>#REF!</f>
        <v>#REF!</v>
      </c>
      <c r="H212" s="11" t="e">
        <f>#REF!</f>
        <v>#REF!</v>
      </c>
      <c r="I212" s="11" t="e">
        <f>#REF!</f>
        <v>#REF!</v>
      </c>
      <c r="J212" s="11" t="e">
        <f>#REF!</f>
        <v>#REF!</v>
      </c>
      <c r="K212" s="11" t="e">
        <f>#REF!</f>
        <v>#REF!</v>
      </c>
      <c r="L212" s="11">
        <f>L215</f>
        <v>689</v>
      </c>
      <c r="M212" s="11">
        <f aca="true" t="shared" si="121" ref="M212">M215</f>
        <v>689</v>
      </c>
      <c r="N212" s="7">
        <f t="shared" si="118"/>
        <v>100</v>
      </c>
    </row>
    <row r="213" spans="1:14" ht="31.5" customHeight="1" hidden="1">
      <c r="A213" s="31" t="s">
        <v>311</v>
      </c>
      <c r="B213" s="21" t="s">
        <v>770</v>
      </c>
      <c r="C213" s="42" t="s">
        <v>303</v>
      </c>
      <c r="D213" s="42" t="s">
        <v>254</v>
      </c>
      <c r="E213" s="42" t="s">
        <v>312</v>
      </c>
      <c r="F213" s="42"/>
      <c r="G213" s="11" t="e">
        <f>G214</f>
        <v>#REF!</v>
      </c>
      <c r="H213" s="11" t="e">
        <f t="shared" si="120"/>
        <v>#REF!</v>
      </c>
      <c r="I213" s="11" t="e">
        <f t="shared" si="120"/>
        <v>#REF!</v>
      </c>
      <c r="J213" s="11" t="e">
        <f t="shared" si="120"/>
        <v>#REF!</v>
      </c>
      <c r="K213" s="11" t="e">
        <f t="shared" si="120"/>
        <v>#REF!</v>
      </c>
      <c r="L213" s="11">
        <f t="shared" si="120"/>
        <v>0</v>
      </c>
      <c r="M213" s="11">
        <f t="shared" si="120"/>
        <v>0</v>
      </c>
      <c r="N213" s="7" t="e">
        <f t="shared" si="118"/>
        <v>#DIV/0!</v>
      </c>
    </row>
    <row r="214" spans="1:14" ht="15.75" customHeight="1" hidden="1">
      <c r="A214" s="31" t="s">
        <v>313</v>
      </c>
      <c r="B214" s="21" t="s">
        <v>770</v>
      </c>
      <c r="C214" s="42" t="s">
        <v>303</v>
      </c>
      <c r="D214" s="42" t="s">
        <v>254</v>
      </c>
      <c r="E214" s="42" t="s">
        <v>314</v>
      </c>
      <c r="F214" s="42"/>
      <c r="G214" s="11" t="e">
        <f>#REF!</f>
        <v>#REF!</v>
      </c>
      <c r="H214" s="11" t="e">
        <f>#REF!</f>
        <v>#REF!</v>
      </c>
      <c r="I214" s="11" t="e">
        <f>#REF!</f>
        <v>#REF!</v>
      </c>
      <c r="J214" s="11" t="e">
        <f>#REF!</f>
        <v>#REF!</v>
      </c>
      <c r="K214" s="11" t="e">
        <f>#REF!</f>
        <v>#REF!</v>
      </c>
      <c r="L214" s="11">
        <f>'Прил.№4 ведомств.'!G834</f>
        <v>0</v>
      </c>
      <c r="M214" s="11">
        <f>'Прил.№4 ведомств.'!H834</f>
        <v>0</v>
      </c>
      <c r="N214" s="7" t="e">
        <f t="shared" si="118"/>
        <v>#DIV/0!</v>
      </c>
    </row>
    <row r="215" spans="1:14" ht="31.5">
      <c r="A215" s="47" t="s">
        <v>837</v>
      </c>
      <c r="B215" s="21" t="s">
        <v>838</v>
      </c>
      <c r="C215" s="21" t="s">
        <v>303</v>
      </c>
      <c r="D215" s="21" t="s">
        <v>254</v>
      </c>
      <c r="E215" s="21"/>
      <c r="F215" s="21"/>
      <c r="G215" s="11" t="e">
        <f>G216</f>
        <v>#REF!</v>
      </c>
      <c r="H215" s="11" t="e">
        <f aca="true" t="shared" si="122" ref="H215:M216">H216</f>
        <v>#REF!</v>
      </c>
      <c r="I215" s="11" t="e">
        <f t="shared" si="122"/>
        <v>#REF!</v>
      </c>
      <c r="J215" s="11" t="e">
        <f t="shared" si="122"/>
        <v>#REF!</v>
      </c>
      <c r="K215" s="11" t="e">
        <f t="shared" si="122"/>
        <v>#REF!</v>
      </c>
      <c r="L215" s="11">
        <f t="shared" si="122"/>
        <v>689</v>
      </c>
      <c r="M215" s="11">
        <f t="shared" si="122"/>
        <v>689</v>
      </c>
      <c r="N215" s="7">
        <f t="shared" si="118"/>
        <v>100</v>
      </c>
    </row>
    <row r="216" spans="1:14" ht="31.5">
      <c r="A216" s="31" t="s">
        <v>311</v>
      </c>
      <c r="B216" s="21" t="s">
        <v>838</v>
      </c>
      <c r="C216" s="21" t="s">
        <v>303</v>
      </c>
      <c r="D216" s="21" t="s">
        <v>254</v>
      </c>
      <c r="E216" s="21" t="s">
        <v>312</v>
      </c>
      <c r="F216" s="21"/>
      <c r="G216" s="11" t="e">
        <f>G217</f>
        <v>#REF!</v>
      </c>
      <c r="H216" s="11" t="e">
        <f t="shared" si="122"/>
        <v>#REF!</v>
      </c>
      <c r="I216" s="11" t="e">
        <f t="shared" si="122"/>
        <v>#REF!</v>
      </c>
      <c r="J216" s="11" t="e">
        <f t="shared" si="122"/>
        <v>#REF!</v>
      </c>
      <c r="K216" s="11" t="e">
        <f t="shared" si="122"/>
        <v>#REF!</v>
      </c>
      <c r="L216" s="11">
        <f t="shared" si="122"/>
        <v>689</v>
      </c>
      <c r="M216" s="11">
        <f t="shared" si="122"/>
        <v>689</v>
      </c>
      <c r="N216" s="7">
        <f t="shared" si="118"/>
        <v>100</v>
      </c>
    </row>
    <row r="217" spans="1:14" ht="15.75">
      <c r="A217" s="33" t="s">
        <v>313</v>
      </c>
      <c r="B217" s="21" t="s">
        <v>838</v>
      </c>
      <c r="C217" s="21" t="s">
        <v>303</v>
      </c>
      <c r="D217" s="21" t="s">
        <v>254</v>
      </c>
      <c r="E217" s="21" t="s">
        <v>314</v>
      </c>
      <c r="F217" s="21"/>
      <c r="G217" s="11" t="e">
        <f>#REF!</f>
        <v>#REF!</v>
      </c>
      <c r="H217" s="11" t="e">
        <f>#REF!</f>
        <v>#REF!</v>
      </c>
      <c r="I217" s="11" t="e">
        <f>#REF!</f>
        <v>#REF!</v>
      </c>
      <c r="J217" s="11" t="e">
        <f>#REF!</f>
        <v>#REF!</v>
      </c>
      <c r="K217" s="11" t="e">
        <f>#REF!</f>
        <v>#REF!</v>
      </c>
      <c r="L217" s="11">
        <f>'Прил.№4 ведомств.'!G837</f>
        <v>689</v>
      </c>
      <c r="M217" s="11">
        <f>'Прил.№4 ведомств.'!H837</f>
        <v>689</v>
      </c>
      <c r="N217" s="7">
        <f t="shared" si="118"/>
        <v>100</v>
      </c>
    </row>
    <row r="218" spans="1:14" ht="31.5">
      <c r="A218" s="31" t="s">
        <v>443</v>
      </c>
      <c r="B218" s="21" t="s">
        <v>487</v>
      </c>
      <c r="C218" s="42" t="s">
        <v>303</v>
      </c>
      <c r="D218" s="42" t="s">
        <v>254</v>
      </c>
      <c r="E218" s="42"/>
      <c r="F218" s="42" t="s">
        <v>694</v>
      </c>
      <c r="G218" s="11" t="e">
        <f aca="true" t="shared" si="123" ref="G218:L218">G211</f>
        <v>#REF!</v>
      </c>
      <c r="H218" s="11" t="e">
        <f t="shared" si="123"/>
        <v>#REF!</v>
      </c>
      <c r="I218" s="11" t="e">
        <f t="shared" si="123"/>
        <v>#REF!</v>
      </c>
      <c r="J218" s="11" t="e">
        <f t="shared" si="123"/>
        <v>#REF!</v>
      </c>
      <c r="K218" s="11" t="e">
        <f t="shared" si="123"/>
        <v>#REF!</v>
      </c>
      <c r="L218" s="11">
        <f t="shared" si="123"/>
        <v>689</v>
      </c>
      <c r="M218" s="11">
        <f aca="true" t="shared" si="124" ref="M218">M211</f>
        <v>689</v>
      </c>
      <c r="N218" s="7">
        <f t="shared" si="118"/>
        <v>100</v>
      </c>
    </row>
    <row r="219" spans="1:14" ht="31.5" customHeight="1" hidden="1">
      <c r="A219" s="31" t="s">
        <v>696</v>
      </c>
      <c r="B219" s="42" t="s">
        <v>656</v>
      </c>
      <c r="C219" s="42" t="s">
        <v>303</v>
      </c>
      <c r="D219" s="42" t="s">
        <v>252</v>
      </c>
      <c r="E219" s="42"/>
      <c r="F219" s="42"/>
      <c r="G219" s="11">
        <f aca="true" t="shared" si="125" ref="G219:L219">G223</f>
        <v>0</v>
      </c>
      <c r="H219" s="11">
        <f t="shared" si="125"/>
        <v>0</v>
      </c>
      <c r="I219" s="11">
        <f t="shared" si="125"/>
        <v>0</v>
      </c>
      <c r="J219" s="11">
        <f t="shared" si="125"/>
        <v>0</v>
      </c>
      <c r="K219" s="11">
        <f t="shared" si="125"/>
        <v>0</v>
      </c>
      <c r="L219" s="11">
        <f t="shared" si="125"/>
        <v>0</v>
      </c>
      <c r="M219" s="11">
        <f aca="true" t="shared" si="126" ref="M219">M223</f>
        <v>0</v>
      </c>
      <c r="N219" s="7" t="e">
        <f t="shared" si="118"/>
        <v>#DIV/0!</v>
      </c>
    </row>
    <row r="220" spans="1:14" ht="31.5" customHeight="1" hidden="1">
      <c r="A220" s="31" t="s">
        <v>311</v>
      </c>
      <c r="B220" s="42" t="s">
        <v>656</v>
      </c>
      <c r="C220" s="42" t="s">
        <v>508</v>
      </c>
      <c r="D220" s="42" t="s">
        <v>697</v>
      </c>
      <c r="E220" s="42" t="s">
        <v>312</v>
      </c>
      <c r="F220" s="42"/>
      <c r="G220" s="11">
        <f>G221</f>
        <v>0</v>
      </c>
      <c r="H220" s="11">
        <f aca="true" t="shared" si="127" ref="H220:M222">H221</f>
        <v>0</v>
      </c>
      <c r="I220" s="11">
        <f t="shared" si="127"/>
        <v>0</v>
      </c>
      <c r="J220" s="11">
        <f t="shared" si="127"/>
        <v>0</v>
      </c>
      <c r="K220" s="11">
        <f t="shared" si="127"/>
        <v>0</v>
      </c>
      <c r="L220" s="11">
        <f t="shared" si="127"/>
        <v>0</v>
      </c>
      <c r="M220" s="11">
        <f t="shared" si="127"/>
        <v>0</v>
      </c>
      <c r="N220" s="7" t="e">
        <f t="shared" si="118"/>
        <v>#DIV/0!</v>
      </c>
    </row>
    <row r="221" spans="1:14" ht="15.75" customHeight="1" hidden="1">
      <c r="A221" s="31" t="s">
        <v>313</v>
      </c>
      <c r="B221" s="42" t="s">
        <v>656</v>
      </c>
      <c r="C221" s="42" t="s">
        <v>508</v>
      </c>
      <c r="D221" s="42" t="s">
        <v>697</v>
      </c>
      <c r="E221" s="42" t="s">
        <v>314</v>
      </c>
      <c r="F221" s="42"/>
      <c r="G221" s="11">
        <f>G222</f>
        <v>0</v>
      </c>
      <c r="H221" s="11">
        <f t="shared" si="127"/>
        <v>0</v>
      </c>
      <c r="I221" s="11">
        <f t="shared" si="127"/>
        <v>0</v>
      </c>
      <c r="J221" s="11">
        <f t="shared" si="127"/>
        <v>0</v>
      </c>
      <c r="K221" s="11">
        <f t="shared" si="127"/>
        <v>0</v>
      </c>
      <c r="L221" s="11">
        <f t="shared" si="127"/>
        <v>0</v>
      </c>
      <c r="M221" s="11">
        <f t="shared" si="127"/>
        <v>0</v>
      </c>
      <c r="N221" s="7" t="e">
        <f t="shared" si="118"/>
        <v>#DIV/0!</v>
      </c>
    </row>
    <row r="222" spans="1:14" ht="15.75" customHeight="1" hidden="1">
      <c r="A222" s="31" t="s">
        <v>647</v>
      </c>
      <c r="B222" s="42" t="s">
        <v>656</v>
      </c>
      <c r="C222" s="42" t="s">
        <v>508</v>
      </c>
      <c r="D222" s="42" t="s">
        <v>697</v>
      </c>
      <c r="E222" s="42" t="s">
        <v>648</v>
      </c>
      <c r="F222" s="42"/>
      <c r="G222" s="11">
        <f>G223</f>
        <v>0</v>
      </c>
      <c r="H222" s="11">
        <f t="shared" si="127"/>
        <v>0</v>
      </c>
      <c r="I222" s="11">
        <f t="shared" si="127"/>
        <v>0</v>
      </c>
      <c r="J222" s="11">
        <f t="shared" si="127"/>
        <v>0</v>
      </c>
      <c r="K222" s="11">
        <f t="shared" si="127"/>
        <v>0</v>
      </c>
      <c r="L222" s="11">
        <f t="shared" si="127"/>
        <v>0</v>
      </c>
      <c r="M222" s="11">
        <f t="shared" si="127"/>
        <v>0</v>
      </c>
      <c r="N222" s="7" t="e">
        <f t="shared" si="118"/>
        <v>#DIV/0!</v>
      </c>
    </row>
    <row r="223" spans="1:14" ht="31.5" customHeight="1" hidden="1">
      <c r="A223" s="31" t="s">
        <v>443</v>
      </c>
      <c r="B223" s="42" t="s">
        <v>656</v>
      </c>
      <c r="C223" s="42" t="s">
        <v>303</v>
      </c>
      <c r="D223" s="42" t="s">
        <v>252</v>
      </c>
      <c r="E223" s="42"/>
      <c r="F223" s="42" t="s">
        <v>694</v>
      </c>
      <c r="G223" s="11"/>
      <c r="H223" s="11"/>
      <c r="I223" s="11"/>
      <c r="J223" s="11"/>
      <c r="K223" s="11"/>
      <c r="L223" s="11"/>
      <c r="M223" s="11"/>
      <c r="N223" s="7" t="e">
        <f t="shared" si="118"/>
        <v>#DIV/0!</v>
      </c>
    </row>
    <row r="224" spans="1:14" ht="31.5" customHeight="1" hidden="1">
      <c r="A224" s="31" t="s">
        <v>698</v>
      </c>
      <c r="B224" s="21" t="s">
        <v>488</v>
      </c>
      <c r="C224" s="42" t="s">
        <v>303</v>
      </c>
      <c r="D224" s="42" t="s">
        <v>252</v>
      </c>
      <c r="E224" s="42"/>
      <c r="F224" s="42"/>
      <c r="G224" s="11">
        <f>G225</f>
        <v>0</v>
      </c>
      <c r="H224" s="11">
        <f aca="true" t="shared" si="128" ref="H224:M225">H225</f>
        <v>0</v>
      </c>
      <c r="I224" s="11">
        <f t="shared" si="128"/>
        <v>0</v>
      </c>
      <c r="J224" s="11">
        <f t="shared" si="128"/>
        <v>0</v>
      </c>
      <c r="K224" s="11">
        <f t="shared" si="128"/>
        <v>0</v>
      </c>
      <c r="L224" s="11">
        <f t="shared" si="128"/>
        <v>0</v>
      </c>
      <c r="M224" s="11">
        <f t="shared" si="128"/>
        <v>0</v>
      </c>
      <c r="N224" s="7" t="e">
        <f t="shared" si="118"/>
        <v>#DIV/0!</v>
      </c>
    </row>
    <row r="225" spans="1:14" ht="31.5" customHeight="1" hidden="1">
      <c r="A225" s="31" t="s">
        <v>319</v>
      </c>
      <c r="B225" s="21" t="s">
        <v>488</v>
      </c>
      <c r="C225" s="42" t="s">
        <v>303</v>
      </c>
      <c r="D225" s="42" t="s">
        <v>252</v>
      </c>
      <c r="E225" s="42" t="s">
        <v>312</v>
      </c>
      <c r="F225" s="42"/>
      <c r="G225" s="11">
        <f>G226</f>
        <v>0</v>
      </c>
      <c r="H225" s="11">
        <f t="shared" si="128"/>
        <v>0</v>
      </c>
      <c r="I225" s="11">
        <f t="shared" si="128"/>
        <v>0</v>
      </c>
      <c r="J225" s="11">
        <f t="shared" si="128"/>
        <v>0</v>
      </c>
      <c r="K225" s="11">
        <f t="shared" si="128"/>
        <v>0</v>
      </c>
      <c r="L225" s="11">
        <f t="shared" si="128"/>
        <v>0</v>
      </c>
      <c r="M225" s="11">
        <f t="shared" si="128"/>
        <v>0</v>
      </c>
      <c r="N225" s="7" t="e">
        <f t="shared" si="118"/>
        <v>#DIV/0!</v>
      </c>
    </row>
    <row r="226" spans="1:14" ht="15.75" customHeight="1" hidden="1">
      <c r="A226" s="31" t="s">
        <v>313</v>
      </c>
      <c r="B226" s="21" t="s">
        <v>488</v>
      </c>
      <c r="C226" s="42" t="s">
        <v>303</v>
      </c>
      <c r="D226" s="42" t="s">
        <v>252</v>
      </c>
      <c r="E226" s="42" t="s">
        <v>314</v>
      </c>
      <c r="F226" s="42"/>
      <c r="G226" s="11"/>
      <c r="H226" s="11"/>
      <c r="I226" s="11"/>
      <c r="J226" s="11"/>
      <c r="K226" s="11"/>
      <c r="L226" s="11"/>
      <c r="M226" s="11"/>
      <c r="N226" s="7" t="e">
        <f t="shared" si="118"/>
        <v>#DIV/0!</v>
      </c>
    </row>
    <row r="227" spans="1:14" ht="15.75" customHeight="1" hidden="1">
      <c r="A227" s="31" t="s">
        <v>647</v>
      </c>
      <c r="B227" s="21" t="s">
        <v>488</v>
      </c>
      <c r="C227" s="42" t="s">
        <v>303</v>
      </c>
      <c r="D227" s="42" t="s">
        <v>252</v>
      </c>
      <c r="E227" s="42" t="s">
        <v>648</v>
      </c>
      <c r="F227" s="42"/>
      <c r="G227" s="11"/>
      <c r="H227" s="11"/>
      <c r="I227" s="11"/>
      <c r="J227" s="11"/>
      <c r="K227" s="11"/>
      <c r="L227" s="11"/>
      <c r="M227" s="11"/>
      <c r="N227" s="7" t="e">
        <f t="shared" si="118"/>
        <v>#DIV/0!</v>
      </c>
    </row>
    <row r="228" spans="1:14" ht="31.5" customHeight="1" hidden="1">
      <c r="A228" s="31" t="s">
        <v>443</v>
      </c>
      <c r="B228" s="21" t="s">
        <v>488</v>
      </c>
      <c r="C228" s="42" t="s">
        <v>303</v>
      </c>
      <c r="D228" s="42" t="s">
        <v>252</v>
      </c>
      <c r="E228" s="42"/>
      <c r="F228" s="42" t="s">
        <v>694</v>
      </c>
      <c r="G228" s="7">
        <f aca="true" t="shared" si="129" ref="G228:L228">G224</f>
        <v>0</v>
      </c>
      <c r="H228" s="7">
        <f t="shared" si="129"/>
        <v>0</v>
      </c>
      <c r="I228" s="7">
        <f t="shared" si="129"/>
        <v>0</v>
      </c>
      <c r="J228" s="7">
        <f t="shared" si="129"/>
        <v>0</v>
      </c>
      <c r="K228" s="7">
        <f t="shared" si="129"/>
        <v>0</v>
      </c>
      <c r="L228" s="7">
        <f t="shared" si="129"/>
        <v>0</v>
      </c>
      <c r="M228" s="7">
        <f aca="true" t="shared" si="130" ref="M228">M224</f>
        <v>0</v>
      </c>
      <c r="N228" s="7" t="e">
        <f t="shared" si="118"/>
        <v>#DIV/0!</v>
      </c>
    </row>
    <row r="229" spans="1:14" ht="31.5" customHeight="1" hidden="1">
      <c r="A229" s="31" t="s">
        <v>653</v>
      </c>
      <c r="B229" s="42" t="s">
        <v>489</v>
      </c>
      <c r="C229" s="42" t="s">
        <v>303</v>
      </c>
      <c r="D229" s="42" t="s">
        <v>252</v>
      </c>
      <c r="E229" s="42"/>
      <c r="F229" s="42"/>
      <c r="G229" s="11">
        <f>G230</f>
        <v>0</v>
      </c>
      <c r="H229" s="11">
        <f aca="true" t="shared" si="131" ref="H229:M230">H230</f>
        <v>0</v>
      </c>
      <c r="I229" s="11">
        <f t="shared" si="131"/>
        <v>0</v>
      </c>
      <c r="J229" s="11">
        <f t="shared" si="131"/>
        <v>0</v>
      </c>
      <c r="K229" s="11">
        <f t="shared" si="131"/>
        <v>0</v>
      </c>
      <c r="L229" s="11">
        <f t="shared" si="131"/>
        <v>0</v>
      </c>
      <c r="M229" s="11">
        <f t="shared" si="131"/>
        <v>0</v>
      </c>
      <c r="N229" s="7" t="e">
        <f t="shared" si="118"/>
        <v>#DIV/0!</v>
      </c>
    </row>
    <row r="230" spans="1:14" ht="31.5" customHeight="1" hidden="1">
      <c r="A230" s="31" t="s">
        <v>311</v>
      </c>
      <c r="B230" s="42" t="s">
        <v>489</v>
      </c>
      <c r="C230" s="42" t="s">
        <v>303</v>
      </c>
      <c r="D230" s="42" t="s">
        <v>252</v>
      </c>
      <c r="E230" s="42" t="s">
        <v>312</v>
      </c>
      <c r="F230" s="42"/>
      <c r="G230" s="11">
        <f>G231</f>
        <v>0</v>
      </c>
      <c r="H230" s="11">
        <f t="shared" si="131"/>
        <v>0</v>
      </c>
      <c r="I230" s="11">
        <f t="shared" si="131"/>
        <v>0</v>
      </c>
      <c r="J230" s="11">
        <f t="shared" si="131"/>
        <v>0</v>
      </c>
      <c r="K230" s="11">
        <f t="shared" si="131"/>
        <v>0</v>
      </c>
      <c r="L230" s="11">
        <f t="shared" si="131"/>
        <v>0</v>
      </c>
      <c r="M230" s="11">
        <f t="shared" si="131"/>
        <v>0</v>
      </c>
      <c r="N230" s="7" t="e">
        <f t="shared" si="118"/>
        <v>#DIV/0!</v>
      </c>
    </row>
    <row r="231" spans="1:14" ht="15.75" customHeight="1" hidden="1">
      <c r="A231" s="31" t="s">
        <v>313</v>
      </c>
      <c r="B231" s="42" t="s">
        <v>489</v>
      </c>
      <c r="C231" s="42" t="s">
        <v>303</v>
      </c>
      <c r="D231" s="42" t="s">
        <v>252</v>
      </c>
      <c r="E231" s="42" t="s">
        <v>314</v>
      </c>
      <c r="F231" s="42" t="s">
        <v>694</v>
      </c>
      <c r="G231" s="11"/>
      <c r="H231" s="11"/>
      <c r="I231" s="11"/>
      <c r="J231" s="11"/>
      <c r="K231" s="11"/>
      <c r="L231" s="11"/>
      <c r="M231" s="11"/>
      <c r="N231" s="7" t="e">
        <f t="shared" si="118"/>
        <v>#DIV/0!</v>
      </c>
    </row>
    <row r="232" spans="1:14" ht="15.75" customHeight="1" hidden="1">
      <c r="A232" s="31"/>
      <c r="B232" s="42"/>
      <c r="C232" s="42"/>
      <c r="D232" s="42"/>
      <c r="E232" s="42"/>
      <c r="F232" s="42"/>
      <c r="G232" s="11"/>
      <c r="H232" s="11"/>
      <c r="I232" s="11"/>
      <c r="J232" s="11"/>
      <c r="K232" s="11"/>
      <c r="L232" s="11"/>
      <c r="M232" s="11"/>
      <c r="N232" s="7" t="e">
        <f t="shared" si="118"/>
        <v>#DIV/0!</v>
      </c>
    </row>
    <row r="233" spans="1:14" ht="15.75" customHeight="1" hidden="1">
      <c r="A233" s="31"/>
      <c r="B233" s="42"/>
      <c r="C233" s="42"/>
      <c r="D233" s="42"/>
      <c r="E233" s="42"/>
      <c r="F233" s="42"/>
      <c r="G233" s="11"/>
      <c r="H233" s="11"/>
      <c r="I233" s="11"/>
      <c r="J233" s="11"/>
      <c r="K233" s="11"/>
      <c r="L233" s="11"/>
      <c r="M233" s="11"/>
      <c r="N233" s="7" t="e">
        <f t="shared" si="118"/>
        <v>#DIV/0!</v>
      </c>
    </row>
    <row r="234" spans="1:14" ht="31.5">
      <c r="A234" s="43" t="s">
        <v>507</v>
      </c>
      <c r="B234" s="8" t="s">
        <v>509</v>
      </c>
      <c r="C234" s="8"/>
      <c r="D234" s="8"/>
      <c r="E234" s="8"/>
      <c r="F234" s="8"/>
      <c r="G234" s="68" t="e">
        <f>G235</f>
        <v>#REF!</v>
      </c>
      <c r="H234" s="68" t="e">
        <f aca="true" t="shared" si="132" ref="H234:M238">H235</f>
        <v>#REF!</v>
      </c>
      <c r="I234" s="68" t="e">
        <f t="shared" si="132"/>
        <v>#REF!</v>
      </c>
      <c r="J234" s="68" t="e">
        <f t="shared" si="132"/>
        <v>#REF!</v>
      </c>
      <c r="K234" s="68" t="e">
        <f t="shared" si="132"/>
        <v>#REF!</v>
      </c>
      <c r="L234" s="68">
        <f t="shared" si="132"/>
        <v>3584</v>
      </c>
      <c r="M234" s="68">
        <f t="shared" si="132"/>
        <v>3584</v>
      </c>
      <c r="N234" s="4">
        <f t="shared" si="118"/>
        <v>100</v>
      </c>
    </row>
    <row r="235" spans="1:14" ht="15.75">
      <c r="A235" s="31" t="s">
        <v>302</v>
      </c>
      <c r="B235" s="42" t="s">
        <v>509</v>
      </c>
      <c r="C235" s="42" t="s">
        <v>303</v>
      </c>
      <c r="D235" s="42"/>
      <c r="E235" s="42"/>
      <c r="F235" s="42"/>
      <c r="G235" s="11" t="e">
        <f>G236</f>
        <v>#REF!</v>
      </c>
      <c r="H235" s="11" t="e">
        <f t="shared" si="132"/>
        <v>#REF!</v>
      </c>
      <c r="I235" s="11" t="e">
        <f t="shared" si="132"/>
        <v>#REF!</v>
      </c>
      <c r="J235" s="11" t="e">
        <f t="shared" si="132"/>
        <v>#REF!</v>
      </c>
      <c r="K235" s="11" t="e">
        <f t="shared" si="132"/>
        <v>#REF!</v>
      </c>
      <c r="L235" s="11">
        <f t="shared" si="132"/>
        <v>3584</v>
      </c>
      <c r="M235" s="11">
        <f t="shared" si="132"/>
        <v>3584</v>
      </c>
      <c r="N235" s="7">
        <f t="shared" si="118"/>
        <v>100</v>
      </c>
    </row>
    <row r="236" spans="1:14" ht="15.75">
      <c r="A236" s="31" t="s">
        <v>506</v>
      </c>
      <c r="B236" s="42" t="s">
        <v>509</v>
      </c>
      <c r="C236" s="42" t="s">
        <v>303</v>
      </c>
      <c r="D236" s="42" t="s">
        <v>303</v>
      </c>
      <c r="E236" s="42"/>
      <c r="F236" s="42"/>
      <c r="G236" s="11" t="e">
        <f>G237</f>
        <v>#REF!</v>
      </c>
      <c r="H236" s="11" t="e">
        <f t="shared" si="132"/>
        <v>#REF!</v>
      </c>
      <c r="I236" s="11" t="e">
        <f t="shared" si="132"/>
        <v>#REF!</v>
      </c>
      <c r="J236" s="11" t="e">
        <f t="shared" si="132"/>
        <v>#REF!</v>
      </c>
      <c r="K236" s="11" t="e">
        <f t="shared" si="132"/>
        <v>#REF!</v>
      </c>
      <c r="L236" s="11">
        <f t="shared" si="132"/>
        <v>3584</v>
      </c>
      <c r="M236" s="11">
        <f t="shared" si="132"/>
        <v>3584</v>
      </c>
      <c r="N236" s="7">
        <f t="shared" si="118"/>
        <v>100</v>
      </c>
    </row>
    <row r="237" spans="1:14" ht="31.5">
      <c r="A237" s="26" t="s">
        <v>660</v>
      </c>
      <c r="B237" s="21" t="s">
        <v>511</v>
      </c>
      <c r="C237" s="42" t="s">
        <v>303</v>
      </c>
      <c r="D237" s="42" t="s">
        <v>303</v>
      </c>
      <c r="E237" s="42"/>
      <c r="F237" s="42"/>
      <c r="G237" s="11" t="e">
        <f>G238</f>
        <v>#REF!</v>
      </c>
      <c r="H237" s="11" t="e">
        <f t="shared" si="132"/>
        <v>#REF!</v>
      </c>
      <c r="I237" s="11" t="e">
        <f t="shared" si="132"/>
        <v>#REF!</v>
      </c>
      <c r="J237" s="11" t="e">
        <f t="shared" si="132"/>
        <v>#REF!</v>
      </c>
      <c r="K237" s="11" t="e">
        <f t="shared" si="132"/>
        <v>#REF!</v>
      </c>
      <c r="L237" s="11">
        <f t="shared" si="132"/>
        <v>3584</v>
      </c>
      <c r="M237" s="11">
        <f t="shared" si="132"/>
        <v>3584</v>
      </c>
      <c r="N237" s="7">
        <f t="shared" si="118"/>
        <v>100</v>
      </c>
    </row>
    <row r="238" spans="1:14" ht="31.5">
      <c r="A238" s="31" t="s">
        <v>311</v>
      </c>
      <c r="B238" s="21" t="s">
        <v>511</v>
      </c>
      <c r="C238" s="42" t="s">
        <v>303</v>
      </c>
      <c r="D238" s="42" t="s">
        <v>303</v>
      </c>
      <c r="E238" s="42" t="s">
        <v>312</v>
      </c>
      <c r="F238" s="42"/>
      <c r="G238" s="11" t="e">
        <f>G239</f>
        <v>#REF!</v>
      </c>
      <c r="H238" s="11" t="e">
        <f t="shared" si="132"/>
        <v>#REF!</v>
      </c>
      <c r="I238" s="11" t="e">
        <f t="shared" si="132"/>
        <v>#REF!</v>
      </c>
      <c r="J238" s="11" t="e">
        <f t="shared" si="132"/>
        <v>#REF!</v>
      </c>
      <c r="K238" s="11" t="e">
        <f t="shared" si="132"/>
        <v>#REF!</v>
      </c>
      <c r="L238" s="11">
        <f t="shared" si="132"/>
        <v>3584</v>
      </c>
      <c r="M238" s="11">
        <f t="shared" si="132"/>
        <v>3584</v>
      </c>
      <c r="N238" s="7">
        <f t="shared" si="118"/>
        <v>100</v>
      </c>
    </row>
    <row r="239" spans="1:14" ht="15.75">
      <c r="A239" s="31" t="s">
        <v>313</v>
      </c>
      <c r="B239" s="21" t="s">
        <v>511</v>
      </c>
      <c r="C239" s="42" t="s">
        <v>303</v>
      </c>
      <c r="D239" s="42" t="s">
        <v>303</v>
      </c>
      <c r="E239" s="42" t="s">
        <v>314</v>
      </c>
      <c r="F239" s="42"/>
      <c r="G239" s="11" t="e">
        <f>#REF!</f>
        <v>#REF!</v>
      </c>
      <c r="H239" s="11" t="e">
        <f>#REF!</f>
        <v>#REF!</v>
      </c>
      <c r="I239" s="11" t="e">
        <f>#REF!</f>
        <v>#REF!</v>
      </c>
      <c r="J239" s="11" t="e">
        <f>#REF!</f>
        <v>#REF!</v>
      </c>
      <c r="K239" s="11" t="e">
        <f>#REF!</f>
        <v>#REF!</v>
      </c>
      <c r="L239" s="11">
        <f>'Прил.№4 ведомств.'!G858</f>
        <v>3584</v>
      </c>
      <c r="M239" s="11">
        <f>'Прил.№4 ведомств.'!H858</f>
        <v>3584</v>
      </c>
      <c r="N239" s="7">
        <f t="shared" si="118"/>
        <v>100</v>
      </c>
    </row>
    <row r="240" spans="1:14" ht="31.5">
      <c r="A240" s="31" t="s">
        <v>443</v>
      </c>
      <c r="B240" s="21" t="s">
        <v>509</v>
      </c>
      <c r="C240" s="42"/>
      <c r="D240" s="42"/>
      <c r="E240" s="42"/>
      <c r="F240" s="42" t="s">
        <v>694</v>
      </c>
      <c r="G240" s="11" t="e">
        <f aca="true" t="shared" si="133" ref="G240:L240">G234</f>
        <v>#REF!</v>
      </c>
      <c r="H240" s="11" t="e">
        <f t="shared" si="133"/>
        <v>#REF!</v>
      </c>
      <c r="I240" s="11" t="e">
        <f t="shared" si="133"/>
        <v>#REF!</v>
      </c>
      <c r="J240" s="11" t="e">
        <f t="shared" si="133"/>
        <v>#REF!</v>
      </c>
      <c r="K240" s="11" t="e">
        <f t="shared" si="133"/>
        <v>#REF!</v>
      </c>
      <c r="L240" s="11">
        <f t="shared" si="133"/>
        <v>3584</v>
      </c>
      <c r="M240" s="11">
        <f aca="true" t="shared" si="134" ref="M240">M234</f>
        <v>3584</v>
      </c>
      <c r="N240" s="7">
        <f t="shared" si="118"/>
        <v>100</v>
      </c>
    </row>
    <row r="241" spans="1:14" ht="47.25" hidden="1">
      <c r="A241" s="64" t="s">
        <v>942</v>
      </c>
      <c r="B241" s="255" t="s">
        <v>195</v>
      </c>
      <c r="C241" s="8"/>
      <c r="D241" s="255"/>
      <c r="E241" s="255"/>
      <c r="F241" s="268"/>
      <c r="G241" s="68" t="e">
        <f aca="true" t="shared" si="135" ref="G241:L241">G242+G248</f>
        <v>#REF!</v>
      </c>
      <c r="H241" s="68" t="e">
        <f t="shared" si="135"/>
        <v>#REF!</v>
      </c>
      <c r="I241" s="68" t="e">
        <f t="shared" si="135"/>
        <v>#REF!</v>
      </c>
      <c r="J241" s="68" t="e">
        <f t="shared" si="135"/>
        <v>#REF!</v>
      </c>
      <c r="K241" s="68" t="e">
        <f t="shared" si="135"/>
        <v>#REF!</v>
      </c>
      <c r="L241" s="68">
        <f t="shared" si="135"/>
        <v>0</v>
      </c>
      <c r="M241" s="68">
        <f aca="true" t="shared" si="136" ref="M241">M242+M248</f>
        <v>0</v>
      </c>
      <c r="N241" s="7" t="e">
        <f t="shared" si="118"/>
        <v>#DIV/0!</v>
      </c>
    </row>
    <row r="242" spans="1:14" ht="15.75" customHeight="1" hidden="1">
      <c r="A242" s="47" t="s">
        <v>156</v>
      </c>
      <c r="B242" s="6" t="s">
        <v>195</v>
      </c>
      <c r="C242" s="42" t="s">
        <v>157</v>
      </c>
      <c r="D242" s="6"/>
      <c r="E242" s="6"/>
      <c r="F242" s="6"/>
      <c r="G242" s="11" t="e">
        <f>G243</f>
        <v>#REF!</v>
      </c>
      <c r="H242" s="11" t="e">
        <f aca="true" t="shared" si="137" ref="H242:M245">H243</f>
        <v>#REF!</v>
      </c>
      <c r="I242" s="11" t="e">
        <f t="shared" si="137"/>
        <v>#REF!</v>
      </c>
      <c r="J242" s="11" t="e">
        <f t="shared" si="137"/>
        <v>#REF!</v>
      </c>
      <c r="K242" s="11" t="e">
        <f t="shared" si="137"/>
        <v>#REF!</v>
      </c>
      <c r="L242" s="11">
        <f t="shared" si="137"/>
        <v>0</v>
      </c>
      <c r="M242" s="11">
        <f t="shared" si="137"/>
        <v>0</v>
      </c>
      <c r="N242" s="7" t="e">
        <f t="shared" si="118"/>
        <v>#DIV/0!</v>
      </c>
    </row>
    <row r="243" spans="1:14" ht="15.75" customHeight="1" hidden="1">
      <c r="A243" s="47" t="s">
        <v>178</v>
      </c>
      <c r="B243" s="6" t="s">
        <v>195</v>
      </c>
      <c r="C243" s="42" t="s">
        <v>157</v>
      </c>
      <c r="D243" s="6">
        <v>13</v>
      </c>
      <c r="E243" s="6"/>
      <c r="F243" s="6"/>
      <c r="G243" s="11" t="e">
        <f>G244</f>
        <v>#REF!</v>
      </c>
      <c r="H243" s="11" t="e">
        <f t="shared" si="137"/>
        <v>#REF!</v>
      </c>
      <c r="I243" s="11" t="e">
        <f t="shared" si="137"/>
        <v>#REF!</v>
      </c>
      <c r="J243" s="11" t="e">
        <f t="shared" si="137"/>
        <v>#REF!</v>
      </c>
      <c r="K243" s="11" t="e">
        <f t="shared" si="137"/>
        <v>#REF!</v>
      </c>
      <c r="L243" s="11">
        <f t="shared" si="137"/>
        <v>0</v>
      </c>
      <c r="M243" s="11">
        <f t="shared" si="137"/>
        <v>0</v>
      </c>
      <c r="N243" s="7" t="e">
        <f t="shared" si="118"/>
        <v>#DIV/0!</v>
      </c>
    </row>
    <row r="244" spans="1:14" ht="31.5" customHeight="1" hidden="1">
      <c r="A244" s="31" t="s">
        <v>196</v>
      </c>
      <c r="B244" s="6" t="s">
        <v>197</v>
      </c>
      <c r="C244" s="42" t="s">
        <v>157</v>
      </c>
      <c r="D244" s="42" t="s">
        <v>179</v>
      </c>
      <c r="E244" s="42"/>
      <c r="F244" s="42"/>
      <c r="G244" s="11" t="e">
        <f>G245</f>
        <v>#REF!</v>
      </c>
      <c r="H244" s="11" t="e">
        <f t="shared" si="137"/>
        <v>#REF!</v>
      </c>
      <c r="I244" s="11" t="e">
        <f t="shared" si="137"/>
        <v>#REF!</v>
      </c>
      <c r="J244" s="11" t="e">
        <f t="shared" si="137"/>
        <v>#REF!</v>
      </c>
      <c r="K244" s="11" t="e">
        <f t="shared" si="137"/>
        <v>#REF!</v>
      </c>
      <c r="L244" s="11">
        <f t="shared" si="137"/>
        <v>0</v>
      </c>
      <c r="M244" s="11">
        <f t="shared" si="137"/>
        <v>0</v>
      </c>
      <c r="N244" s="7" t="e">
        <f t="shared" si="118"/>
        <v>#DIV/0!</v>
      </c>
    </row>
    <row r="245" spans="1:14" ht="31.5" customHeight="1" hidden="1">
      <c r="A245" s="31" t="s">
        <v>170</v>
      </c>
      <c r="B245" s="6" t="s">
        <v>197</v>
      </c>
      <c r="C245" s="42" t="s">
        <v>157</v>
      </c>
      <c r="D245" s="42" t="s">
        <v>179</v>
      </c>
      <c r="E245" s="42" t="s">
        <v>184</v>
      </c>
      <c r="F245" s="42"/>
      <c r="G245" s="11" t="e">
        <f>G246</f>
        <v>#REF!</v>
      </c>
      <c r="H245" s="11" t="e">
        <f t="shared" si="137"/>
        <v>#REF!</v>
      </c>
      <c r="I245" s="11" t="e">
        <f t="shared" si="137"/>
        <v>#REF!</v>
      </c>
      <c r="J245" s="11" t="e">
        <f t="shared" si="137"/>
        <v>#REF!</v>
      </c>
      <c r="K245" s="11" t="e">
        <f t="shared" si="137"/>
        <v>#REF!</v>
      </c>
      <c r="L245" s="11">
        <f t="shared" si="137"/>
        <v>0</v>
      </c>
      <c r="M245" s="11">
        <f t="shared" si="137"/>
        <v>0</v>
      </c>
      <c r="N245" s="7" t="e">
        <f t="shared" si="118"/>
        <v>#DIV/0!</v>
      </c>
    </row>
    <row r="246" spans="1:14" ht="47.25" customHeight="1" hidden="1">
      <c r="A246" s="31" t="s">
        <v>223</v>
      </c>
      <c r="B246" s="6" t="s">
        <v>197</v>
      </c>
      <c r="C246" s="42" t="s">
        <v>157</v>
      </c>
      <c r="D246" s="42" t="s">
        <v>179</v>
      </c>
      <c r="E246" s="42" t="s">
        <v>199</v>
      </c>
      <c r="F246" s="42"/>
      <c r="G246" s="11" t="e">
        <f>#REF!</f>
        <v>#REF!</v>
      </c>
      <c r="H246" s="11" t="e">
        <f>#REF!</f>
        <v>#REF!</v>
      </c>
      <c r="I246" s="11" t="e">
        <f>#REF!</f>
        <v>#REF!</v>
      </c>
      <c r="J246" s="11" t="e">
        <f>#REF!</f>
        <v>#REF!</v>
      </c>
      <c r="K246" s="11" t="e">
        <f>#REF!</f>
        <v>#REF!</v>
      </c>
      <c r="L246" s="11">
        <f>'Прил.№4 ведомств.'!G70</f>
        <v>0</v>
      </c>
      <c r="M246" s="11">
        <f>'Прил.№4 ведомств.'!H70</f>
        <v>0</v>
      </c>
      <c r="N246" s="7" t="e">
        <f t="shared" si="118"/>
        <v>#DIV/0!</v>
      </c>
    </row>
    <row r="247" spans="1:14" ht="15.75" customHeight="1" hidden="1">
      <c r="A247" s="31" t="s">
        <v>187</v>
      </c>
      <c r="B247" s="6" t="s">
        <v>195</v>
      </c>
      <c r="C247" s="42" t="s">
        <v>157</v>
      </c>
      <c r="D247" s="42" t="s">
        <v>179</v>
      </c>
      <c r="E247" s="42"/>
      <c r="F247" s="42" t="s">
        <v>699</v>
      </c>
      <c r="G247" s="11" t="e">
        <f>G241</f>
        <v>#REF!</v>
      </c>
      <c r="H247" s="11" t="e">
        <f>H241</f>
        <v>#REF!</v>
      </c>
      <c r="I247" s="11" t="e">
        <f>I241</f>
        <v>#REF!</v>
      </c>
      <c r="J247" s="11" t="e">
        <f>J241</f>
        <v>#REF!</v>
      </c>
      <c r="K247" s="11" t="e">
        <f>K241</f>
        <v>#REF!</v>
      </c>
      <c r="L247" s="11">
        <f>L242</f>
        <v>0</v>
      </c>
      <c r="M247" s="11">
        <f aca="true" t="shared" si="138" ref="M247">M242</f>
        <v>0</v>
      </c>
      <c r="N247" s="7" t="e">
        <f t="shared" si="118"/>
        <v>#DIV/0!</v>
      </c>
    </row>
    <row r="248" spans="1:14" ht="15.75" hidden="1">
      <c r="A248" s="47" t="s">
        <v>271</v>
      </c>
      <c r="B248" s="6" t="s">
        <v>195</v>
      </c>
      <c r="C248" s="42" t="s">
        <v>189</v>
      </c>
      <c r="D248" s="42"/>
      <c r="E248" s="42"/>
      <c r="F248" s="42"/>
      <c r="G248" s="11">
        <f>G249</f>
        <v>0</v>
      </c>
      <c r="H248" s="11">
        <f aca="true" t="shared" si="139" ref="H248:M251">H249</f>
        <v>0</v>
      </c>
      <c r="I248" s="11">
        <f t="shared" si="139"/>
        <v>540</v>
      </c>
      <c r="J248" s="11">
        <f t="shared" si="139"/>
        <v>540</v>
      </c>
      <c r="K248" s="11">
        <f t="shared" si="139"/>
        <v>540</v>
      </c>
      <c r="L248" s="11">
        <f t="shared" si="139"/>
        <v>0</v>
      </c>
      <c r="M248" s="11">
        <f t="shared" si="139"/>
        <v>0</v>
      </c>
      <c r="N248" s="7" t="e">
        <f t="shared" si="118"/>
        <v>#DIV/0!</v>
      </c>
    </row>
    <row r="249" spans="1:14" ht="15.75" hidden="1">
      <c r="A249" s="47" t="s">
        <v>904</v>
      </c>
      <c r="B249" s="6" t="s">
        <v>195</v>
      </c>
      <c r="C249" s="42" t="s">
        <v>189</v>
      </c>
      <c r="D249" s="42" t="s">
        <v>277</v>
      </c>
      <c r="E249" s="42"/>
      <c r="F249" s="42"/>
      <c r="G249" s="11">
        <f>G250</f>
        <v>0</v>
      </c>
      <c r="H249" s="11">
        <f t="shared" si="139"/>
        <v>0</v>
      </c>
      <c r="I249" s="11">
        <f t="shared" si="139"/>
        <v>540</v>
      </c>
      <c r="J249" s="11">
        <f t="shared" si="139"/>
        <v>540</v>
      </c>
      <c r="K249" s="11">
        <f t="shared" si="139"/>
        <v>540</v>
      </c>
      <c r="L249" s="11">
        <f t="shared" si="139"/>
        <v>0</v>
      </c>
      <c r="M249" s="11">
        <f t="shared" si="139"/>
        <v>0</v>
      </c>
      <c r="N249" s="7" t="e">
        <f t="shared" si="118"/>
        <v>#DIV/0!</v>
      </c>
    </row>
    <row r="250" spans="1:14" ht="31.5" hidden="1">
      <c r="A250" s="31" t="s">
        <v>196</v>
      </c>
      <c r="B250" s="6" t="s">
        <v>197</v>
      </c>
      <c r="C250" s="42" t="s">
        <v>189</v>
      </c>
      <c r="D250" s="42" t="s">
        <v>277</v>
      </c>
      <c r="E250" s="42"/>
      <c r="F250" s="42"/>
      <c r="G250" s="11">
        <f>G251</f>
        <v>0</v>
      </c>
      <c r="H250" s="11">
        <f t="shared" si="139"/>
        <v>0</v>
      </c>
      <c r="I250" s="11">
        <f t="shared" si="139"/>
        <v>540</v>
      </c>
      <c r="J250" s="11">
        <f t="shared" si="139"/>
        <v>540</v>
      </c>
      <c r="K250" s="11">
        <f t="shared" si="139"/>
        <v>540</v>
      </c>
      <c r="L250" s="11">
        <f t="shared" si="139"/>
        <v>0</v>
      </c>
      <c r="M250" s="11">
        <f t="shared" si="139"/>
        <v>0</v>
      </c>
      <c r="N250" s="7" t="e">
        <f t="shared" si="118"/>
        <v>#DIV/0!</v>
      </c>
    </row>
    <row r="251" spans="1:14" ht="31.5" hidden="1">
      <c r="A251" s="31" t="s">
        <v>170</v>
      </c>
      <c r="B251" s="6" t="s">
        <v>197</v>
      </c>
      <c r="C251" s="42" t="s">
        <v>189</v>
      </c>
      <c r="D251" s="42" t="s">
        <v>277</v>
      </c>
      <c r="E251" s="42" t="s">
        <v>171</v>
      </c>
      <c r="F251" s="42"/>
      <c r="G251" s="11">
        <f>G252</f>
        <v>0</v>
      </c>
      <c r="H251" s="11">
        <f t="shared" si="139"/>
        <v>0</v>
      </c>
      <c r="I251" s="11">
        <f t="shared" si="139"/>
        <v>540</v>
      </c>
      <c r="J251" s="11">
        <f t="shared" si="139"/>
        <v>540</v>
      </c>
      <c r="K251" s="11">
        <f t="shared" si="139"/>
        <v>540</v>
      </c>
      <c r="L251" s="11">
        <f t="shared" si="139"/>
        <v>0</v>
      </c>
      <c r="M251" s="11">
        <f t="shared" si="139"/>
        <v>0</v>
      </c>
      <c r="N251" s="7" t="e">
        <f t="shared" si="118"/>
        <v>#DIV/0!</v>
      </c>
    </row>
    <row r="252" spans="1:14" ht="47.25" hidden="1">
      <c r="A252" s="31" t="s">
        <v>223</v>
      </c>
      <c r="B252" s="6" t="s">
        <v>197</v>
      </c>
      <c r="C252" s="42" t="s">
        <v>189</v>
      </c>
      <c r="D252" s="42" t="s">
        <v>277</v>
      </c>
      <c r="E252" s="42" t="s">
        <v>173</v>
      </c>
      <c r="F252" s="42"/>
      <c r="G252" s="11">
        <v>0</v>
      </c>
      <c r="H252" s="11">
        <v>0</v>
      </c>
      <c r="I252" s="11">
        <v>540</v>
      </c>
      <c r="J252" s="11">
        <v>540</v>
      </c>
      <c r="K252" s="11">
        <v>540</v>
      </c>
      <c r="L252" s="11">
        <f>'Прил.№4 ведомств.'!G209</f>
        <v>0</v>
      </c>
      <c r="M252" s="11">
        <f>'Прил.№4 ведомств.'!H209</f>
        <v>0</v>
      </c>
      <c r="N252" s="7" t="e">
        <f t="shared" si="118"/>
        <v>#DIV/0!</v>
      </c>
    </row>
    <row r="253" spans="1:14" ht="15.75" hidden="1">
      <c r="A253" s="31" t="s">
        <v>187</v>
      </c>
      <c r="B253" s="6" t="s">
        <v>195</v>
      </c>
      <c r="C253" s="42"/>
      <c r="D253" s="42"/>
      <c r="E253" s="42"/>
      <c r="F253" s="42" t="s">
        <v>699</v>
      </c>
      <c r="G253" s="11">
        <f aca="true" t="shared" si="140" ref="G253:L253">G248</f>
        <v>0</v>
      </c>
      <c r="H253" s="11">
        <f t="shared" si="140"/>
        <v>0</v>
      </c>
      <c r="I253" s="11">
        <f t="shared" si="140"/>
        <v>540</v>
      </c>
      <c r="J253" s="11">
        <f t="shared" si="140"/>
        <v>540</v>
      </c>
      <c r="K253" s="11">
        <f t="shared" si="140"/>
        <v>540</v>
      </c>
      <c r="L253" s="11">
        <f t="shared" si="140"/>
        <v>0</v>
      </c>
      <c r="M253" s="11">
        <f aca="true" t="shared" si="141" ref="M253">M248</f>
        <v>0</v>
      </c>
      <c r="N253" s="7" t="e">
        <f t="shared" si="118"/>
        <v>#DIV/0!</v>
      </c>
    </row>
    <row r="254" spans="1:14" ht="45.75" customHeight="1">
      <c r="A254" s="43" t="s">
        <v>959</v>
      </c>
      <c r="B254" s="255" t="s">
        <v>201</v>
      </c>
      <c r="C254" s="8"/>
      <c r="D254" s="8"/>
      <c r="E254" s="8"/>
      <c r="F254" s="8"/>
      <c r="G254" s="68" t="e">
        <f>G255</f>
        <v>#REF!</v>
      </c>
      <c r="H254" s="68" t="e">
        <f aca="true" t="shared" si="142" ref="H254:M255">H255</f>
        <v>#REF!</v>
      </c>
      <c r="I254" s="68" t="e">
        <f t="shared" si="142"/>
        <v>#REF!</v>
      </c>
      <c r="J254" s="68" t="e">
        <f t="shared" si="142"/>
        <v>#REF!</v>
      </c>
      <c r="K254" s="68" t="e">
        <f t="shared" si="142"/>
        <v>#REF!</v>
      </c>
      <c r="L254" s="68">
        <f t="shared" si="142"/>
        <v>741</v>
      </c>
      <c r="M254" s="68">
        <f t="shared" si="142"/>
        <v>369.3</v>
      </c>
      <c r="N254" s="4">
        <f t="shared" si="118"/>
        <v>49.83805668016195</v>
      </c>
    </row>
    <row r="255" spans="1:14" ht="15.75">
      <c r="A255" s="47" t="s">
        <v>156</v>
      </c>
      <c r="B255" s="6" t="s">
        <v>201</v>
      </c>
      <c r="C255" s="42" t="s">
        <v>157</v>
      </c>
      <c r="D255" s="6"/>
      <c r="E255" s="6"/>
      <c r="F255" s="42"/>
      <c r="G255" s="11" t="e">
        <f>G256</f>
        <v>#REF!</v>
      </c>
      <c r="H255" s="11" t="e">
        <f t="shared" si="142"/>
        <v>#REF!</v>
      </c>
      <c r="I255" s="11" t="e">
        <f t="shared" si="142"/>
        <v>#REF!</v>
      </c>
      <c r="J255" s="11" t="e">
        <f t="shared" si="142"/>
        <v>#REF!</v>
      </c>
      <c r="K255" s="11" t="e">
        <f t="shared" si="142"/>
        <v>#REF!</v>
      </c>
      <c r="L255" s="11">
        <f t="shared" si="142"/>
        <v>741</v>
      </c>
      <c r="M255" s="11">
        <f t="shared" si="142"/>
        <v>369.3</v>
      </c>
      <c r="N255" s="7">
        <f t="shared" si="118"/>
        <v>49.83805668016195</v>
      </c>
    </row>
    <row r="256" spans="1:14" ht="15.75">
      <c r="A256" s="47" t="s">
        <v>178</v>
      </c>
      <c r="B256" s="6" t="s">
        <v>201</v>
      </c>
      <c r="C256" s="42" t="s">
        <v>157</v>
      </c>
      <c r="D256" s="6">
        <v>13</v>
      </c>
      <c r="E256" s="6"/>
      <c r="F256" s="42"/>
      <c r="G256" s="11" t="e">
        <f aca="true" t="shared" si="143" ref="G256:L256">G257+G260+G266+G269</f>
        <v>#REF!</v>
      </c>
      <c r="H256" s="11" t="e">
        <f t="shared" si="143"/>
        <v>#REF!</v>
      </c>
      <c r="I256" s="11" t="e">
        <f t="shared" si="143"/>
        <v>#REF!</v>
      </c>
      <c r="J256" s="11" t="e">
        <f t="shared" si="143"/>
        <v>#REF!</v>
      </c>
      <c r="K256" s="11" t="e">
        <f t="shared" si="143"/>
        <v>#REF!</v>
      </c>
      <c r="L256" s="11">
        <f t="shared" si="143"/>
        <v>741</v>
      </c>
      <c r="M256" s="11">
        <f aca="true" t="shared" si="144" ref="M256">M257+M260+M266+M269</f>
        <v>369.3</v>
      </c>
      <c r="N256" s="7">
        <f t="shared" si="118"/>
        <v>49.83805668016195</v>
      </c>
    </row>
    <row r="257" spans="1:14" ht="31.5">
      <c r="A257" s="31" t="s">
        <v>202</v>
      </c>
      <c r="B257" s="42" t="s">
        <v>203</v>
      </c>
      <c r="C257" s="42" t="s">
        <v>157</v>
      </c>
      <c r="D257" s="42" t="s">
        <v>179</v>
      </c>
      <c r="E257" s="42"/>
      <c r="F257" s="42"/>
      <c r="G257" s="11" t="e">
        <f>G258</f>
        <v>#REF!</v>
      </c>
      <c r="H257" s="11" t="e">
        <f aca="true" t="shared" si="145" ref="H257:M258">H258</f>
        <v>#REF!</v>
      </c>
      <c r="I257" s="11" t="e">
        <f t="shared" si="145"/>
        <v>#REF!</v>
      </c>
      <c r="J257" s="11" t="e">
        <f t="shared" si="145"/>
        <v>#REF!</v>
      </c>
      <c r="K257" s="11" t="e">
        <f t="shared" si="145"/>
        <v>#REF!</v>
      </c>
      <c r="L257" s="11">
        <f t="shared" si="145"/>
        <v>491</v>
      </c>
      <c r="M257" s="11">
        <f t="shared" si="145"/>
        <v>327.2</v>
      </c>
      <c r="N257" s="7">
        <f t="shared" si="118"/>
        <v>66.63951120162932</v>
      </c>
    </row>
    <row r="258" spans="1:14" ht="31.5">
      <c r="A258" s="31" t="s">
        <v>170</v>
      </c>
      <c r="B258" s="42" t="s">
        <v>203</v>
      </c>
      <c r="C258" s="42" t="s">
        <v>157</v>
      </c>
      <c r="D258" s="42" t="s">
        <v>179</v>
      </c>
      <c r="E258" s="42" t="s">
        <v>171</v>
      </c>
      <c r="F258" s="42"/>
      <c r="G258" s="11" t="e">
        <f>G259</f>
        <v>#REF!</v>
      </c>
      <c r="H258" s="11" t="e">
        <f t="shared" si="145"/>
        <v>#REF!</v>
      </c>
      <c r="I258" s="11" t="e">
        <f t="shared" si="145"/>
        <v>#REF!</v>
      </c>
      <c r="J258" s="11" t="e">
        <f t="shared" si="145"/>
        <v>#REF!</v>
      </c>
      <c r="K258" s="11" t="e">
        <f t="shared" si="145"/>
        <v>#REF!</v>
      </c>
      <c r="L258" s="11">
        <f t="shared" si="145"/>
        <v>491</v>
      </c>
      <c r="M258" s="11">
        <f t="shared" si="145"/>
        <v>327.2</v>
      </c>
      <c r="N258" s="7">
        <f t="shared" si="118"/>
        <v>66.63951120162932</v>
      </c>
    </row>
    <row r="259" spans="1:14" ht="31.5">
      <c r="A259" s="31" t="s">
        <v>172</v>
      </c>
      <c r="B259" s="42" t="s">
        <v>203</v>
      </c>
      <c r="C259" s="42" t="s">
        <v>157</v>
      </c>
      <c r="D259" s="42" t="s">
        <v>179</v>
      </c>
      <c r="E259" s="42" t="s">
        <v>173</v>
      </c>
      <c r="F259" s="42"/>
      <c r="G259" s="11" t="e">
        <f>#REF!</f>
        <v>#REF!</v>
      </c>
      <c r="H259" s="11" t="e">
        <f>#REF!</f>
        <v>#REF!</v>
      </c>
      <c r="I259" s="11" t="e">
        <f>#REF!</f>
        <v>#REF!</v>
      </c>
      <c r="J259" s="11" t="e">
        <f>#REF!</f>
        <v>#REF!</v>
      </c>
      <c r="K259" s="11" t="e">
        <f>#REF!</f>
        <v>#REF!</v>
      </c>
      <c r="L259" s="11">
        <f>'Прил.№4 ведомств.'!G74</f>
        <v>491</v>
      </c>
      <c r="M259" s="11">
        <f>'Прил.№4 ведомств.'!H74</f>
        <v>327.2</v>
      </c>
      <c r="N259" s="7">
        <f t="shared" si="118"/>
        <v>66.63951120162932</v>
      </c>
    </row>
    <row r="260" spans="1:14" ht="47.25">
      <c r="A260" s="196" t="s">
        <v>204</v>
      </c>
      <c r="B260" s="42" t="s">
        <v>205</v>
      </c>
      <c r="C260" s="42" t="s">
        <v>157</v>
      </c>
      <c r="D260" s="42" t="s">
        <v>179</v>
      </c>
      <c r="E260" s="42"/>
      <c r="F260" s="42"/>
      <c r="G260" s="11" t="e">
        <f aca="true" t="shared" si="146" ref="G260:L260">G261+G263</f>
        <v>#REF!</v>
      </c>
      <c r="H260" s="11" t="e">
        <f t="shared" si="146"/>
        <v>#REF!</v>
      </c>
      <c r="I260" s="11" t="e">
        <f t="shared" si="146"/>
        <v>#REF!</v>
      </c>
      <c r="J260" s="11" t="e">
        <f t="shared" si="146"/>
        <v>#REF!</v>
      </c>
      <c r="K260" s="11" t="e">
        <f t="shared" si="146"/>
        <v>#REF!</v>
      </c>
      <c r="L260" s="11">
        <f t="shared" si="146"/>
        <v>249</v>
      </c>
      <c r="M260" s="11">
        <f aca="true" t="shared" si="147" ref="M260">M261+M263</f>
        <v>41.8</v>
      </c>
      <c r="N260" s="7">
        <f t="shared" si="118"/>
        <v>16.78714859437751</v>
      </c>
    </row>
    <row r="261" spans="1:14" ht="78.75">
      <c r="A261" s="31" t="s">
        <v>166</v>
      </c>
      <c r="B261" s="42" t="s">
        <v>205</v>
      </c>
      <c r="C261" s="42" t="s">
        <v>157</v>
      </c>
      <c r="D261" s="42" t="s">
        <v>179</v>
      </c>
      <c r="E261" s="42" t="s">
        <v>167</v>
      </c>
      <c r="F261" s="42"/>
      <c r="G261" s="11" t="e">
        <f aca="true" t="shared" si="148" ref="G261:M261">G262</f>
        <v>#REF!</v>
      </c>
      <c r="H261" s="11" t="e">
        <f t="shared" si="148"/>
        <v>#REF!</v>
      </c>
      <c r="I261" s="11" t="e">
        <f t="shared" si="148"/>
        <v>#REF!</v>
      </c>
      <c r="J261" s="11" t="e">
        <f t="shared" si="148"/>
        <v>#REF!</v>
      </c>
      <c r="K261" s="11" t="e">
        <f t="shared" si="148"/>
        <v>#REF!</v>
      </c>
      <c r="L261" s="11">
        <f t="shared" si="148"/>
        <v>159.7</v>
      </c>
      <c r="M261" s="11">
        <f t="shared" si="148"/>
        <v>17.3</v>
      </c>
      <c r="N261" s="7">
        <f t="shared" si="118"/>
        <v>10.832811521603007</v>
      </c>
    </row>
    <row r="262" spans="1:14" ht="31.5">
      <c r="A262" s="31" t="s">
        <v>168</v>
      </c>
      <c r="B262" s="42" t="s">
        <v>205</v>
      </c>
      <c r="C262" s="42" t="s">
        <v>157</v>
      </c>
      <c r="D262" s="42" t="s">
        <v>179</v>
      </c>
      <c r="E262" s="42" t="s">
        <v>169</v>
      </c>
      <c r="F262" s="42"/>
      <c r="G262" s="11" t="e">
        <f>#REF!</f>
        <v>#REF!</v>
      </c>
      <c r="H262" s="11" t="e">
        <f>#REF!</f>
        <v>#REF!</v>
      </c>
      <c r="I262" s="11" t="e">
        <f>#REF!</f>
        <v>#REF!</v>
      </c>
      <c r="J262" s="11" t="e">
        <f>#REF!</f>
        <v>#REF!</v>
      </c>
      <c r="K262" s="11" t="e">
        <f>#REF!</f>
        <v>#REF!</v>
      </c>
      <c r="L262" s="11">
        <f>'Прил.№4 ведомств.'!G77</f>
        <v>159.7</v>
      </c>
      <c r="M262" s="11">
        <f>'Прил.№4 ведомств.'!H77</f>
        <v>17.3</v>
      </c>
      <c r="N262" s="7">
        <f t="shared" si="118"/>
        <v>10.832811521603007</v>
      </c>
    </row>
    <row r="263" spans="1:14" ht="31.5">
      <c r="A263" s="31" t="s">
        <v>170</v>
      </c>
      <c r="B263" s="42" t="s">
        <v>205</v>
      </c>
      <c r="C263" s="42" t="s">
        <v>157</v>
      </c>
      <c r="D263" s="42" t="s">
        <v>179</v>
      </c>
      <c r="E263" s="42" t="s">
        <v>171</v>
      </c>
      <c r="F263" s="42"/>
      <c r="G263" s="11" t="e">
        <f aca="true" t="shared" si="149" ref="G263:M263">G264</f>
        <v>#REF!</v>
      </c>
      <c r="H263" s="11" t="e">
        <f t="shared" si="149"/>
        <v>#REF!</v>
      </c>
      <c r="I263" s="11" t="e">
        <f t="shared" si="149"/>
        <v>#REF!</v>
      </c>
      <c r="J263" s="11" t="e">
        <f t="shared" si="149"/>
        <v>#REF!</v>
      </c>
      <c r="K263" s="11" t="e">
        <f t="shared" si="149"/>
        <v>#REF!</v>
      </c>
      <c r="L263" s="11">
        <f t="shared" si="149"/>
        <v>89.30000000000001</v>
      </c>
      <c r="M263" s="11">
        <f t="shared" si="149"/>
        <v>24.5</v>
      </c>
      <c r="N263" s="7">
        <f t="shared" si="118"/>
        <v>27.43561030235162</v>
      </c>
    </row>
    <row r="264" spans="1:14" ht="31.5">
      <c r="A264" s="31" t="s">
        <v>172</v>
      </c>
      <c r="B264" s="42" t="s">
        <v>205</v>
      </c>
      <c r="C264" s="42" t="s">
        <v>157</v>
      </c>
      <c r="D264" s="42" t="s">
        <v>179</v>
      </c>
      <c r="E264" s="42" t="s">
        <v>173</v>
      </c>
      <c r="F264" s="42"/>
      <c r="G264" s="11" t="e">
        <f>#REF!</f>
        <v>#REF!</v>
      </c>
      <c r="H264" s="11" t="e">
        <f>#REF!</f>
        <v>#REF!</v>
      </c>
      <c r="I264" s="11" t="e">
        <f>#REF!</f>
        <v>#REF!</v>
      </c>
      <c r="J264" s="11" t="e">
        <f>#REF!</f>
        <v>#REF!</v>
      </c>
      <c r="K264" s="11" t="e">
        <f>#REF!</f>
        <v>#REF!</v>
      </c>
      <c r="L264" s="11">
        <f>'Прил.№4 ведомств.'!G79</f>
        <v>89.30000000000001</v>
      </c>
      <c r="M264" s="11">
        <f>'Прил.№4 ведомств.'!H79</f>
        <v>24.5</v>
      </c>
      <c r="N264" s="7">
        <f t="shared" si="118"/>
        <v>27.43561030235162</v>
      </c>
    </row>
    <row r="265" spans="1:14" ht="15.75">
      <c r="A265" s="31" t="s">
        <v>187</v>
      </c>
      <c r="B265" s="42" t="s">
        <v>201</v>
      </c>
      <c r="C265" s="42"/>
      <c r="D265" s="42"/>
      <c r="E265" s="42"/>
      <c r="F265" s="42" t="s">
        <v>699</v>
      </c>
      <c r="G265" s="11"/>
      <c r="H265" s="11"/>
      <c r="I265" s="11"/>
      <c r="J265" s="11"/>
      <c r="K265" s="11"/>
      <c r="L265" s="11">
        <f>L257+L260</f>
        <v>740</v>
      </c>
      <c r="M265" s="11">
        <f aca="true" t="shared" si="150" ref="M265">M257+M260</f>
        <v>369</v>
      </c>
      <c r="N265" s="7">
        <f t="shared" si="118"/>
        <v>49.86486486486486</v>
      </c>
    </row>
    <row r="266" spans="1:14" ht="47.25">
      <c r="A266" s="33" t="s">
        <v>756</v>
      </c>
      <c r="B266" s="42" t="s">
        <v>757</v>
      </c>
      <c r="C266" s="42" t="s">
        <v>157</v>
      </c>
      <c r="D266" s="42" t="s">
        <v>179</v>
      </c>
      <c r="E266" s="42"/>
      <c r="F266" s="42"/>
      <c r="G266" s="11" t="e">
        <f>G267</f>
        <v>#REF!</v>
      </c>
      <c r="H266" s="11" t="e">
        <f aca="true" t="shared" si="151" ref="H266:M267">H267</f>
        <v>#REF!</v>
      </c>
      <c r="I266" s="11" t="e">
        <f t="shared" si="151"/>
        <v>#REF!</v>
      </c>
      <c r="J266" s="11" t="e">
        <f t="shared" si="151"/>
        <v>#REF!</v>
      </c>
      <c r="K266" s="11" t="e">
        <f t="shared" si="151"/>
        <v>#REF!</v>
      </c>
      <c r="L266" s="11">
        <f t="shared" si="151"/>
        <v>0.5</v>
      </c>
      <c r="M266" s="11">
        <f t="shared" si="151"/>
        <v>0.3</v>
      </c>
      <c r="N266" s="7">
        <f t="shared" si="118"/>
        <v>60</v>
      </c>
    </row>
    <row r="267" spans="1:14" ht="31.5">
      <c r="A267" s="26" t="s">
        <v>170</v>
      </c>
      <c r="B267" s="42" t="s">
        <v>757</v>
      </c>
      <c r="C267" s="42" t="s">
        <v>157</v>
      </c>
      <c r="D267" s="42" t="s">
        <v>179</v>
      </c>
      <c r="E267" s="42" t="s">
        <v>171</v>
      </c>
      <c r="F267" s="42"/>
      <c r="G267" s="11" t="e">
        <f>G268</f>
        <v>#REF!</v>
      </c>
      <c r="H267" s="11" t="e">
        <f t="shared" si="151"/>
        <v>#REF!</v>
      </c>
      <c r="I267" s="11" t="e">
        <f t="shared" si="151"/>
        <v>#REF!</v>
      </c>
      <c r="J267" s="11" t="e">
        <f t="shared" si="151"/>
        <v>#REF!</v>
      </c>
      <c r="K267" s="11" t="e">
        <f t="shared" si="151"/>
        <v>#REF!</v>
      </c>
      <c r="L267" s="11">
        <f t="shared" si="151"/>
        <v>0.5</v>
      </c>
      <c r="M267" s="11">
        <f t="shared" si="151"/>
        <v>0.3</v>
      </c>
      <c r="N267" s="7">
        <f t="shared" si="118"/>
        <v>60</v>
      </c>
    </row>
    <row r="268" spans="1:14" ht="31.5">
      <c r="A268" s="26" t="s">
        <v>172</v>
      </c>
      <c r="B268" s="42" t="s">
        <v>757</v>
      </c>
      <c r="C268" s="42" t="s">
        <v>157</v>
      </c>
      <c r="D268" s="42" t="s">
        <v>179</v>
      </c>
      <c r="E268" s="42" t="s">
        <v>173</v>
      </c>
      <c r="F268" s="42"/>
      <c r="G268" s="11" t="e">
        <f>#REF!</f>
        <v>#REF!</v>
      </c>
      <c r="H268" s="11" t="e">
        <f>#REF!</f>
        <v>#REF!</v>
      </c>
      <c r="I268" s="11" t="e">
        <f>#REF!</f>
        <v>#REF!</v>
      </c>
      <c r="J268" s="11" t="e">
        <f>#REF!</f>
        <v>#REF!</v>
      </c>
      <c r="K268" s="11" t="e">
        <f>#REF!</f>
        <v>#REF!</v>
      </c>
      <c r="L268" s="11">
        <f>'Прил.№4 ведомств.'!G1262</f>
        <v>0.5</v>
      </c>
      <c r="M268" s="11">
        <f>'Прил.№4 ведомств.'!H1262</f>
        <v>0.3</v>
      </c>
      <c r="N268" s="7">
        <f t="shared" si="118"/>
        <v>60</v>
      </c>
    </row>
    <row r="269" spans="1:14" ht="47.25">
      <c r="A269" s="35" t="s">
        <v>230</v>
      </c>
      <c r="B269" s="42" t="s">
        <v>743</v>
      </c>
      <c r="C269" s="42" t="s">
        <v>157</v>
      </c>
      <c r="D269" s="42" t="s">
        <v>179</v>
      </c>
      <c r="E269" s="42"/>
      <c r="F269" s="42"/>
      <c r="G269" s="11" t="e">
        <f>G270</f>
        <v>#REF!</v>
      </c>
      <c r="H269" s="11" t="e">
        <f aca="true" t="shared" si="152" ref="H269:M270">H270</f>
        <v>#REF!</v>
      </c>
      <c r="I269" s="11" t="e">
        <f t="shared" si="152"/>
        <v>#REF!</v>
      </c>
      <c r="J269" s="11" t="e">
        <f t="shared" si="152"/>
        <v>#REF!</v>
      </c>
      <c r="K269" s="11" t="e">
        <f t="shared" si="152"/>
        <v>#REF!</v>
      </c>
      <c r="L269" s="11">
        <f t="shared" si="152"/>
        <v>0.5</v>
      </c>
      <c r="M269" s="11">
        <f t="shared" si="152"/>
        <v>0</v>
      </c>
      <c r="N269" s="7">
        <f aca="true" t="shared" si="153" ref="N269:N332">M269/L269*100</f>
        <v>0</v>
      </c>
    </row>
    <row r="270" spans="1:14" ht="31.5">
      <c r="A270" s="26" t="s">
        <v>170</v>
      </c>
      <c r="B270" s="42" t="s">
        <v>743</v>
      </c>
      <c r="C270" s="42" t="s">
        <v>157</v>
      </c>
      <c r="D270" s="42" t="s">
        <v>179</v>
      </c>
      <c r="E270" s="42" t="s">
        <v>171</v>
      </c>
      <c r="F270" s="42"/>
      <c r="G270" s="11" t="e">
        <f>G271</f>
        <v>#REF!</v>
      </c>
      <c r="H270" s="11" t="e">
        <f t="shared" si="152"/>
        <v>#REF!</v>
      </c>
      <c r="I270" s="11" t="e">
        <f t="shared" si="152"/>
        <v>#REF!</v>
      </c>
      <c r="J270" s="11" t="e">
        <f t="shared" si="152"/>
        <v>#REF!</v>
      </c>
      <c r="K270" s="11" t="e">
        <f t="shared" si="152"/>
        <v>#REF!</v>
      </c>
      <c r="L270" s="11">
        <f t="shared" si="152"/>
        <v>0.5</v>
      </c>
      <c r="M270" s="11">
        <f t="shared" si="152"/>
        <v>0</v>
      </c>
      <c r="N270" s="7">
        <f t="shared" si="153"/>
        <v>0</v>
      </c>
    </row>
    <row r="271" spans="1:14" ht="31.5">
      <c r="A271" s="26" t="s">
        <v>172</v>
      </c>
      <c r="B271" s="42" t="s">
        <v>743</v>
      </c>
      <c r="C271" s="42" t="s">
        <v>157</v>
      </c>
      <c r="D271" s="42" t="s">
        <v>179</v>
      </c>
      <c r="E271" s="42" t="s">
        <v>173</v>
      </c>
      <c r="F271" s="42"/>
      <c r="G271" s="11" t="e">
        <f>#REF!</f>
        <v>#REF!</v>
      </c>
      <c r="H271" s="11" t="e">
        <f>#REF!</f>
        <v>#REF!</v>
      </c>
      <c r="I271" s="11" t="e">
        <f>#REF!</f>
        <v>#REF!</v>
      </c>
      <c r="J271" s="11" t="e">
        <f>#REF!</f>
        <v>#REF!</v>
      </c>
      <c r="K271" s="11" t="e">
        <f>#REF!</f>
        <v>#REF!</v>
      </c>
      <c r="L271" s="11">
        <f>'Прил.№4 ведомств.'!G82</f>
        <v>0.5</v>
      </c>
      <c r="M271" s="11">
        <f>'Прил.№4 ведомств.'!H82</f>
        <v>0</v>
      </c>
      <c r="N271" s="7">
        <f t="shared" si="153"/>
        <v>0</v>
      </c>
    </row>
    <row r="272" spans="1:14" ht="31.5">
      <c r="A272" s="31" t="s">
        <v>614</v>
      </c>
      <c r="B272" s="42" t="s">
        <v>201</v>
      </c>
      <c r="C272" s="42"/>
      <c r="D272" s="42"/>
      <c r="E272" s="42"/>
      <c r="F272" s="42" t="s">
        <v>941</v>
      </c>
      <c r="G272" s="11" t="e">
        <f>G254</f>
        <v>#REF!</v>
      </c>
      <c r="H272" s="11" t="e">
        <f>H254</f>
        <v>#REF!</v>
      </c>
      <c r="I272" s="11" t="e">
        <f>I254</f>
        <v>#REF!</v>
      </c>
      <c r="J272" s="11" t="e">
        <f>J254</f>
        <v>#REF!</v>
      </c>
      <c r="K272" s="11" t="e">
        <f>K254</f>
        <v>#REF!</v>
      </c>
      <c r="L272" s="11">
        <f>L266</f>
        <v>0.5</v>
      </c>
      <c r="M272" s="11">
        <f aca="true" t="shared" si="154" ref="M272">M266</f>
        <v>0.3</v>
      </c>
      <c r="N272" s="7">
        <f t="shared" si="153"/>
        <v>60</v>
      </c>
    </row>
    <row r="273" spans="1:14" ht="70.5" customHeight="1">
      <c r="A273" s="43" t="s">
        <v>292</v>
      </c>
      <c r="B273" s="255" t="s">
        <v>293</v>
      </c>
      <c r="C273" s="42"/>
      <c r="D273" s="42"/>
      <c r="E273" s="42"/>
      <c r="F273" s="42"/>
      <c r="G273" s="68" t="e">
        <f>G274</f>
        <v>#REF!</v>
      </c>
      <c r="H273" s="68" t="e">
        <f aca="true" t="shared" si="155" ref="H273:M277">H274</f>
        <v>#REF!</v>
      </c>
      <c r="I273" s="68" t="e">
        <f t="shared" si="155"/>
        <v>#REF!</v>
      </c>
      <c r="J273" s="68" t="e">
        <f t="shared" si="155"/>
        <v>#REF!</v>
      </c>
      <c r="K273" s="68" t="e">
        <f t="shared" si="155"/>
        <v>#REF!</v>
      </c>
      <c r="L273" s="68">
        <f t="shared" si="155"/>
        <v>10</v>
      </c>
      <c r="M273" s="68">
        <f t="shared" si="155"/>
        <v>0</v>
      </c>
      <c r="N273" s="4">
        <f t="shared" si="153"/>
        <v>0</v>
      </c>
    </row>
    <row r="274" spans="1:14" ht="15.75">
      <c r="A274" s="31" t="s">
        <v>282</v>
      </c>
      <c r="B274" s="6" t="s">
        <v>293</v>
      </c>
      <c r="C274" s="42" t="s">
        <v>283</v>
      </c>
      <c r="D274" s="42"/>
      <c r="E274" s="42"/>
      <c r="F274" s="42"/>
      <c r="G274" s="11" t="e">
        <f>G275</f>
        <v>#REF!</v>
      </c>
      <c r="H274" s="11" t="e">
        <f t="shared" si="155"/>
        <v>#REF!</v>
      </c>
      <c r="I274" s="11" t="e">
        <f t="shared" si="155"/>
        <v>#REF!</v>
      </c>
      <c r="J274" s="11" t="e">
        <f t="shared" si="155"/>
        <v>#REF!</v>
      </c>
      <c r="K274" s="11" t="e">
        <f t="shared" si="155"/>
        <v>#REF!</v>
      </c>
      <c r="L274" s="11">
        <f t="shared" si="155"/>
        <v>10</v>
      </c>
      <c r="M274" s="11">
        <f t="shared" si="155"/>
        <v>0</v>
      </c>
      <c r="N274" s="7">
        <f t="shared" si="153"/>
        <v>0</v>
      </c>
    </row>
    <row r="275" spans="1:14" ht="22.5" customHeight="1">
      <c r="A275" s="31" t="s">
        <v>291</v>
      </c>
      <c r="B275" s="6" t="s">
        <v>293</v>
      </c>
      <c r="C275" s="42" t="s">
        <v>283</v>
      </c>
      <c r="D275" s="42" t="s">
        <v>254</v>
      </c>
      <c r="E275" s="42"/>
      <c r="F275" s="42"/>
      <c r="G275" s="11" t="e">
        <f>G276</f>
        <v>#REF!</v>
      </c>
      <c r="H275" s="11" t="e">
        <f t="shared" si="155"/>
        <v>#REF!</v>
      </c>
      <c r="I275" s="11" t="e">
        <f t="shared" si="155"/>
        <v>#REF!</v>
      </c>
      <c r="J275" s="11" t="e">
        <f t="shared" si="155"/>
        <v>#REF!</v>
      </c>
      <c r="K275" s="11" t="e">
        <f t="shared" si="155"/>
        <v>#REF!</v>
      </c>
      <c r="L275" s="11">
        <f t="shared" si="155"/>
        <v>10</v>
      </c>
      <c r="M275" s="11">
        <f t="shared" si="155"/>
        <v>0</v>
      </c>
      <c r="N275" s="7">
        <f t="shared" si="153"/>
        <v>0</v>
      </c>
    </row>
    <row r="276" spans="1:14" ht="31.5">
      <c r="A276" s="31" t="s">
        <v>196</v>
      </c>
      <c r="B276" s="6" t="s">
        <v>294</v>
      </c>
      <c r="C276" s="42" t="s">
        <v>283</v>
      </c>
      <c r="D276" s="42" t="s">
        <v>254</v>
      </c>
      <c r="E276" s="42"/>
      <c r="F276" s="42"/>
      <c r="G276" s="11" t="e">
        <f>G277</f>
        <v>#REF!</v>
      </c>
      <c r="H276" s="11" t="e">
        <f t="shared" si="155"/>
        <v>#REF!</v>
      </c>
      <c r="I276" s="11" t="e">
        <f t="shared" si="155"/>
        <v>#REF!</v>
      </c>
      <c r="J276" s="11" t="e">
        <f t="shared" si="155"/>
        <v>#REF!</v>
      </c>
      <c r="K276" s="11" t="e">
        <f t="shared" si="155"/>
        <v>#REF!</v>
      </c>
      <c r="L276" s="11">
        <f t="shared" si="155"/>
        <v>10</v>
      </c>
      <c r="M276" s="11">
        <f t="shared" si="155"/>
        <v>0</v>
      </c>
      <c r="N276" s="7">
        <f t="shared" si="153"/>
        <v>0</v>
      </c>
    </row>
    <row r="277" spans="1:14" ht="21.75" customHeight="1">
      <c r="A277" s="31" t="s">
        <v>287</v>
      </c>
      <c r="B277" s="6" t="s">
        <v>294</v>
      </c>
      <c r="C277" s="42" t="s">
        <v>283</v>
      </c>
      <c r="D277" s="42" t="s">
        <v>254</v>
      </c>
      <c r="E277" s="42" t="s">
        <v>288</v>
      </c>
      <c r="F277" s="42"/>
      <c r="G277" s="11" t="e">
        <f>G278</f>
        <v>#REF!</v>
      </c>
      <c r="H277" s="11" t="e">
        <f t="shared" si="155"/>
        <v>#REF!</v>
      </c>
      <c r="I277" s="11" t="e">
        <f t="shared" si="155"/>
        <v>#REF!</v>
      </c>
      <c r="J277" s="11" t="e">
        <f t="shared" si="155"/>
        <v>#REF!</v>
      </c>
      <c r="K277" s="11" t="e">
        <f t="shared" si="155"/>
        <v>#REF!</v>
      </c>
      <c r="L277" s="11">
        <f t="shared" si="155"/>
        <v>10</v>
      </c>
      <c r="M277" s="11">
        <f t="shared" si="155"/>
        <v>0</v>
      </c>
      <c r="N277" s="7">
        <f t="shared" si="153"/>
        <v>0</v>
      </c>
    </row>
    <row r="278" spans="1:14" ht="43.5" customHeight="1">
      <c r="A278" s="31" t="s">
        <v>289</v>
      </c>
      <c r="B278" s="6" t="s">
        <v>294</v>
      </c>
      <c r="C278" s="42" t="s">
        <v>283</v>
      </c>
      <c r="D278" s="42" t="s">
        <v>254</v>
      </c>
      <c r="E278" s="42" t="s">
        <v>290</v>
      </c>
      <c r="F278" s="42"/>
      <c r="G278" s="11" t="e">
        <f>#REF!</f>
        <v>#REF!</v>
      </c>
      <c r="H278" s="11" t="e">
        <f>#REF!</f>
        <v>#REF!</v>
      </c>
      <c r="I278" s="11" t="e">
        <f>#REF!</f>
        <v>#REF!</v>
      </c>
      <c r="J278" s="11" t="e">
        <f>#REF!</f>
        <v>#REF!</v>
      </c>
      <c r="K278" s="11" t="e">
        <f>#REF!</f>
        <v>#REF!</v>
      </c>
      <c r="L278" s="11">
        <f>'Прил.№4 ведомств.'!G231</f>
        <v>10</v>
      </c>
      <c r="M278" s="11">
        <f>'Прил.№4 ведомств.'!H231</f>
        <v>0</v>
      </c>
      <c r="N278" s="7">
        <f t="shared" si="153"/>
        <v>0</v>
      </c>
    </row>
    <row r="279" spans="1:14" ht="15.75">
      <c r="A279" s="47" t="s">
        <v>187</v>
      </c>
      <c r="B279" s="6" t="s">
        <v>293</v>
      </c>
      <c r="C279" s="42"/>
      <c r="D279" s="42"/>
      <c r="E279" s="42"/>
      <c r="F279" s="42" t="s">
        <v>699</v>
      </c>
      <c r="G279" s="11" t="e">
        <f aca="true" t="shared" si="156" ref="G279:L279">G273</f>
        <v>#REF!</v>
      </c>
      <c r="H279" s="11" t="e">
        <f t="shared" si="156"/>
        <v>#REF!</v>
      </c>
      <c r="I279" s="11" t="e">
        <f t="shared" si="156"/>
        <v>#REF!</v>
      </c>
      <c r="J279" s="11" t="e">
        <f t="shared" si="156"/>
        <v>#REF!</v>
      </c>
      <c r="K279" s="11" t="e">
        <f t="shared" si="156"/>
        <v>#REF!</v>
      </c>
      <c r="L279" s="11">
        <f t="shared" si="156"/>
        <v>10</v>
      </c>
      <c r="M279" s="11">
        <f aca="true" t="shared" si="157" ref="M279">M273</f>
        <v>0</v>
      </c>
      <c r="N279" s="7">
        <f t="shared" si="153"/>
        <v>0</v>
      </c>
    </row>
    <row r="280" spans="1:14" ht="57.75" customHeight="1">
      <c r="A280" s="43" t="s">
        <v>521</v>
      </c>
      <c r="B280" s="3" t="s">
        <v>522</v>
      </c>
      <c r="C280" s="79"/>
      <c r="D280" s="79"/>
      <c r="E280" s="79"/>
      <c r="F280" s="79"/>
      <c r="G280" s="4" t="e">
        <f aca="true" t="shared" si="158" ref="G280:L280">G282+G309+G343</f>
        <v>#REF!</v>
      </c>
      <c r="H280" s="4" t="e">
        <f t="shared" si="158"/>
        <v>#REF!</v>
      </c>
      <c r="I280" s="4" t="e">
        <f t="shared" si="158"/>
        <v>#REF!</v>
      </c>
      <c r="J280" s="4" t="e">
        <f t="shared" si="158"/>
        <v>#REF!</v>
      </c>
      <c r="K280" s="4" t="e">
        <f t="shared" si="158"/>
        <v>#REF!</v>
      </c>
      <c r="L280" s="4">
        <f t="shared" si="158"/>
        <v>47744.6</v>
      </c>
      <c r="M280" s="4">
        <f aca="true" t="shared" si="159" ref="M280">M282+M309+M343</f>
        <v>35112.399999999994</v>
      </c>
      <c r="N280" s="4">
        <f t="shared" si="153"/>
        <v>73.54213879684822</v>
      </c>
    </row>
    <row r="281" spans="1:14" ht="63" customHeight="1" hidden="1">
      <c r="A281" s="43" t="s">
        <v>700</v>
      </c>
      <c r="B281" s="3" t="s">
        <v>524</v>
      </c>
      <c r="C281" s="80"/>
      <c r="D281" s="80"/>
      <c r="E281" s="80"/>
      <c r="F281" s="80"/>
      <c r="G281" s="68" t="e">
        <f>G282</f>
        <v>#REF!</v>
      </c>
      <c r="H281" s="68" t="e">
        <f aca="true" t="shared" si="160" ref="H281:M282">H282</f>
        <v>#REF!</v>
      </c>
      <c r="I281" s="68" t="e">
        <f t="shared" si="160"/>
        <v>#REF!</v>
      </c>
      <c r="J281" s="68" t="e">
        <f t="shared" si="160"/>
        <v>#REF!</v>
      </c>
      <c r="K281" s="68" t="e">
        <f t="shared" si="160"/>
        <v>#REF!</v>
      </c>
      <c r="L281" s="68">
        <f t="shared" si="160"/>
        <v>0</v>
      </c>
      <c r="M281" s="68">
        <f t="shared" si="160"/>
        <v>0</v>
      </c>
      <c r="N281" s="4" t="e">
        <f t="shared" si="153"/>
        <v>#DIV/0!</v>
      </c>
    </row>
    <row r="282" spans="1:14" ht="15.75" customHeight="1" hidden="1">
      <c r="A282" s="31" t="s">
        <v>302</v>
      </c>
      <c r="B282" s="42" t="s">
        <v>524</v>
      </c>
      <c r="C282" s="42" t="s">
        <v>303</v>
      </c>
      <c r="D282" s="79"/>
      <c r="E282" s="79"/>
      <c r="F282" s="79"/>
      <c r="G282" s="11" t="e">
        <f>G283</f>
        <v>#REF!</v>
      </c>
      <c r="H282" s="11" t="e">
        <f t="shared" si="160"/>
        <v>#REF!</v>
      </c>
      <c r="I282" s="11" t="e">
        <f t="shared" si="160"/>
        <v>#REF!</v>
      </c>
      <c r="J282" s="11" t="e">
        <f t="shared" si="160"/>
        <v>#REF!</v>
      </c>
      <c r="K282" s="11" t="e">
        <f t="shared" si="160"/>
        <v>#REF!</v>
      </c>
      <c r="L282" s="11">
        <f t="shared" si="160"/>
        <v>0</v>
      </c>
      <c r="M282" s="11">
        <f t="shared" si="160"/>
        <v>0</v>
      </c>
      <c r="N282" s="4" t="e">
        <f t="shared" si="153"/>
        <v>#DIV/0!</v>
      </c>
    </row>
    <row r="283" spans="1:14" ht="15.75" customHeight="1" hidden="1">
      <c r="A283" s="31" t="s">
        <v>304</v>
      </c>
      <c r="B283" s="42" t="s">
        <v>524</v>
      </c>
      <c r="C283" s="42" t="s">
        <v>303</v>
      </c>
      <c r="D283" s="42" t="s">
        <v>254</v>
      </c>
      <c r="E283" s="79"/>
      <c r="F283" s="79"/>
      <c r="G283" s="11" t="e">
        <f aca="true" t="shared" si="161" ref="G283:L283">G284+G299+G302+G305</f>
        <v>#REF!</v>
      </c>
      <c r="H283" s="11" t="e">
        <f t="shared" si="161"/>
        <v>#REF!</v>
      </c>
      <c r="I283" s="11" t="e">
        <f t="shared" si="161"/>
        <v>#REF!</v>
      </c>
      <c r="J283" s="11" t="e">
        <f t="shared" si="161"/>
        <v>#REF!</v>
      </c>
      <c r="K283" s="11" t="e">
        <f t="shared" si="161"/>
        <v>#REF!</v>
      </c>
      <c r="L283" s="11">
        <f t="shared" si="161"/>
        <v>0</v>
      </c>
      <c r="M283" s="11">
        <f aca="true" t="shared" si="162" ref="M283">M284+M299+M302+M305</f>
        <v>0</v>
      </c>
      <c r="N283" s="4" t="e">
        <f t="shared" si="153"/>
        <v>#DIV/0!</v>
      </c>
    </row>
    <row r="284" spans="1:14" ht="47.25" customHeight="1" hidden="1">
      <c r="A284" s="31" t="s">
        <v>309</v>
      </c>
      <c r="B284" s="42" t="s">
        <v>525</v>
      </c>
      <c r="C284" s="42" t="s">
        <v>303</v>
      </c>
      <c r="D284" s="42" t="s">
        <v>254</v>
      </c>
      <c r="E284" s="79"/>
      <c r="F284" s="79"/>
      <c r="G284" s="11" t="e">
        <f>G285</f>
        <v>#REF!</v>
      </c>
      <c r="H284" s="11" t="e">
        <f aca="true" t="shared" si="163" ref="H284:M285">H285</f>
        <v>#REF!</v>
      </c>
      <c r="I284" s="11" t="e">
        <f t="shared" si="163"/>
        <v>#REF!</v>
      </c>
      <c r="J284" s="11" t="e">
        <f t="shared" si="163"/>
        <v>#REF!</v>
      </c>
      <c r="K284" s="11" t="e">
        <f t="shared" si="163"/>
        <v>#REF!</v>
      </c>
      <c r="L284" s="11">
        <f t="shared" si="163"/>
        <v>0</v>
      </c>
      <c r="M284" s="11">
        <f t="shared" si="163"/>
        <v>0</v>
      </c>
      <c r="N284" s="4" t="e">
        <f t="shared" si="153"/>
        <v>#DIV/0!</v>
      </c>
    </row>
    <row r="285" spans="1:14" ht="31.5" customHeight="1" hidden="1">
      <c r="A285" s="31" t="s">
        <v>311</v>
      </c>
      <c r="B285" s="42" t="s">
        <v>525</v>
      </c>
      <c r="C285" s="42" t="s">
        <v>303</v>
      </c>
      <c r="D285" s="42" t="s">
        <v>254</v>
      </c>
      <c r="E285" s="42" t="s">
        <v>312</v>
      </c>
      <c r="F285" s="79"/>
      <c r="G285" s="11" t="e">
        <f>G286</f>
        <v>#REF!</v>
      </c>
      <c r="H285" s="11" t="e">
        <f t="shared" si="163"/>
        <v>#REF!</v>
      </c>
      <c r="I285" s="11" t="e">
        <f t="shared" si="163"/>
        <v>#REF!</v>
      </c>
      <c r="J285" s="11" t="e">
        <f t="shared" si="163"/>
        <v>#REF!</v>
      </c>
      <c r="K285" s="11" t="e">
        <f t="shared" si="163"/>
        <v>#REF!</v>
      </c>
      <c r="L285" s="11">
        <f t="shared" si="163"/>
        <v>0</v>
      </c>
      <c r="M285" s="11">
        <f t="shared" si="163"/>
        <v>0</v>
      </c>
      <c r="N285" s="4" t="e">
        <f t="shared" si="153"/>
        <v>#DIV/0!</v>
      </c>
    </row>
    <row r="286" spans="1:14" ht="15.75" customHeight="1" hidden="1">
      <c r="A286" s="31" t="s">
        <v>313</v>
      </c>
      <c r="B286" s="42" t="s">
        <v>525</v>
      </c>
      <c r="C286" s="42" t="s">
        <v>303</v>
      </c>
      <c r="D286" s="42" t="s">
        <v>254</v>
      </c>
      <c r="E286" s="42" t="s">
        <v>314</v>
      </c>
      <c r="F286" s="79"/>
      <c r="G286" s="11" t="e">
        <f>#REF!</f>
        <v>#REF!</v>
      </c>
      <c r="H286" s="11" t="e">
        <f>#REF!</f>
        <v>#REF!</v>
      </c>
      <c r="I286" s="11" t="e">
        <f>#REF!</f>
        <v>#REF!</v>
      </c>
      <c r="J286" s="11" t="e">
        <f>#REF!</f>
        <v>#REF!</v>
      </c>
      <c r="K286" s="11" t="e">
        <f>#REF!</f>
        <v>#REF!</v>
      </c>
      <c r="L286" s="11">
        <f>'Прил.№4 ведомств.'!G906</f>
        <v>0</v>
      </c>
      <c r="M286" s="11">
        <f>'Прил.№4 ведомств.'!H906</f>
        <v>0</v>
      </c>
      <c r="N286" s="4" t="e">
        <f t="shared" si="153"/>
        <v>#DIV/0!</v>
      </c>
    </row>
    <row r="287" spans="1:14" ht="78.75" customHeight="1" hidden="1">
      <c r="A287" s="31" t="s">
        <v>644</v>
      </c>
      <c r="B287" s="42" t="s">
        <v>701</v>
      </c>
      <c r="C287" s="42" t="s">
        <v>303</v>
      </c>
      <c r="D287" s="42" t="s">
        <v>254</v>
      </c>
      <c r="E287" s="42"/>
      <c r="F287" s="79"/>
      <c r="G287" s="11">
        <f>G288</f>
        <v>0</v>
      </c>
      <c r="H287" s="11">
        <f aca="true" t="shared" si="164" ref="H287:M289">H288</f>
        <v>0</v>
      </c>
      <c r="I287" s="11">
        <f t="shared" si="164"/>
        <v>0</v>
      </c>
      <c r="J287" s="11">
        <f t="shared" si="164"/>
        <v>0</v>
      </c>
      <c r="K287" s="11">
        <f t="shared" si="164"/>
        <v>0</v>
      </c>
      <c r="L287" s="11">
        <f t="shared" si="164"/>
        <v>0</v>
      </c>
      <c r="M287" s="11">
        <f t="shared" si="164"/>
        <v>0</v>
      </c>
      <c r="N287" s="4" t="e">
        <f t="shared" si="153"/>
        <v>#DIV/0!</v>
      </c>
    </row>
    <row r="288" spans="1:14" ht="31.5" customHeight="1" hidden="1">
      <c r="A288" s="31" t="s">
        <v>311</v>
      </c>
      <c r="B288" s="42" t="s">
        <v>701</v>
      </c>
      <c r="C288" s="42" t="s">
        <v>303</v>
      </c>
      <c r="D288" s="42" t="s">
        <v>254</v>
      </c>
      <c r="E288" s="42" t="s">
        <v>312</v>
      </c>
      <c r="F288" s="79"/>
      <c r="G288" s="11">
        <f>G289</f>
        <v>0</v>
      </c>
      <c r="H288" s="11">
        <f t="shared" si="164"/>
        <v>0</v>
      </c>
      <c r="I288" s="11">
        <f t="shared" si="164"/>
        <v>0</v>
      </c>
      <c r="J288" s="11">
        <f t="shared" si="164"/>
        <v>0</v>
      </c>
      <c r="K288" s="11">
        <f t="shared" si="164"/>
        <v>0</v>
      </c>
      <c r="L288" s="11">
        <f t="shared" si="164"/>
        <v>0</v>
      </c>
      <c r="M288" s="11">
        <f t="shared" si="164"/>
        <v>0</v>
      </c>
      <c r="N288" s="4" t="e">
        <f t="shared" si="153"/>
        <v>#DIV/0!</v>
      </c>
    </row>
    <row r="289" spans="1:14" ht="15.75" customHeight="1" hidden="1">
      <c r="A289" s="31" t="s">
        <v>313</v>
      </c>
      <c r="B289" s="42" t="s">
        <v>701</v>
      </c>
      <c r="C289" s="42" t="s">
        <v>303</v>
      </c>
      <c r="D289" s="42" t="s">
        <v>254</v>
      </c>
      <c r="E289" s="42" t="s">
        <v>314</v>
      </c>
      <c r="F289" s="79"/>
      <c r="G289" s="11">
        <f>G290</f>
        <v>0</v>
      </c>
      <c r="H289" s="11">
        <f t="shared" si="164"/>
        <v>0</v>
      </c>
      <c r="I289" s="11">
        <f t="shared" si="164"/>
        <v>0</v>
      </c>
      <c r="J289" s="11">
        <f t="shared" si="164"/>
        <v>0</v>
      </c>
      <c r="K289" s="11">
        <f t="shared" si="164"/>
        <v>0</v>
      </c>
      <c r="L289" s="11">
        <f t="shared" si="164"/>
        <v>0</v>
      </c>
      <c r="M289" s="11">
        <f t="shared" si="164"/>
        <v>0</v>
      </c>
      <c r="N289" s="4" t="e">
        <f t="shared" si="153"/>
        <v>#DIV/0!</v>
      </c>
    </row>
    <row r="290" spans="1:14" ht="31.5" customHeight="1" hidden="1">
      <c r="A290" s="48" t="s">
        <v>520</v>
      </c>
      <c r="B290" s="42" t="s">
        <v>701</v>
      </c>
      <c r="C290" s="42" t="s">
        <v>303</v>
      </c>
      <c r="D290" s="42" t="s">
        <v>254</v>
      </c>
      <c r="E290" s="42"/>
      <c r="F290" s="2">
        <v>907</v>
      </c>
      <c r="G290" s="11">
        <f aca="true" t="shared" si="165" ref="G290:M290">1500-1500</f>
        <v>0</v>
      </c>
      <c r="H290" s="11">
        <f t="shared" si="165"/>
        <v>0</v>
      </c>
      <c r="I290" s="11">
        <f t="shared" si="165"/>
        <v>0</v>
      </c>
      <c r="J290" s="11">
        <f t="shared" si="165"/>
        <v>0</v>
      </c>
      <c r="K290" s="11">
        <f t="shared" si="165"/>
        <v>0</v>
      </c>
      <c r="L290" s="11">
        <f t="shared" si="165"/>
        <v>0</v>
      </c>
      <c r="M290" s="11">
        <f t="shared" si="165"/>
        <v>0</v>
      </c>
      <c r="N290" s="4" t="e">
        <f t="shared" si="153"/>
        <v>#DIV/0!</v>
      </c>
    </row>
    <row r="291" spans="1:14" ht="31.5" customHeight="1" hidden="1">
      <c r="A291" s="31" t="s">
        <v>317</v>
      </c>
      <c r="B291" s="42" t="s">
        <v>702</v>
      </c>
      <c r="C291" s="42" t="s">
        <v>303</v>
      </c>
      <c r="D291" s="42" t="s">
        <v>254</v>
      </c>
      <c r="E291" s="42"/>
      <c r="F291" s="79"/>
      <c r="G291" s="11">
        <f>G292</f>
        <v>0</v>
      </c>
      <c r="H291" s="11">
        <f aca="true" t="shared" si="166" ref="H291:M292">H292</f>
        <v>0</v>
      </c>
      <c r="I291" s="11">
        <f t="shared" si="166"/>
        <v>0</v>
      </c>
      <c r="J291" s="11">
        <f t="shared" si="166"/>
        <v>0</v>
      </c>
      <c r="K291" s="11">
        <f t="shared" si="166"/>
        <v>0</v>
      </c>
      <c r="L291" s="11">
        <f t="shared" si="166"/>
        <v>0</v>
      </c>
      <c r="M291" s="11">
        <f t="shared" si="166"/>
        <v>0</v>
      </c>
      <c r="N291" s="4" t="e">
        <f t="shared" si="153"/>
        <v>#DIV/0!</v>
      </c>
    </row>
    <row r="292" spans="1:14" ht="31.5" customHeight="1" hidden="1">
      <c r="A292" s="31" t="s">
        <v>311</v>
      </c>
      <c r="B292" s="42" t="s">
        <v>702</v>
      </c>
      <c r="C292" s="42" t="s">
        <v>303</v>
      </c>
      <c r="D292" s="42" t="s">
        <v>254</v>
      </c>
      <c r="E292" s="42" t="s">
        <v>312</v>
      </c>
      <c r="F292" s="79"/>
      <c r="G292" s="11">
        <f>G293</f>
        <v>0</v>
      </c>
      <c r="H292" s="11">
        <f t="shared" si="166"/>
        <v>0</v>
      </c>
      <c r="I292" s="11">
        <f t="shared" si="166"/>
        <v>0</v>
      </c>
      <c r="J292" s="11">
        <f t="shared" si="166"/>
        <v>0</v>
      </c>
      <c r="K292" s="11">
        <f t="shared" si="166"/>
        <v>0</v>
      </c>
      <c r="L292" s="11">
        <f t="shared" si="166"/>
        <v>0</v>
      </c>
      <c r="M292" s="11">
        <f t="shared" si="166"/>
        <v>0</v>
      </c>
      <c r="N292" s="4" t="e">
        <f t="shared" si="153"/>
        <v>#DIV/0!</v>
      </c>
    </row>
    <row r="293" spans="1:14" ht="15.75" customHeight="1" hidden="1">
      <c r="A293" s="31" t="s">
        <v>313</v>
      </c>
      <c r="B293" s="42" t="s">
        <v>702</v>
      </c>
      <c r="C293" s="42" t="s">
        <v>303</v>
      </c>
      <c r="D293" s="42" t="s">
        <v>254</v>
      </c>
      <c r="E293" s="42" t="s">
        <v>314</v>
      </c>
      <c r="F293" s="79"/>
      <c r="G293" s="11"/>
      <c r="H293" s="11"/>
      <c r="I293" s="11"/>
      <c r="J293" s="11"/>
      <c r="K293" s="11"/>
      <c r="L293" s="11"/>
      <c r="M293" s="11"/>
      <c r="N293" s="4" t="e">
        <f t="shared" si="153"/>
        <v>#DIV/0!</v>
      </c>
    </row>
    <row r="294" spans="1:14" ht="31.5" customHeight="1" hidden="1">
      <c r="A294" s="48" t="s">
        <v>520</v>
      </c>
      <c r="B294" s="42" t="s">
        <v>702</v>
      </c>
      <c r="C294" s="42" t="s">
        <v>303</v>
      </c>
      <c r="D294" s="42" t="s">
        <v>254</v>
      </c>
      <c r="E294" s="42"/>
      <c r="F294" s="2">
        <v>907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4" t="e">
        <f t="shared" si="153"/>
        <v>#DIV/0!</v>
      </c>
    </row>
    <row r="295" spans="1:14" ht="31.5" customHeight="1" hidden="1">
      <c r="A295" s="31" t="s">
        <v>319</v>
      </c>
      <c r="B295" s="42" t="s">
        <v>703</v>
      </c>
      <c r="C295" s="42" t="s">
        <v>303</v>
      </c>
      <c r="D295" s="42" t="s">
        <v>254</v>
      </c>
      <c r="E295" s="42"/>
      <c r="F295" s="79"/>
      <c r="G295" s="11">
        <f>G296</f>
        <v>0</v>
      </c>
      <c r="H295" s="11">
        <f aca="true" t="shared" si="167" ref="H295:M296">H296</f>
        <v>0</v>
      </c>
      <c r="I295" s="11">
        <f t="shared" si="167"/>
        <v>0</v>
      </c>
      <c r="J295" s="11">
        <f t="shared" si="167"/>
        <v>0</v>
      </c>
      <c r="K295" s="11">
        <f t="shared" si="167"/>
        <v>0</v>
      </c>
      <c r="L295" s="11">
        <f t="shared" si="167"/>
        <v>0</v>
      </c>
      <c r="M295" s="11">
        <f t="shared" si="167"/>
        <v>0</v>
      </c>
      <c r="N295" s="4" t="e">
        <f t="shared" si="153"/>
        <v>#DIV/0!</v>
      </c>
    </row>
    <row r="296" spans="1:14" ht="31.5" customHeight="1" hidden="1">
      <c r="A296" s="31" t="s">
        <v>311</v>
      </c>
      <c r="B296" s="42" t="s">
        <v>703</v>
      </c>
      <c r="C296" s="42" t="s">
        <v>303</v>
      </c>
      <c r="D296" s="42" t="s">
        <v>254</v>
      </c>
      <c r="E296" s="42" t="s">
        <v>312</v>
      </c>
      <c r="F296" s="79"/>
      <c r="G296" s="11">
        <f>G297</f>
        <v>0</v>
      </c>
      <c r="H296" s="11">
        <f t="shared" si="167"/>
        <v>0</v>
      </c>
      <c r="I296" s="11">
        <f t="shared" si="167"/>
        <v>0</v>
      </c>
      <c r="J296" s="11">
        <f t="shared" si="167"/>
        <v>0</v>
      </c>
      <c r="K296" s="11">
        <f t="shared" si="167"/>
        <v>0</v>
      </c>
      <c r="L296" s="11">
        <f t="shared" si="167"/>
        <v>0</v>
      </c>
      <c r="M296" s="11">
        <f t="shared" si="167"/>
        <v>0</v>
      </c>
      <c r="N296" s="4" t="e">
        <f t="shared" si="153"/>
        <v>#DIV/0!</v>
      </c>
    </row>
    <row r="297" spans="1:14" ht="15.75" customHeight="1" hidden="1">
      <c r="A297" s="31" t="s">
        <v>313</v>
      </c>
      <c r="B297" s="42" t="s">
        <v>703</v>
      </c>
      <c r="C297" s="42" t="s">
        <v>303</v>
      </c>
      <c r="D297" s="42" t="s">
        <v>254</v>
      </c>
      <c r="E297" s="42" t="s">
        <v>314</v>
      </c>
      <c r="F297" s="79"/>
      <c r="G297" s="11"/>
      <c r="H297" s="11"/>
      <c r="I297" s="11"/>
      <c r="J297" s="11"/>
      <c r="K297" s="11"/>
      <c r="L297" s="11"/>
      <c r="M297" s="11"/>
      <c r="N297" s="4" t="e">
        <f t="shared" si="153"/>
        <v>#DIV/0!</v>
      </c>
    </row>
    <row r="298" spans="1:14" ht="31.5" customHeight="1" hidden="1">
      <c r="A298" s="48" t="s">
        <v>520</v>
      </c>
      <c r="B298" s="42" t="s">
        <v>703</v>
      </c>
      <c r="C298" s="42" t="s">
        <v>303</v>
      </c>
      <c r="D298" s="42" t="s">
        <v>254</v>
      </c>
      <c r="E298" s="42"/>
      <c r="F298" s="2">
        <v>907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4" t="e">
        <f t="shared" si="153"/>
        <v>#DIV/0!</v>
      </c>
    </row>
    <row r="299" spans="1:14" ht="31.5" customHeight="1" hidden="1">
      <c r="A299" s="31" t="s">
        <v>321</v>
      </c>
      <c r="B299" s="42" t="s">
        <v>528</v>
      </c>
      <c r="C299" s="42" t="s">
        <v>303</v>
      </c>
      <c r="D299" s="42" t="s">
        <v>254</v>
      </c>
      <c r="E299" s="42"/>
      <c r="F299" s="79"/>
      <c r="G299" s="11" t="e">
        <f>G300</f>
        <v>#REF!</v>
      </c>
      <c r="H299" s="11" t="e">
        <f aca="true" t="shared" si="168" ref="H299:M300">H300</f>
        <v>#REF!</v>
      </c>
      <c r="I299" s="11" t="e">
        <f t="shared" si="168"/>
        <v>#REF!</v>
      </c>
      <c r="J299" s="11" t="e">
        <f t="shared" si="168"/>
        <v>#REF!</v>
      </c>
      <c r="K299" s="11" t="e">
        <f t="shared" si="168"/>
        <v>#REF!</v>
      </c>
      <c r="L299" s="11">
        <f t="shared" si="168"/>
        <v>0</v>
      </c>
      <c r="M299" s="11">
        <f t="shared" si="168"/>
        <v>0</v>
      </c>
      <c r="N299" s="4" t="e">
        <f t="shared" si="153"/>
        <v>#DIV/0!</v>
      </c>
    </row>
    <row r="300" spans="1:14" ht="31.5" customHeight="1" hidden="1">
      <c r="A300" s="31" t="s">
        <v>311</v>
      </c>
      <c r="B300" s="42" t="s">
        <v>528</v>
      </c>
      <c r="C300" s="42" t="s">
        <v>303</v>
      </c>
      <c r="D300" s="42" t="s">
        <v>254</v>
      </c>
      <c r="E300" s="42" t="s">
        <v>312</v>
      </c>
      <c r="F300" s="79"/>
      <c r="G300" s="11" t="e">
        <f>G301</f>
        <v>#REF!</v>
      </c>
      <c r="H300" s="11" t="e">
        <f t="shared" si="168"/>
        <v>#REF!</v>
      </c>
      <c r="I300" s="11" t="e">
        <f t="shared" si="168"/>
        <v>#REF!</v>
      </c>
      <c r="J300" s="11" t="e">
        <f t="shared" si="168"/>
        <v>#REF!</v>
      </c>
      <c r="K300" s="11" t="e">
        <f t="shared" si="168"/>
        <v>#REF!</v>
      </c>
      <c r="L300" s="11">
        <f t="shared" si="168"/>
        <v>0</v>
      </c>
      <c r="M300" s="11">
        <f t="shared" si="168"/>
        <v>0</v>
      </c>
      <c r="N300" s="4" t="e">
        <f t="shared" si="153"/>
        <v>#DIV/0!</v>
      </c>
    </row>
    <row r="301" spans="1:14" ht="15.75" customHeight="1" hidden="1">
      <c r="A301" s="31" t="s">
        <v>313</v>
      </c>
      <c r="B301" s="42" t="s">
        <v>528</v>
      </c>
      <c r="C301" s="42" t="s">
        <v>303</v>
      </c>
      <c r="D301" s="42" t="s">
        <v>254</v>
      </c>
      <c r="E301" s="42" t="s">
        <v>314</v>
      </c>
      <c r="F301" s="79"/>
      <c r="G301" s="11" t="e">
        <f>#REF!</f>
        <v>#REF!</v>
      </c>
      <c r="H301" s="11" t="e">
        <f>#REF!</f>
        <v>#REF!</v>
      </c>
      <c r="I301" s="11" t="e">
        <f>#REF!</f>
        <v>#REF!</v>
      </c>
      <c r="J301" s="11" t="e">
        <f>#REF!</f>
        <v>#REF!</v>
      </c>
      <c r="K301" s="11" t="e">
        <f>#REF!</f>
        <v>#REF!</v>
      </c>
      <c r="L301" s="11">
        <f>'Прил.№4 ведомств.'!G915</f>
        <v>0</v>
      </c>
      <c r="M301" s="11">
        <f>'Прил.№4 ведомств.'!H915</f>
        <v>0</v>
      </c>
      <c r="N301" s="4" t="e">
        <f t="shared" si="153"/>
        <v>#DIV/0!</v>
      </c>
    </row>
    <row r="302" spans="1:14" ht="31.5" customHeight="1" hidden="1">
      <c r="A302" s="26" t="s">
        <v>323</v>
      </c>
      <c r="B302" s="21" t="s">
        <v>529</v>
      </c>
      <c r="C302" s="42" t="s">
        <v>303</v>
      </c>
      <c r="D302" s="42" t="s">
        <v>254</v>
      </c>
      <c r="E302" s="42"/>
      <c r="F302" s="79"/>
      <c r="G302" s="11" t="e">
        <f>G303</f>
        <v>#REF!</v>
      </c>
      <c r="H302" s="11" t="e">
        <f aca="true" t="shared" si="169" ref="H302:M303">H303</f>
        <v>#REF!</v>
      </c>
      <c r="I302" s="11" t="e">
        <f t="shared" si="169"/>
        <v>#REF!</v>
      </c>
      <c r="J302" s="11" t="e">
        <f t="shared" si="169"/>
        <v>#REF!</v>
      </c>
      <c r="K302" s="11" t="e">
        <f t="shared" si="169"/>
        <v>#REF!</v>
      </c>
      <c r="L302" s="11">
        <f t="shared" si="169"/>
        <v>0</v>
      </c>
      <c r="M302" s="11">
        <f t="shared" si="169"/>
        <v>0</v>
      </c>
      <c r="N302" s="4" t="e">
        <f t="shared" si="153"/>
        <v>#DIV/0!</v>
      </c>
    </row>
    <row r="303" spans="1:14" ht="31.5" customHeight="1" hidden="1">
      <c r="A303" s="26" t="s">
        <v>311</v>
      </c>
      <c r="B303" s="21" t="s">
        <v>529</v>
      </c>
      <c r="C303" s="42" t="s">
        <v>303</v>
      </c>
      <c r="D303" s="42" t="s">
        <v>254</v>
      </c>
      <c r="E303" s="42" t="s">
        <v>312</v>
      </c>
      <c r="F303" s="79"/>
      <c r="G303" s="11" t="e">
        <f>G304</f>
        <v>#REF!</v>
      </c>
      <c r="H303" s="11" t="e">
        <f t="shared" si="169"/>
        <v>#REF!</v>
      </c>
      <c r="I303" s="11" t="e">
        <f t="shared" si="169"/>
        <v>#REF!</v>
      </c>
      <c r="J303" s="11" t="e">
        <f t="shared" si="169"/>
        <v>#REF!</v>
      </c>
      <c r="K303" s="11" t="e">
        <f t="shared" si="169"/>
        <v>#REF!</v>
      </c>
      <c r="L303" s="11">
        <f t="shared" si="169"/>
        <v>0</v>
      </c>
      <c r="M303" s="11">
        <f t="shared" si="169"/>
        <v>0</v>
      </c>
      <c r="N303" s="4" t="e">
        <f t="shared" si="153"/>
        <v>#DIV/0!</v>
      </c>
    </row>
    <row r="304" spans="1:14" ht="15.75" customHeight="1" hidden="1">
      <c r="A304" s="26" t="s">
        <v>313</v>
      </c>
      <c r="B304" s="21" t="s">
        <v>529</v>
      </c>
      <c r="C304" s="42" t="s">
        <v>303</v>
      </c>
      <c r="D304" s="42" t="s">
        <v>254</v>
      </c>
      <c r="E304" s="42" t="s">
        <v>314</v>
      </c>
      <c r="F304" s="79"/>
      <c r="G304" s="11" t="e">
        <f>#REF!</f>
        <v>#REF!</v>
      </c>
      <c r="H304" s="11" t="e">
        <f>#REF!</f>
        <v>#REF!</v>
      </c>
      <c r="I304" s="11" t="e">
        <f>#REF!</f>
        <v>#REF!</v>
      </c>
      <c r="J304" s="11" t="e">
        <f>#REF!</f>
        <v>#REF!</v>
      </c>
      <c r="K304" s="11" t="e">
        <f>#REF!</f>
        <v>#REF!</v>
      </c>
      <c r="L304" s="11">
        <f>'Прил.№4 ведомств.'!G918</f>
        <v>0</v>
      </c>
      <c r="M304" s="11">
        <f>'Прил.№4 ведомств.'!H918</f>
        <v>0</v>
      </c>
      <c r="N304" s="4" t="e">
        <f t="shared" si="153"/>
        <v>#DIV/0!</v>
      </c>
    </row>
    <row r="305" spans="1:14" ht="31.5" customHeight="1" hidden="1">
      <c r="A305" s="47" t="s">
        <v>837</v>
      </c>
      <c r="B305" s="21" t="s">
        <v>844</v>
      </c>
      <c r="C305" s="42" t="s">
        <v>303</v>
      </c>
      <c r="D305" s="42" t="s">
        <v>254</v>
      </c>
      <c r="E305" s="42"/>
      <c r="F305" s="79"/>
      <c r="G305" s="11" t="e">
        <f>G306</f>
        <v>#REF!</v>
      </c>
      <c r="H305" s="11" t="e">
        <f aca="true" t="shared" si="170" ref="H305:M306">H306</f>
        <v>#REF!</v>
      </c>
      <c r="I305" s="11" t="e">
        <f t="shared" si="170"/>
        <v>#REF!</v>
      </c>
      <c r="J305" s="11" t="e">
        <f t="shared" si="170"/>
        <v>#REF!</v>
      </c>
      <c r="K305" s="11" t="e">
        <f t="shared" si="170"/>
        <v>#REF!</v>
      </c>
      <c r="L305" s="11">
        <f t="shared" si="170"/>
        <v>0</v>
      </c>
      <c r="M305" s="11">
        <f t="shared" si="170"/>
        <v>0</v>
      </c>
      <c r="N305" s="4" t="e">
        <f t="shared" si="153"/>
        <v>#DIV/0!</v>
      </c>
    </row>
    <row r="306" spans="1:14" ht="31.5" customHeight="1" hidden="1">
      <c r="A306" s="33" t="s">
        <v>311</v>
      </c>
      <c r="B306" s="21" t="s">
        <v>844</v>
      </c>
      <c r="C306" s="42" t="s">
        <v>303</v>
      </c>
      <c r="D306" s="42" t="s">
        <v>254</v>
      </c>
      <c r="E306" s="42" t="s">
        <v>312</v>
      </c>
      <c r="F306" s="79"/>
      <c r="G306" s="11" t="e">
        <f>G307</f>
        <v>#REF!</v>
      </c>
      <c r="H306" s="11" t="e">
        <f t="shared" si="170"/>
        <v>#REF!</v>
      </c>
      <c r="I306" s="11" t="e">
        <f t="shared" si="170"/>
        <v>#REF!</v>
      </c>
      <c r="J306" s="11" t="e">
        <f t="shared" si="170"/>
        <v>#REF!</v>
      </c>
      <c r="K306" s="11" t="e">
        <f t="shared" si="170"/>
        <v>#REF!</v>
      </c>
      <c r="L306" s="11">
        <f t="shared" si="170"/>
        <v>0</v>
      </c>
      <c r="M306" s="11">
        <f t="shared" si="170"/>
        <v>0</v>
      </c>
      <c r="N306" s="4" t="e">
        <f t="shared" si="153"/>
        <v>#DIV/0!</v>
      </c>
    </row>
    <row r="307" spans="1:14" ht="15.75" customHeight="1" hidden="1">
      <c r="A307" s="33" t="s">
        <v>313</v>
      </c>
      <c r="B307" s="21" t="s">
        <v>844</v>
      </c>
      <c r="C307" s="42" t="s">
        <v>303</v>
      </c>
      <c r="D307" s="42" t="s">
        <v>254</v>
      </c>
      <c r="E307" s="42" t="s">
        <v>314</v>
      </c>
      <c r="F307" s="79"/>
      <c r="G307" s="11" t="e">
        <f>#REF!</f>
        <v>#REF!</v>
      </c>
      <c r="H307" s="11" t="e">
        <f>#REF!</f>
        <v>#REF!</v>
      </c>
      <c r="I307" s="11" t="e">
        <f>#REF!</f>
        <v>#REF!</v>
      </c>
      <c r="J307" s="11" t="e">
        <f>#REF!</f>
        <v>#REF!</v>
      </c>
      <c r="K307" s="11" t="e">
        <f>#REF!</f>
        <v>#REF!</v>
      </c>
      <c r="L307" s="11">
        <f>'Прил.№4 ведомств.'!G921</f>
        <v>0</v>
      </c>
      <c r="M307" s="11">
        <f>'Прил.№4 ведомств.'!H921</f>
        <v>0</v>
      </c>
      <c r="N307" s="4" t="e">
        <f t="shared" si="153"/>
        <v>#DIV/0!</v>
      </c>
    </row>
    <row r="308" spans="1:14" ht="39.75" customHeight="1" hidden="1">
      <c r="A308" s="81" t="s">
        <v>520</v>
      </c>
      <c r="B308" s="42" t="s">
        <v>524</v>
      </c>
      <c r="C308" s="42"/>
      <c r="D308" s="42"/>
      <c r="E308" s="42"/>
      <c r="F308" s="2">
        <v>907</v>
      </c>
      <c r="G308" s="11" t="e">
        <f aca="true" t="shared" si="171" ref="G308:L308">G281</f>
        <v>#REF!</v>
      </c>
      <c r="H308" s="11" t="e">
        <f t="shared" si="171"/>
        <v>#REF!</v>
      </c>
      <c r="I308" s="11" t="e">
        <f t="shared" si="171"/>
        <v>#REF!</v>
      </c>
      <c r="J308" s="11" t="e">
        <f t="shared" si="171"/>
        <v>#REF!</v>
      </c>
      <c r="K308" s="11" t="e">
        <f t="shared" si="171"/>
        <v>#REF!</v>
      </c>
      <c r="L308" s="11">
        <f t="shared" si="171"/>
        <v>0</v>
      </c>
      <c r="M308" s="11">
        <f aca="true" t="shared" si="172" ref="M308">M281</f>
        <v>0</v>
      </c>
      <c r="N308" s="4" t="e">
        <f t="shared" si="153"/>
        <v>#DIV/0!</v>
      </c>
    </row>
    <row r="309" spans="1:14" ht="47.25">
      <c r="A309" s="64" t="s">
        <v>533</v>
      </c>
      <c r="B309" s="8" t="s">
        <v>534</v>
      </c>
      <c r="C309" s="8"/>
      <c r="D309" s="8"/>
      <c r="E309" s="8"/>
      <c r="F309" s="3"/>
      <c r="G309" s="68" t="e">
        <f>G310</f>
        <v>#REF!</v>
      </c>
      <c r="H309" s="68" t="e">
        <f aca="true" t="shared" si="173" ref="H309:M310">H310</f>
        <v>#REF!</v>
      </c>
      <c r="I309" s="68" t="e">
        <f t="shared" si="173"/>
        <v>#REF!</v>
      </c>
      <c r="J309" s="68" t="e">
        <f t="shared" si="173"/>
        <v>#REF!</v>
      </c>
      <c r="K309" s="68" t="e">
        <f t="shared" si="173"/>
        <v>#REF!</v>
      </c>
      <c r="L309" s="68">
        <f t="shared" si="173"/>
        <v>45247.4</v>
      </c>
      <c r="M309" s="68">
        <f t="shared" si="173"/>
        <v>33099.2</v>
      </c>
      <c r="N309" s="4">
        <f t="shared" si="153"/>
        <v>73.15160650114701</v>
      </c>
    </row>
    <row r="310" spans="1:14" ht="15.75">
      <c r="A310" s="31" t="s">
        <v>530</v>
      </c>
      <c r="B310" s="42" t="s">
        <v>534</v>
      </c>
      <c r="C310" s="2">
        <v>11</v>
      </c>
      <c r="D310" s="79"/>
      <c r="E310" s="79"/>
      <c r="F310" s="79"/>
      <c r="G310" s="11" t="e">
        <f>G311</f>
        <v>#REF!</v>
      </c>
      <c r="H310" s="11" t="e">
        <f t="shared" si="173"/>
        <v>#REF!</v>
      </c>
      <c r="I310" s="11" t="e">
        <f t="shared" si="173"/>
        <v>#REF!</v>
      </c>
      <c r="J310" s="11" t="e">
        <f t="shared" si="173"/>
        <v>#REF!</v>
      </c>
      <c r="K310" s="11" t="e">
        <f t="shared" si="173"/>
        <v>#REF!</v>
      </c>
      <c r="L310" s="11">
        <f t="shared" si="173"/>
        <v>45247.4</v>
      </c>
      <c r="M310" s="11">
        <f t="shared" si="173"/>
        <v>33099.2</v>
      </c>
      <c r="N310" s="7">
        <f t="shared" si="153"/>
        <v>73.15160650114701</v>
      </c>
    </row>
    <row r="311" spans="1:14" ht="20.25" customHeight="1">
      <c r="A311" s="31" t="s">
        <v>532</v>
      </c>
      <c r="B311" s="42" t="s">
        <v>534</v>
      </c>
      <c r="C311" s="42" t="s">
        <v>531</v>
      </c>
      <c r="D311" s="42" t="s">
        <v>157</v>
      </c>
      <c r="E311" s="82"/>
      <c r="F311" s="6"/>
      <c r="G311" s="11" t="e">
        <f aca="true" t="shared" si="174" ref="G311:K311">G312+G323+G327+G330+G336+G339</f>
        <v>#REF!</v>
      </c>
      <c r="H311" s="11" t="e">
        <f t="shared" si="174"/>
        <v>#REF!</v>
      </c>
      <c r="I311" s="11" t="e">
        <f t="shared" si="174"/>
        <v>#REF!</v>
      </c>
      <c r="J311" s="11" t="e">
        <f t="shared" si="174"/>
        <v>#REF!</v>
      </c>
      <c r="K311" s="11" t="e">
        <f t="shared" si="174"/>
        <v>#REF!</v>
      </c>
      <c r="L311" s="11">
        <f>L312+L323+L327+L330+L336+L339+L335</f>
        <v>45247.4</v>
      </c>
      <c r="M311" s="11">
        <f aca="true" t="shared" si="175" ref="M311">M312+M323+M327+M330+M336+M339+M335</f>
        <v>33099.2</v>
      </c>
      <c r="N311" s="7">
        <f t="shared" si="153"/>
        <v>73.15160650114701</v>
      </c>
    </row>
    <row r="312" spans="1:14" ht="31.5">
      <c r="A312" s="31" t="s">
        <v>535</v>
      </c>
      <c r="B312" s="42" t="s">
        <v>536</v>
      </c>
      <c r="C312" s="42" t="s">
        <v>531</v>
      </c>
      <c r="D312" s="42" t="s">
        <v>157</v>
      </c>
      <c r="E312" s="82"/>
      <c r="F312" s="6"/>
      <c r="G312" s="11" t="e">
        <f>G314</f>
        <v>#REF!</v>
      </c>
      <c r="H312" s="11" t="e">
        <f>H314</f>
        <v>#REF!</v>
      </c>
      <c r="I312" s="11" t="e">
        <f>I314</f>
        <v>#REF!</v>
      </c>
      <c r="J312" s="11" t="e">
        <f>J314</f>
        <v>#REF!</v>
      </c>
      <c r="K312" s="11" t="e">
        <f>K314</f>
        <v>#REF!</v>
      </c>
      <c r="L312" s="11">
        <f>L313+L316+L319</f>
        <v>43349.4</v>
      </c>
      <c r="M312" s="11">
        <f aca="true" t="shared" si="176" ref="M312">M313+M316+M319</f>
        <v>31201.3</v>
      </c>
      <c r="N312" s="7">
        <f t="shared" si="153"/>
        <v>71.97631339764794</v>
      </c>
    </row>
    <row r="313" spans="1:14" ht="47.25">
      <c r="A313" s="26" t="s">
        <v>1000</v>
      </c>
      <c r="B313" s="42" t="s">
        <v>994</v>
      </c>
      <c r="C313" s="42" t="s">
        <v>531</v>
      </c>
      <c r="D313" s="42" t="s">
        <v>157</v>
      </c>
      <c r="E313" s="82"/>
      <c r="F313" s="6"/>
      <c r="G313" s="11"/>
      <c r="H313" s="11"/>
      <c r="I313" s="11"/>
      <c r="J313" s="11"/>
      <c r="K313" s="11"/>
      <c r="L313" s="11">
        <f>L314</f>
        <v>12403.5</v>
      </c>
      <c r="M313" s="11">
        <f aca="true" t="shared" si="177" ref="M313:M314">M314</f>
        <v>9217.8</v>
      </c>
      <c r="N313" s="7">
        <f t="shared" si="153"/>
        <v>74.31612044987301</v>
      </c>
    </row>
    <row r="314" spans="1:14" ht="31.5">
      <c r="A314" s="31" t="s">
        <v>311</v>
      </c>
      <c r="B314" s="42" t="s">
        <v>994</v>
      </c>
      <c r="C314" s="42" t="s">
        <v>531</v>
      </c>
      <c r="D314" s="42" t="s">
        <v>157</v>
      </c>
      <c r="E314" s="42" t="s">
        <v>312</v>
      </c>
      <c r="F314" s="6"/>
      <c r="G314" s="11" t="e">
        <f>G315</f>
        <v>#REF!</v>
      </c>
      <c r="H314" s="11" t="e">
        <f>H315</f>
        <v>#REF!</v>
      </c>
      <c r="I314" s="11" t="e">
        <f>I315</f>
        <v>#REF!</v>
      </c>
      <c r="J314" s="11" t="e">
        <f>J315</f>
        <v>#REF!</v>
      </c>
      <c r="K314" s="11" t="e">
        <f>K315</f>
        <v>#REF!</v>
      </c>
      <c r="L314" s="11">
        <f>L315</f>
        <v>12403.5</v>
      </c>
      <c r="M314" s="11">
        <f t="shared" si="177"/>
        <v>9217.8</v>
      </c>
      <c r="N314" s="7">
        <f t="shared" si="153"/>
        <v>74.31612044987301</v>
      </c>
    </row>
    <row r="315" spans="1:14" ht="15.75">
      <c r="A315" s="31" t="s">
        <v>313</v>
      </c>
      <c r="B315" s="42" t="s">
        <v>994</v>
      </c>
      <c r="C315" s="42" t="s">
        <v>531</v>
      </c>
      <c r="D315" s="42" t="s">
        <v>157</v>
      </c>
      <c r="E315" s="42" t="s">
        <v>314</v>
      </c>
      <c r="F315" s="6"/>
      <c r="G315" s="11" t="e">
        <f>#REF!</f>
        <v>#REF!</v>
      </c>
      <c r="H315" s="11" t="e">
        <f>#REF!</f>
        <v>#REF!</v>
      </c>
      <c r="I315" s="11" t="e">
        <f>#REF!</f>
        <v>#REF!</v>
      </c>
      <c r="J315" s="11" t="e">
        <f>#REF!</f>
        <v>#REF!</v>
      </c>
      <c r="K315" s="11" t="e">
        <f>#REF!</f>
        <v>#REF!</v>
      </c>
      <c r="L315" s="11">
        <f>'Прил.№4 ведомств.'!G944</f>
        <v>12403.5</v>
      </c>
      <c r="M315" s="11">
        <f>'Прил.№4 ведомств.'!H944</f>
        <v>9217.8</v>
      </c>
      <c r="N315" s="7">
        <f t="shared" si="153"/>
        <v>74.31612044987301</v>
      </c>
    </row>
    <row r="316" spans="1:14" ht="31.5">
      <c r="A316" s="26" t="s">
        <v>998</v>
      </c>
      <c r="B316" s="42" t="s">
        <v>995</v>
      </c>
      <c r="C316" s="42" t="s">
        <v>531</v>
      </c>
      <c r="D316" s="42" t="s">
        <v>157</v>
      </c>
      <c r="E316" s="42"/>
      <c r="F316" s="6"/>
      <c r="G316" s="11"/>
      <c r="H316" s="11"/>
      <c r="I316" s="11"/>
      <c r="J316" s="11"/>
      <c r="K316" s="11"/>
      <c r="L316" s="11">
        <f>L317</f>
        <v>12697.800000000001</v>
      </c>
      <c r="M316" s="11">
        <f aca="true" t="shared" si="178" ref="M316:M317">M317</f>
        <v>9700.3</v>
      </c>
      <c r="N316" s="7">
        <f t="shared" si="153"/>
        <v>76.39354848871457</v>
      </c>
    </row>
    <row r="317" spans="1:14" ht="31.5">
      <c r="A317" s="26" t="s">
        <v>311</v>
      </c>
      <c r="B317" s="42" t="s">
        <v>995</v>
      </c>
      <c r="C317" s="42" t="s">
        <v>531</v>
      </c>
      <c r="D317" s="42" t="s">
        <v>157</v>
      </c>
      <c r="E317" s="42" t="s">
        <v>312</v>
      </c>
      <c r="F317" s="6"/>
      <c r="G317" s="11"/>
      <c r="H317" s="11"/>
      <c r="I317" s="11"/>
      <c r="J317" s="11"/>
      <c r="K317" s="11"/>
      <c r="L317" s="11">
        <f>L318</f>
        <v>12697.800000000001</v>
      </c>
      <c r="M317" s="11">
        <f t="shared" si="178"/>
        <v>9700.3</v>
      </c>
      <c r="N317" s="7">
        <f t="shared" si="153"/>
        <v>76.39354848871457</v>
      </c>
    </row>
    <row r="318" spans="1:14" ht="15.75">
      <c r="A318" s="26" t="s">
        <v>313</v>
      </c>
      <c r="B318" s="42" t="s">
        <v>995</v>
      </c>
      <c r="C318" s="42" t="s">
        <v>531</v>
      </c>
      <c r="D318" s="42" t="s">
        <v>157</v>
      </c>
      <c r="E318" s="42" t="s">
        <v>314</v>
      </c>
      <c r="F318" s="6"/>
      <c r="G318" s="11"/>
      <c r="H318" s="11"/>
      <c r="I318" s="11"/>
      <c r="J318" s="11"/>
      <c r="K318" s="11"/>
      <c r="L318" s="11">
        <f>'Прил.№4 ведомств.'!G947</f>
        <v>12697.800000000001</v>
      </c>
      <c r="M318" s="11">
        <f>'Прил.№4 ведомств.'!H947</f>
        <v>9700.3</v>
      </c>
      <c r="N318" s="7">
        <f t="shared" si="153"/>
        <v>76.39354848871457</v>
      </c>
    </row>
    <row r="319" spans="1:14" ht="47.25">
      <c r="A319" s="26" t="s">
        <v>997</v>
      </c>
      <c r="B319" s="42" t="s">
        <v>996</v>
      </c>
      <c r="C319" s="42" t="s">
        <v>531</v>
      </c>
      <c r="D319" s="42" t="s">
        <v>157</v>
      </c>
      <c r="E319" s="42"/>
      <c r="F319" s="6"/>
      <c r="G319" s="11"/>
      <c r="H319" s="11"/>
      <c r="I319" s="11"/>
      <c r="J319" s="11"/>
      <c r="K319" s="11"/>
      <c r="L319" s="11">
        <f>L320</f>
        <v>18248.1</v>
      </c>
      <c r="M319" s="11">
        <f aca="true" t="shared" si="179" ref="M319:M320">M320</f>
        <v>12283.2</v>
      </c>
      <c r="N319" s="7">
        <f t="shared" si="153"/>
        <v>67.31221332631891</v>
      </c>
    </row>
    <row r="320" spans="1:14" ht="31.5">
      <c r="A320" s="26" t="s">
        <v>311</v>
      </c>
      <c r="B320" s="42" t="s">
        <v>996</v>
      </c>
      <c r="C320" s="42" t="s">
        <v>531</v>
      </c>
      <c r="D320" s="42" t="s">
        <v>157</v>
      </c>
      <c r="E320" s="42" t="s">
        <v>312</v>
      </c>
      <c r="F320" s="6"/>
      <c r="G320" s="11"/>
      <c r="H320" s="11"/>
      <c r="I320" s="11"/>
      <c r="J320" s="11"/>
      <c r="K320" s="11"/>
      <c r="L320" s="11">
        <f>L321</f>
        <v>18248.1</v>
      </c>
      <c r="M320" s="11">
        <f t="shared" si="179"/>
        <v>12283.2</v>
      </c>
      <c r="N320" s="7">
        <f t="shared" si="153"/>
        <v>67.31221332631891</v>
      </c>
    </row>
    <row r="321" spans="1:14" ht="15.75">
      <c r="A321" s="26" t="s">
        <v>313</v>
      </c>
      <c r="B321" s="42" t="s">
        <v>996</v>
      </c>
      <c r="C321" s="42" t="s">
        <v>531</v>
      </c>
      <c r="D321" s="42" t="s">
        <v>157</v>
      </c>
      <c r="E321" s="42" t="s">
        <v>314</v>
      </c>
      <c r="F321" s="6"/>
      <c r="G321" s="11"/>
      <c r="H321" s="11"/>
      <c r="I321" s="11"/>
      <c r="J321" s="11"/>
      <c r="K321" s="11"/>
      <c r="L321" s="11">
        <f>'Прил.№4 ведомств.'!G950</f>
        <v>18248.1</v>
      </c>
      <c r="M321" s="11">
        <f>'Прил.№4 ведомств.'!H950</f>
        <v>12283.2</v>
      </c>
      <c r="N321" s="7">
        <f t="shared" si="153"/>
        <v>67.31221332631891</v>
      </c>
    </row>
    <row r="322" spans="1:14" ht="31.5" customHeight="1">
      <c r="A322" s="48" t="s">
        <v>520</v>
      </c>
      <c r="B322" s="42" t="s">
        <v>534</v>
      </c>
      <c r="C322" s="42" t="s">
        <v>531</v>
      </c>
      <c r="D322" s="42" t="s">
        <v>157</v>
      </c>
      <c r="E322" s="42"/>
      <c r="F322" s="6">
        <v>907</v>
      </c>
      <c r="G322" s="11" t="e">
        <f aca="true" t="shared" si="180" ref="G322:L322">G309</f>
        <v>#REF!</v>
      </c>
      <c r="H322" s="11" t="e">
        <f t="shared" si="180"/>
        <v>#REF!</v>
      </c>
      <c r="I322" s="11" t="e">
        <f t="shared" si="180"/>
        <v>#REF!</v>
      </c>
      <c r="J322" s="11" t="e">
        <f t="shared" si="180"/>
        <v>#REF!</v>
      </c>
      <c r="K322" s="11" t="e">
        <f t="shared" si="180"/>
        <v>#REF!</v>
      </c>
      <c r="L322" s="11">
        <f t="shared" si="180"/>
        <v>45247.4</v>
      </c>
      <c r="M322" s="11">
        <f aca="true" t="shared" si="181" ref="M322">M309</f>
        <v>33099.2</v>
      </c>
      <c r="N322" s="7">
        <f t="shared" si="153"/>
        <v>73.15160650114701</v>
      </c>
    </row>
    <row r="323" spans="1:14" ht="47.25" customHeight="1" hidden="1">
      <c r="A323" s="31" t="s">
        <v>644</v>
      </c>
      <c r="B323" s="42" t="s">
        <v>704</v>
      </c>
      <c r="C323" s="42" t="s">
        <v>531</v>
      </c>
      <c r="D323" s="42" t="s">
        <v>157</v>
      </c>
      <c r="E323" s="42"/>
      <c r="F323" s="6"/>
      <c r="G323" s="11">
        <f>G324</f>
        <v>0</v>
      </c>
      <c r="H323" s="11">
        <f aca="true" t="shared" si="182" ref="H323:M325">H324</f>
        <v>0</v>
      </c>
      <c r="I323" s="11">
        <f t="shared" si="182"/>
        <v>0</v>
      </c>
      <c r="J323" s="11">
        <f t="shared" si="182"/>
        <v>0</v>
      </c>
      <c r="K323" s="11">
        <f t="shared" si="182"/>
        <v>0</v>
      </c>
      <c r="L323" s="11">
        <f t="shared" si="182"/>
        <v>0</v>
      </c>
      <c r="M323" s="11">
        <f t="shared" si="182"/>
        <v>0</v>
      </c>
      <c r="N323" s="7" t="e">
        <f t="shared" si="153"/>
        <v>#DIV/0!</v>
      </c>
    </row>
    <row r="324" spans="1:14" ht="31.5" customHeight="1" hidden="1">
      <c r="A324" s="31" t="s">
        <v>311</v>
      </c>
      <c r="B324" s="42" t="s">
        <v>704</v>
      </c>
      <c r="C324" s="42" t="s">
        <v>531</v>
      </c>
      <c r="D324" s="42" t="s">
        <v>157</v>
      </c>
      <c r="E324" s="42" t="s">
        <v>312</v>
      </c>
      <c r="F324" s="6"/>
      <c r="G324" s="11">
        <f>G325</f>
        <v>0</v>
      </c>
      <c r="H324" s="11">
        <f t="shared" si="182"/>
        <v>0</v>
      </c>
      <c r="I324" s="11">
        <f t="shared" si="182"/>
        <v>0</v>
      </c>
      <c r="J324" s="11">
        <f t="shared" si="182"/>
        <v>0</v>
      </c>
      <c r="K324" s="11">
        <f t="shared" si="182"/>
        <v>0</v>
      </c>
      <c r="L324" s="11">
        <f t="shared" si="182"/>
        <v>0</v>
      </c>
      <c r="M324" s="11">
        <f t="shared" si="182"/>
        <v>0</v>
      </c>
      <c r="N324" s="7" t="e">
        <f t="shared" si="153"/>
        <v>#DIV/0!</v>
      </c>
    </row>
    <row r="325" spans="1:14" ht="15.75" customHeight="1" hidden="1">
      <c r="A325" s="31" t="s">
        <v>313</v>
      </c>
      <c r="B325" s="42" t="s">
        <v>704</v>
      </c>
      <c r="C325" s="42" t="s">
        <v>531</v>
      </c>
      <c r="D325" s="42" t="s">
        <v>157</v>
      </c>
      <c r="E325" s="42" t="s">
        <v>314</v>
      </c>
      <c r="F325" s="6"/>
      <c r="G325" s="11">
        <f>G326</f>
        <v>0</v>
      </c>
      <c r="H325" s="11">
        <f t="shared" si="182"/>
        <v>0</v>
      </c>
      <c r="I325" s="11">
        <f t="shared" si="182"/>
        <v>0</v>
      </c>
      <c r="J325" s="11">
        <f t="shared" si="182"/>
        <v>0</v>
      </c>
      <c r="K325" s="11">
        <f t="shared" si="182"/>
        <v>0</v>
      </c>
      <c r="L325" s="11">
        <f t="shared" si="182"/>
        <v>0</v>
      </c>
      <c r="M325" s="11">
        <f t="shared" si="182"/>
        <v>0</v>
      </c>
      <c r="N325" s="7" t="e">
        <f t="shared" si="153"/>
        <v>#DIV/0!</v>
      </c>
    </row>
    <row r="326" spans="1:14" ht="31.5" customHeight="1" hidden="1">
      <c r="A326" s="81" t="s">
        <v>520</v>
      </c>
      <c r="B326" s="42" t="s">
        <v>704</v>
      </c>
      <c r="C326" s="42" t="s">
        <v>531</v>
      </c>
      <c r="D326" s="42" t="s">
        <v>157</v>
      </c>
      <c r="E326" s="42"/>
      <c r="F326" s="6">
        <v>907</v>
      </c>
      <c r="G326" s="11">
        <f aca="true" t="shared" si="183" ref="G326:M326">1500-1500</f>
        <v>0</v>
      </c>
      <c r="H326" s="11">
        <f t="shared" si="183"/>
        <v>0</v>
      </c>
      <c r="I326" s="11">
        <f t="shared" si="183"/>
        <v>0</v>
      </c>
      <c r="J326" s="11">
        <f t="shared" si="183"/>
        <v>0</v>
      </c>
      <c r="K326" s="11">
        <f t="shared" si="183"/>
        <v>0</v>
      </c>
      <c r="L326" s="11">
        <f t="shared" si="183"/>
        <v>0</v>
      </c>
      <c r="M326" s="11">
        <f t="shared" si="183"/>
        <v>0</v>
      </c>
      <c r="N326" s="7" t="e">
        <f t="shared" si="153"/>
        <v>#DIV/0!</v>
      </c>
    </row>
    <row r="327" spans="1:14" ht="31.5" customHeight="1">
      <c r="A327" s="31" t="s">
        <v>317</v>
      </c>
      <c r="B327" s="42" t="s">
        <v>537</v>
      </c>
      <c r="C327" s="42" t="s">
        <v>531</v>
      </c>
      <c r="D327" s="42" t="s">
        <v>157</v>
      </c>
      <c r="E327" s="42"/>
      <c r="F327" s="6"/>
      <c r="G327" s="11" t="e">
        <f>G328</f>
        <v>#REF!</v>
      </c>
      <c r="H327" s="11" t="e">
        <f aca="true" t="shared" si="184" ref="H327:M328">H328</f>
        <v>#REF!</v>
      </c>
      <c r="I327" s="11" t="e">
        <f t="shared" si="184"/>
        <v>#REF!</v>
      </c>
      <c r="J327" s="11" t="e">
        <f t="shared" si="184"/>
        <v>#REF!</v>
      </c>
      <c r="K327" s="11" t="e">
        <f t="shared" si="184"/>
        <v>#REF!</v>
      </c>
      <c r="L327" s="11">
        <f t="shared" si="184"/>
        <v>429.6</v>
      </c>
      <c r="M327" s="11">
        <f t="shared" si="184"/>
        <v>429.6</v>
      </c>
      <c r="N327" s="7">
        <f t="shared" si="153"/>
        <v>100</v>
      </c>
    </row>
    <row r="328" spans="1:14" ht="31.5" customHeight="1">
      <c r="A328" s="31" t="s">
        <v>311</v>
      </c>
      <c r="B328" s="42" t="s">
        <v>537</v>
      </c>
      <c r="C328" s="42" t="s">
        <v>531</v>
      </c>
      <c r="D328" s="42" t="s">
        <v>157</v>
      </c>
      <c r="E328" s="42" t="s">
        <v>312</v>
      </c>
      <c r="F328" s="6"/>
      <c r="G328" s="11" t="e">
        <f>G329</f>
        <v>#REF!</v>
      </c>
      <c r="H328" s="11" t="e">
        <f t="shared" si="184"/>
        <v>#REF!</v>
      </c>
      <c r="I328" s="11" t="e">
        <f t="shared" si="184"/>
        <v>#REF!</v>
      </c>
      <c r="J328" s="11" t="e">
        <f t="shared" si="184"/>
        <v>#REF!</v>
      </c>
      <c r="K328" s="11" t="e">
        <f t="shared" si="184"/>
        <v>#REF!</v>
      </c>
      <c r="L328" s="11">
        <f t="shared" si="184"/>
        <v>429.6</v>
      </c>
      <c r="M328" s="11">
        <f t="shared" si="184"/>
        <v>429.6</v>
      </c>
      <c r="N328" s="7">
        <f t="shared" si="153"/>
        <v>100</v>
      </c>
    </row>
    <row r="329" spans="1:14" ht="15.75" customHeight="1">
      <c r="A329" s="31" t="s">
        <v>313</v>
      </c>
      <c r="B329" s="42" t="s">
        <v>537</v>
      </c>
      <c r="C329" s="42" t="s">
        <v>531</v>
      </c>
      <c r="D329" s="42" t="s">
        <v>157</v>
      </c>
      <c r="E329" s="42" t="s">
        <v>314</v>
      </c>
      <c r="F329" s="6"/>
      <c r="G329" s="11" t="e">
        <f>#REF!</f>
        <v>#REF!</v>
      </c>
      <c r="H329" s="11" t="e">
        <f>#REF!</f>
        <v>#REF!</v>
      </c>
      <c r="I329" s="11" t="e">
        <f>#REF!</f>
        <v>#REF!</v>
      </c>
      <c r="J329" s="11" t="e">
        <f>#REF!</f>
        <v>#REF!</v>
      </c>
      <c r="K329" s="11" t="e">
        <f>#REF!</f>
        <v>#REF!</v>
      </c>
      <c r="L329" s="11">
        <f>'Прил.№4 ведомств.'!G953</f>
        <v>429.6</v>
      </c>
      <c r="M329" s="11">
        <f>'Прил.№4 ведомств.'!H953</f>
        <v>429.6</v>
      </c>
      <c r="N329" s="7">
        <f t="shared" si="153"/>
        <v>100</v>
      </c>
    </row>
    <row r="330" spans="1:14" ht="31.5" customHeight="1">
      <c r="A330" s="31" t="s">
        <v>319</v>
      </c>
      <c r="B330" s="42" t="s">
        <v>538</v>
      </c>
      <c r="C330" s="42" t="s">
        <v>531</v>
      </c>
      <c r="D330" s="42" t="s">
        <v>157</v>
      </c>
      <c r="E330" s="42"/>
      <c r="F330" s="6"/>
      <c r="G330" s="11" t="e">
        <f>G331</f>
        <v>#REF!</v>
      </c>
      <c r="H330" s="11" t="e">
        <f aca="true" t="shared" si="185" ref="H330:M331">H331</f>
        <v>#REF!</v>
      </c>
      <c r="I330" s="11" t="e">
        <f t="shared" si="185"/>
        <v>#REF!</v>
      </c>
      <c r="J330" s="11" t="e">
        <f t="shared" si="185"/>
        <v>#REF!</v>
      </c>
      <c r="K330" s="11" t="e">
        <f t="shared" si="185"/>
        <v>#REF!</v>
      </c>
      <c r="L330" s="11">
        <f t="shared" si="185"/>
        <v>185.4</v>
      </c>
      <c r="M330" s="11">
        <f t="shared" si="185"/>
        <v>185.3</v>
      </c>
      <c r="N330" s="7">
        <f t="shared" si="153"/>
        <v>99.94606256742179</v>
      </c>
    </row>
    <row r="331" spans="1:14" ht="31.5" customHeight="1">
      <c r="A331" s="31" t="s">
        <v>311</v>
      </c>
      <c r="B331" s="42" t="s">
        <v>538</v>
      </c>
      <c r="C331" s="42" t="s">
        <v>531</v>
      </c>
      <c r="D331" s="42" t="s">
        <v>157</v>
      </c>
      <c r="E331" s="42" t="s">
        <v>312</v>
      </c>
      <c r="F331" s="6"/>
      <c r="G331" s="11" t="e">
        <f>G332</f>
        <v>#REF!</v>
      </c>
      <c r="H331" s="11" t="e">
        <f t="shared" si="185"/>
        <v>#REF!</v>
      </c>
      <c r="I331" s="11" t="e">
        <f t="shared" si="185"/>
        <v>#REF!</v>
      </c>
      <c r="J331" s="11" t="e">
        <f t="shared" si="185"/>
        <v>#REF!</v>
      </c>
      <c r="K331" s="11" t="e">
        <f t="shared" si="185"/>
        <v>#REF!</v>
      </c>
      <c r="L331" s="11">
        <f t="shared" si="185"/>
        <v>185.4</v>
      </c>
      <c r="M331" s="11">
        <f t="shared" si="185"/>
        <v>185.3</v>
      </c>
      <c r="N331" s="7">
        <f t="shared" si="153"/>
        <v>99.94606256742179</v>
      </c>
    </row>
    <row r="332" spans="1:14" ht="15.75" customHeight="1">
      <c r="A332" s="31" t="s">
        <v>313</v>
      </c>
      <c r="B332" s="42" t="s">
        <v>538</v>
      </c>
      <c r="C332" s="42" t="s">
        <v>531</v>
      </c>
      <c r="D332" s="42" t="s">
        <v>157</v>
      </c>
      <c r="E332" s="42" t="s">
        <v>314</v>
      </c>
      <c r="F332" s="6"/>
      <c r="G332" s="11" t="e">
        <f>#REF!</f>
        <v>#REF!</v>
      </c>
      <c r="H332" s="11" t="e">
        <f>#REF!</f>
        <v>#REF!</v>
      </c>
      <c r="I332" s="11" t="e">
        <f>#REF!</f>
        <v>#REF!</v>
      </c>
      <c r="J332" s="11" t="e">
        <f>#REF!</f>
        <v>#REF!</v>
      </c>
      <c r="K332" s="11" t="e">
        <f>#REF!</f>
        <v>#REF!</v>
      </c>
      <c r="L332" s="11">
        <f>'Прил.№4 ведомств.'!G956</f>
        <v>185.4</v>
      </c>
      <c r="M332" s="11">
        <f>'Прил.№4 ведомств.'!H956</f>
        <v>185.3</v>
      </c>
      <c r="N332" s="7">
        <f t="shared" si="153"/>
        <v>99.94606256742179</v>
      </c>
    </row>
    <row r="333" spans="1:14" s="299" customFormat="1" ht="15.75" customHeight="1">
      <c r="A333" s="26" t="s">
        <v>1060</v>
      </c>
      <c r="B333" s="42" t="s">
        <v>1061</v>
      </c>
      <c r="C333" s="42" t="s">
        <v>531</v>
      </c>
      <c r="D333" s="42" t="s">
        <v>157</v>
      </c>
      <c r="E333" s="42"/>
      <c r="F333" s="6"/>
      <c r="G333" s="11"/>
      <c r="H333" s="11"/>
      <c r="I333" s="11"/>
      <c r="J333" s="11"/>
      <c r="K333" s="11"/>
      <c r="L333" s="11">
        <f>L334</f>
        <v>36</v>
      </c>
      <c r="M333" s="11">
        <f aca="true" t="shared" si="186" ref="M333:M334">M334</f>
        <v>36</v>
      </c>
      <c r="N333" s="7">
        <f aca="true" t="shared" si="187" ref="N333:N396">M333/L333*100</f>
        <v>100</v>
      </c>
    </row>
    <row r="334" spans="1:14" s="299" customFormat="1" ht="31.5">
      <c r="A334" s="26" t="s">
        <v>311</v>
      </c>
      <c r="B334" s="42" t="s">
        <v>1061</v>
      </c>
      <c r="C334" s="42" t="s">
        <v>531</v>
      </c>
      <c r="D334" s="42" t="s">
        <v>157</v>
      </c>
      <c r="E334" s="42" t="s">
        <v>312</v>
      </c>
      <c r="F334" s="6"/>
      <c r="G334" s="11"/>
      <c r="H334" s="11"/>
      <c r="I334" s="11"/>
      <c r="J334" s="11"/>
      <c r="K334" s="11"/>
      <c r="L334" s="11">
        <f>L335</f>
        <v>36</v>
      </c>
      <c r="M334" s="11">
        <f t="shared" si="186"/>
        <v>36</v>
      </c>
      <c r="N334" s="7">
        <f t="shared" si="187"/>
        <v>100</v>
      </c>
    </row>
    <row r="335" spans="1:14" s="299" customFormat="1" ht="15.75" customHeight="1">
      <c r="A335" s="26" t="s">
        <v>313</v>
      </c>
      <c r="B335" s="42" t="s">
        <v>1061</v>
      </c>
      <c r="C335" s="42" t="s">
        <v>531</v>
      </c>
      <c r="D335" s="42" t="s">
        <v>157</v>
      </c>
      <c r="E335" s="42" t="s">
        <v>314</v>
      </c>
      <c r="F335" s="6"/>
      <c r="G335" s="11"/>
      <c r="H335" s="11"/>
      <c r="I335" s="11"/>
      <c r="J335" s="11"/>
      <c r="K335" s="11"/>
      <c r="L335" s="11">
        <f>'Прил.№4 ведомств.'!G959</f>
        <v>36</v>
      </c>
      <c r="M335" s="11">
        <f>'Прил.№4 ведомств.'!H959</f>
        <v>36</v>
      </c>
      <c r="N335" s="7">
        <f t="shared" si="187"/>
        <v>100</v>
      </c>
    </row>
    <row r="336" spans="1:14" ht="31.5" customHeight="1">
      <c r="A336" s="31" t="s">
        <v>323</v>
      </c>
      <c r="B336" s="42" t="s">
        <v>539</v>
      </c>
      <c r="C336" s="42" t="s">
        <v>531</v>
      </c>
      <c r="D336" s="42" t="s">
        <v>157</v>
      </c>
      <c r="E336" s="42"/>
      <c r="F336" s="6"/>
      <c r="G336" s="11" t="e">
        <f>G337</f>
        <v>#REF!</v>
      </c>
      <c r="H336" s="11" t="e">
        <f aca="true" t="shared" si="188" ref="H336:M337">H337</f>
        <v>#REF!</v>
      </c>
      <c r="I336" s="11" t="e">
        <f t="shared" si="188"/>
        <v>#REF!</v>
      </c>
      <c r="J336" s="11" t="e">
        <f t="shared" si="188"/>
        <v>#REF!</v>
      </c>
      <c r="K336" s="11" t="e">
        <f t="shared" si="188"/>
        <v>#REF!</v>
      </c>
      <c r="L336" s="11">
        <f t="shared" si="188"/>
        <v>53.7</v>
      </c>
      <c r="M336" s="11">
        <f t="shared" si="188"/>
        <v>53.7</v>
      </c>
      <c r="N336" s="7">
        <f t="shared" si="187"/>
        <v>100</v>
      </c>
    </row>
    <row r="337" spans="1:14" ht="31.5" customHeight="1">
      <c r="A337" s="31" t="s">
        <v>311</v>
      </c>
      <c r="B337" s="42" t="s">
        <v>539</v>
      </c>
      <c r="C337" s="42" t="s">
        <v>531</v>
      </c>
      <c r="D337" s="42" t="s">
        <v>157</v>
      </c>
      <c r="E337" s="42" t="s">
        <v>312</v>
      </c>
      <c r="F337" s="6"/>
      <c r="G337" s="11" t="e">
        <f>G338</f>
        <v>#REF!</v>
      </c>
      <c r="H337" s="11" t="e">
        <f t="shared" si="188"/>
        <v>#REF!</v>
      </c>
      <c r="I337" s="11" t="e">
        <f t="shared" si="188"/>
        <v>#REF!</v>
      </c>
      <c r="J337" s="11" t="e">
        <f t="shared" si="188"/>
        <v>#REF!</v>
      </c>
      <c r="K337" s="11" t="e">
        <f t="shared" si="188"/>
        <v>#REF!</v>
      </c>
      <c r="L337" s="11">
        <f t="shared" si="188"/>
        <v>53.7</v>
      </c>
      <c r="M337" s="11">
        <f t="shared" si="188"/>
        <v>53.7</v>
      </c>
      <c r="N337" s="7">
        <f t="shared" si="187"/>
        <v>100</v>
      </c>
    </row>
    <row r="338" spans="1:14" ht="15.75" customHeight="1">
      <c r="A338" s="31" t="s">
        <v>313</v>
      </c>
      <c r="B338" s="42" t="s">
        <v>539</v>
      </c>
      <c r="C338" s="42" t="s">
        <v>531</v>
      </c>
      <c r="D338" s="42" t="s">
        <v>157</v>
      </c>
      <c r="E338" s="42" t="s">
        <v>314</v>
      </c>
      <c r="F338" s="6"/>
      <c r="G338" s="11" t="e">
        <f>#REF!</f>
        <v>#REF!</v>
      </c>
      <c r="H338" s="11" t="e">
        <f>#REF!</f>
        <v>#REF!</v>
      </c>
      <c r="I338" s="11" t="e">
        <f>#REF!</f>
        <v>#REF!</v>
      </c>
      <c r="J338" s="11" t="e">
        <f>#REF!</f>
        <v>#REF!</v>
      </c>
      <c r="K338" s="11" t="e">
        <f>#REF!</f>
        <v>#REF!</v>
      </c>
      <c r="L338" s="11">
        <f>'Прил.№4 ведомств.'!G962</f>
        <v>53.7</v>
      </c>
      <c r="M338" s="11">
        <f>'Прил.№4 ведомств.'!H962</f>
        <v>53.7</v>
      </c>
      <c r="N338" s="7">
        <f t="shared" si="187"/>
        <v>100</v>
      </c>
    </row>
    <row r="339" spans="1:14" ht="31.5">
      <c r="A339" s="47" t="s">
        <v>837</v>
      </c>
      <c r="B339" s="42" t="s">
        <v>845</v>
      </c>
      <c r="C339" s="42" t="s">
        <v>531</v>
      </c>
      <c r="D339" s="42" t="s">
        <v>157</v>
      </c>
      <c r="E339" s="42"/>
      <c r="F339" s="6"/>
      <c r="G339" s="11" t="e">
        <f>G340</f>
        <v>#REF!</v>
      </c>
      <c r="H339" s="11" t="e">
        <f aca="true" t="shared" si="189" ref="H339:M340">H340</f>
        <v>#REF!</v>
      </c>
      <c r="I339" s="11" t="e">
        <f t="shared" si="189"/>
        <v>#REF!</v>
      </c>
      <c r="J339" s="11" t="e">
        <f t="shared" si="189"/>
        <v>#REF!</v>
      </c>
      <c r="K339" s="11" t="e">
        <f t="shared" si="189"/>
        <v>#REF!</v>
      </c>
      <c r="L339" s="11">
        <f t="shared" si="189"/>
        <v>1193.3</v>
      </c>
      <c r="M339" s="11">
        <f t="shared" si="189"/>
        <v>1193.3</v>
      </c>
      <c r="N339" s="7">
        <f t="shared" si="187"/>
        <v>100</v>
      </c>
    </row>
    <row r="340" spans="1:14" ht="31.5">
      <c r="A340" s="33" t="s">
        <v>311</v>
      </c>
      <c r="B340" s="42" t="s">
        <v>845</v>
      </c>
      <c r="C340" s="42" t="s">
        <v>531</v>
      </c>
      <c r="D340" s="42" t="s">
        <v>157</v>
      </c>
      <c r="E340" s="42" t="s">
        <v>312</v>
      </c>
      <c r="F340" s="6"/>
      <c r="G340" s="11" t="e">
        <f>G341</f>
        <v>#REF!</v>
      </c>
      <c r="H340" s="11" t="e">
        <f t="shared" si="189"/>
        <v>#REF!</v>
      </c>
      <c r="I340" s="11" t="e">
        <f t="shared" si="189"/>
        <v>#REF!</v>
      </c>
      <c r="J340" s="11" t="e">
        <f t="shared" si="189"/>
        <v>#REF!</v>
      </c>
      <c r="K340" s="11" t="e">
        <f t="shared" si="189"/>
        <v>#REF!</v>
      </c>
      <c r="L340" s="11">
        <f t="shared" si="189"/>
        <v>1193.3</v>
      </c>
      <c r="M340" s="11">
        <f t="shared" si="189"/>
        <v>1193.3</v>
      </c>
      <c r="N340" s="7">
        <f t="shared" si="187"/>
        <v>100</v>
      </c>
    </row>
    <row r="341" spans="1:14" ht="15.75">
      <c r="A341" s="33" t="s">
        <v>313</v>
      </c>
      <c r="B341" s="42" t="s">
        <v>845</v>
      </c>
      <c r="C341" s="42" t="s">
        <v>531</v>
      </c>
      <c r="D341" s="42" t="s">
        <v>157</v>
      </c>
      <c r="E341" s="42" t="s">
        <v>314</v>
      </c>
      <c r="F341" s="6"/>
      <c r="G341" s="11" t="e">
        <f>#REF!</f>
        <v>#REF!</v>
      </c>
      <c r="H341" s="11" t="e">
        <f>#REF!</f>
        <v>#REF!</v>
      </c>
      <c r="I341" s="11" t="e">
        <f>#REF!</f>
        <v>#REF!</v>
      </c>
      <c r="J341" s="11" t="e">
        <f>#REF!</f>
        <v>#REF!</v>
      </c>
      <c r="K341" s="11" t="e">
        <f>#REF!</f>
        <v>#REF!</v>
      </c>
      <c r="L341" s="11">
        <f>'Прил.№4 ведомств.'!G965</f>
        <v>1193.3</v>
      </c>
      <c r="M341" s="11">
        <f>'Прил.№4 ведомств.'!H965</f>
        <v>1193.3</v>
      </c>
      <c r="N341" s="7">
        <f t="shared" si="187"/>
        <v>100</v>
      </c>
    </row>
    <row r="342" spans="1:14" ht="31.5">
      <c r="A342" s="81" t="s">
        <v>520</v>
      </c>
      <c r="B342" s="42" t="s">
        <v>534</v>
      </c>
      <c r="C342" s="42"/>
      <c r="D342" s="42"/>
      <c r="E342" s="42"/>
      <c r="F342" s="6">
        <v>907</v>
      </c>
      <c r="G342" s="11" t="e">
        <f aca="true" t="shared" si="190" ref="G342:L342">G309</f>
        <v>#REF!</v>
      </c>
      <c r="H342" s="11" t="e">
        <f t="shared" si="190"/>
        <v>#REF!</v>
      </c>
      <c r="I342" s="11" t="e">
        <f t="shared" si="190"/>
        <v>#REF!</v>
      </c>
      <c r="J342" s="11" t="e">
        <f t="shared" si="190"/>
        <v>#REF!</v>
      </c>
      <c r="K342" s="11" t="e">
        <f t="shared" si="190"/>
        <v>#REF!</v>
      </c>
      <c r="L342" s="11">
        <f t="shared" si="190"/>
        <v>45247.4</v>
      </c>
      <c r="M342" s="11">
        <f aca="true" t="shared" si="191" ref="M342">M309</f>
        <v>33099.2</v>
      </c>
      <c r="N342" s="7">
        <f t="shared" si="187"/>
        <v>73.15160650114701</v>
      </c>
    </row>
    <row r="343" spans="1:14" ht="47.25">
      <c r="A343" s="64" t="s">
        <v>541</v>
      </c>
      <c r="B343" s="8" t="s">
        <v>542</v>
      </c>
      <c r="C343" s="8"/>
      <c r="D343" s="8"/>
      <c r="E343" s="8"/>
      <c r="F343" s="268"/>
      <c r="G343" s="4" t="e">
        <f>G344</f>
        <v>#REF!</v>
      </c>
      <c r="H343" s="4" t="e">
        <f aca="true" t="shared" si="192" ref="H343:M345">H344</f>
        <v>#REF!</v>
      </c>
      <c r="I343" s="4" t="e">
        <f t="shared" si="192"/>
        <v>#REF!</v>
      </c>
      <c r="J343" s="4" t="e">
        <f t="shared" si="192"/>
        <v>#REF!</v>
      </c>
      <c r="K343" s="4" t="e">
        <f t="shared" si="192"/>
        <v>#REF!</v>
      </c>
      <c r="L343" s="4">
        <f t="shared" si="192"/>
        <v>2497.2</v>
      </c>
      <c r="M343" s="4">
        <f t="shared" si="192"/>
        <v>2013.1999999999998</v>
      </c>
      <c r="N343" s="4">
        <f t="shared" si="187"/>
        <v>80.6182924875861</v>
      </c>
    </row>
    <row r="344" spans="1:14" ht="15.75">
      <c r="A344" s="31" t="s">
        <v>530</v>
      </c>
      <c r="B344" s="42" t="s">
        <v>542</v>
      </c>
      <c r="C344" s="2">
        <v>11</v>
      </c>
      <c r="D344" s="42"/>
      <c r="E344" s="42"/>
      <c r="F344" s="6"/>
      <c r="G344" s="7" t="e">
        <f>G345</f>
        <v>#REF!</v>
      </c>
      <c r="H344" s="7" t="e">
        <f t="shared" si="192"/>
        <v>#REF!</v>
      </c>
      <c r="I344" s="7" t="e">
        <f t="shared" si="192"/>
        <v>#REF!</v>
      </c>
      <c r="J344" s="7" t="e">
        <f t="shared" si="192"/>
        <v>#REF!</v>
      </c>
      <c r="K344" s="7" t="e">
        <f t="shared" si="192"/>
        <v>#REF!</v>
      </c>
      <c r="L344" s="7">
        <f t="shared" si="192"/>
        <v>2497.2</v>
      </c>
      <c r="M344" s="7">
        <f t="shared" si="192"/>
        <v>2013.1999999999998</v>
      </c>
      <c r="N344" s="7">
        <f t="shared" si="187"/>
        <v>80.6182924875861</v>
      </c>
    </row>
    <row r="345" spans="1:14" ht="31.5">
      <c r="A345" s="26" t="s">
        <v>540</v>
      </c>
      <c r="B345" s="42" t="s">
        <v>542</v>
      </c>
      <c r="C345" s="42" t="s">
        <v>531</v>
      </c>
      <c r="D345" s="42" t="s">
        <v>273</v>
      </c>
      <c r="E345" s="42"/>
      <c r="F345" s="6"/>
      <c r="G345" s="7" t="e">
        <f>G346</f>
        <v>#REF!</v>
      </c>
      <c r="H345" s="7" t="e">
        <f t="shared" si="192"/>
        <v>#REF!</v>
      </c>
      <c r="I345" s="7" t="e">
        <f t="shared" si="192"/>
        <v>#REF!</v>
      </c>
      <c r="J345" s="7" t="e">
        <f t="shared" si="192"/>
        <v>#REF!</v>
      </c>
      <c r="K345" s="7" t="e">
        <f t="shared" si="192"/>
        <v>#REF!</v>
      </c>
      <c r="L345" s="7">
        <f t="shared" si="192"/>
        <v>2497.2</v>
      </c>
      <c r="M345" s="7">
        <f t="shared" si="192"/>
        <v>2013.1999999999998</v>
      </c>
      <c r="N345" s="7">
        <f t="shared" si="187"/>
        <v>80.6182924875861</v>
      </c>
    </row>
    <row r="346" spans="1:14" ht="31.5">
      <c r="A346" s="31" t="s">
        <v>196</v>
      </c>
      <c r="B346" s="42" t="s">
        <v>543</v>
      </c>
      <c r="C346" s="42" t="s">
        <v>531</v>
      </c>
      <c r="D346" s="42" t="s">
        <v>273</v>
      </c>
      <c r="E346" s="42"/>
      <c r="F346" s="6"/>
      <c r="G346" s="7" t="e">
        <f aca="true" t="shared" si="193" ref="G346:L346">G349+G347</f>
        <v>#REF!</v>
      </c>
      <c r="H346" s="7" t="e">
        <f t="shared" si="193"/>
        <v>#REF!</v>
      </c>
      <c r="I346" s="7" t="e">
        <f t="shared" si="193"/>
        <v>#REF!</v>
      </c>
      <c r="J346" s="7" t="e">
        <f t="shared" si="193"/>
        <v>#REF!</v>
      </c>
      <c r="K346" s="7" t="e">
        <f t="shared" si="193"/>
        <v>#REF!</v>
      </c>
      <c r="L346" s="7">
        <f t="shared" si="193"/>
        <v>2497.2</v>
      </c>
      <c r="M346" s="7">
        <f aca="true" t="shared" si="194" ref="M346">M349+M347</f>
        <v>2013.1999999999998</v>
      </c>
      <c r="N346" s="7">
        <f t="shared" si="187"/>
        <v>80.6182924875861</v>
      </c>
    </row>
    <row r="347" spans="1:14" ht="78.75">
      <c r="A347" s="26" t="s">
        <v>166</v>
      </c>
      <c r="B347" s="42" t="s">
        <v>543</v>
      </c>
      <c r="C347" s="42" t="s">
        <v>531</v>
      </c>
      <c r="D347" s="42" t="s">
        <v>273</v>
      </c>
      <c r="E347" s="42" t="s">
        <v>167</v>
      </c>
      <c r="F347" s="6"/>
      <c r="G347" s="7" t="e">
        <f aca="true" t="shared" si="195" ref="G347:M347">G348</f>
        <v>#REF!</v>
      </c>
      <c r="H347" s="7" t="e">
        <f t="shared" si="195"/>
        <v>#REF!</v>
      </c>
      <c r="I347" s="7" t="e">
        <f t="shared" si="195"/>
        <v>#REF!</v>
      </c>
      <c r="J347" s="7" t="e">
        <f t="shared" si="195"/>
        <v>#REF!</v>
      </c>
      <c r="K347" s="7" t="e">
        <f t="shared" si="195"/>
        <v>#REF!</v>
      </c>
      <c r="L347" s="7">
        <f t="shared" si="195"/>
        <v>1611</v>
      </c>
      <c r="M347" s="7">
        <f t="shared" si="195"/>
        <v>1469.8</v>
      </c>
      <c r="N347" s="7">
        <f t="shared" si="187"/>
        <v>91.23525760397268</v>
      </c>
    </row>
    <row r="348" spans="1:14" ht="38.25" customHeight="1">
      <c r="A348" s="26" t="s">
        <v>168</v>
      </c>
      <c r="B348" s="42" t="s">
        <v>543</v>
      </c>
      <c r="C348" s="42" t="s">
        <v>531</v>
      </c>
      <c r="D348" s="42" t="s">
        <v>273</v>
      </c>
      <c r="E348" s="42" t="s">
        <v>248</v>
      </c>
      <c r="F348" s="6"/>
      <c r="G348" s="7" t="e">
        <f>#REF!</f>
        <v>#REF!</v>
      </c>
      <c r="H348" s="7" t="e">
        <f>#REF!</f>
        <v>#REF!</v>
      </c>
      <c r="I348" s="7" t="e">
        <f>#REF!</f>
        <v>#REF!</v>
      </c>
      <c r="J348" s="7" t="e">
        <f>#REF!</f>
        <v>#REF!</v>
      </c>
      <c r="K348" s="7" t="e">
        <f>#REF!</f>
        <v>#REF!</v>
      </c>
      <c r="L348" s="7">
        <f>'Прил.№4 ведомств.'!G995</f>
        <v>1611</v>
      </c>
      <c r="M348" s="7">
        <f>'Прил.№4 ведомств.'!H995</f>
        <v>1469.8</v>
      </c>
      <c r="N348" s="7">
        <f t="shared" si="187"/>
        <v>91.23525760397268</v>
      </c>
    </row>
    <row r="349" spans="1:14" ht="31.5">
      <c r="A349" s="31" t="s">
        <v>170</v>
      </c>
      <c r="B349" s="42" t="s">
        <v>543</v>
      </c>
      <c r="C349" s="42" t="s">
        <v>531</v>
      </c>
      <c r="D349" s="42" t="s">
        <v>273</v>
      </c>
      <c r="E349" s="42" t="s">
        <v>171</v>
      </c>
      <c r="F349" s="6"/>
      <c r="G349" s="7" t="e">
        <f aca="true" t="shared" si="196" ref="G349:M349">G350</f>
        <v>#REF!</v>
      </c>
      <c r="H349" s="7" t="e">
        <f t="shared" si="196"/>
        <v>#REF!</v>
      </c>
      <c r="I349" s="7" t="e">
        <f t="shared" si="196"/>
        <v>#REF!</v>
      </c>
      <c r="J349" s="7" t="e">
        <f t="shared" si="196"/>
        <v>#REF!</v>
      </c>
      <c r="K349" s="7" t="e">
        <f t="shared" si="196"/>
        <v>#REF!</v>
      </c>
      <c r="L349" s="7">
        <f t="shared" si="196"/>
        <v>886.2</v>
      </c>
      <c r="M349" s="7">
        <f t="shared" si="196"/>
        <v>543.4</v>
      </c>
      <c r="N349" s="7">
        <f t="shared" si="187"/>
        <v>61.31798691040397</v>
      </c>
    </row>
    <row r="350" spans="1:14" ht="31.5">
      <c r="A350" s="31" t="s">
        <v>172</v>
      </c>
      <c r="B350" s="42" t="s">
        <v>543</v>
      </c>
      <c r="C350" s="42" t="s">
        <v>531</v>
      </c>
      <c r="D350" s="42" t="s">
        <v>273</v>
      </c>
      <c r="E350" s="42" t="s">
        <v>173</v>
      </c>
      <c r="F350" s="6"/>
      <c r="G350" s="7" t="e">
        <f>#REF!</f>
        <v>#REF!</v>
      </c>
      <c r="H350" s="7" t="e">
        <f>#REF!</f>
        <v>#REF!</v>
      </c>
      <c r="I350" s="7" t="e">
        <f>#REF!</f>
        <v>#REF!</v>
      </c>
      <c r="J350" s="7" t="e">
        <f>#REF!</f>
        <v>#REF!</v>
      </c>
      <c r="K350" s="7" t="e">
        <f>#REF!</f>
        <v>#REF!</v>
      </c>
      <c r="L350" s="7">
        <f>'Прил.№4 ведомств.'!G997</f>
        <v>886.2</v>
      </c>
      <c r="M350" s="7">
        <f>'Прил.№4 ведомств.'!H997</f>
        <v>543.4</v>
      </c>
      <c r="N350" s="7">
        <f t="shared" si="187"/>
        <v>61.31798691040397</v>
      </c>
    </row>
    <row r="351" spans="1:14" ht="31.5">
      <c r="A351" s="81" t="s">
        <v>520</v>
      </c>
      <c r="B351" s="42" t="s">
        <v>542</v>
      </c>
      <c r="C351" s="42"/>
      <c r="D351" s="42"/>
      <c r="E351" s="42"/>
      <c r="F351" s="6">
        <v>907</v>
      </c>
      <c r="G351" s="11" t="e">
        <f aca="true" t="shared" si="197" ref="G351:L351">G343</f>
        <v>#REF!</v>
      </c>
      <c r="H351" s="11" t="e">
        <f t="shared" si="197"/>
        <v>#REF!</v>
      </c>
      <c r="I351" s="11" t="e">
        <f t="shared" si="197"/>
        <v>#REF!</v>
      </c>
      <c r="J351" s="11" t="e">
        <f t="shared" si="197"/>
        <v>#REF!</v>
      </c>
      <c r="K351" s="11" t="e">
        <f t="shared" si="197"/>
        <v>#REF!</v>
      </c>
      <c r="L351" s="11">
        <f t="shared" si="197"/>
        <v>2497.2</v>
      </c>
      <c r="M351" s="11">
        <f aca="true" t="shared" si="198" ref="M351">M343</f>
        <v>2013.1999999999998</v>
      </c>
      <c r="N351" s="7">
        <f t="shared" si="187"/>
        <v>80.6182924875861</v>
      </c>
    </row>
    <row r="352" spans="1:14" ht="31.5">
      <c r="A352" s="43" t="s">
        <v>305</v>
      </c>
      <c r="B352" s="8" t="s">
        <v>306</v>
      </c>
      <c r="C352" s="83"/>
      <c r="D352" s="83"/>
      <c r="E352" s="83"/>
      <c r="F352" s="3"/>
      <c r="G352" s="68" t="e">
        <f aca="true" t="shared" si="199" ref="G352:L352">G444+G353+G390</f>
        <v>#REF!</v>
      </c>
      <c r="H352" s="68" t="e">
        <f t="shared" si="199"/>
        <v>#REF!</v>
      </c>
      <c r="I352" s="68" t="e">
        <f t="shared" si="199"/>
        <v>#REF!</v>
      </c>
      <c r="J352" s="68" t="e">
        <f t="shared" si="199"/>
        <v>#REF!</v>
      </c>
      <c r="K352" s="68" t="e">
        <f t="shared" si="199"/>
        <v>#REF!</v>
      </c>
      <c r="L352" s="68">
        <f t="shared" si="199"/>
        <v>60847.3</v>
      </c>
      <c r="M352" s="68">
        <f aca="true" t="shared" si="200" ref="M352">M444+M353+M390</f>
        <v>43110.5</v>
      </c>
      <c r="N352" s="4">
        <f t="shared" si="187"/>
        <v>70.85030888798681</v>
      </c>
    </row>
    <row r="353" spans="1:14" ht="60.75" customHeight="1">
      <c r="A353" s="43" t="s">
        <v>340</v>
      </c>
      <c r="B353" s="8" t="s">
        <v>341</v>
      </c>
      <c r="C353" s="8"/>
      <c r="D353" s="8"/>
      <c r="E353" s="83"/>
      <c r="F353" s="3"/>
      <c r="G353" s="68" t="e">
        <f>G354</f>
        <v>#REF!</v>
      </c>
      <c r="H353" s="68" t="e">
        <f aca="true" t="shared" si="201" ref="H353:M354">H354</f>
        <v>#REF!</v>
      </c>
      <c r="I353" s="68" t="e">
        <f t="shared" si="201"/>
        <v>#REF!</v>
      </c>
      <c r="J353" s="68" t="e">
        <f t="shared" si="201"/>
        <v>#REF!</v>
      </c>
      <c r="K353" s="68" t="e">
        <f t="shared" si="201"/>
        <v>#REF!</v>
      </c>
      <c r="L353" s="68">
        <f t="shared" si="201"/>
        <v>25674.600000000002</v>
      </c>
      <c r="M353" s="68">
        <f t="shared" si="201"/>
        <v>18037</v>
      </c>
      <c r="N353" s="4">
        <f t="shared" si="187"/>
        <v>70.25231162316062</v>
      </c>
    </row>
    <row r="354" spans="1:14" ht="15.75">
      <c r="A354" s="84" t="s">
        <v>337</v>
      </c>
      <c r="B354" s="42" t="s">
        <v>341</v>
      </c>
      <c r="C354" s="42" t="s">
        <v>338</v>
      </c>
      <c r="D354" s="84"/>
      <c r="E354" s="84"/>
      <c r="F354" s="2"/>
      <c r="G354" s="11" t="e">
        <f>G355</f>
        <v>#REF!</v>
      </c>
      <c r="H354" s="11" t="e">
        <f t="shared" si="201"/>
        <v>#REF!</v>
      </c>
      <c r="I354" s="11" t="e">
        <f t="shared" si="201"/>
        <v>#REF!</v>
      </c>
      <c r="J354" s="11" t="e">
        <f t="shared" si="201"/>
        <v>#REF!</v>
      </c>
      <c r="K354" s="11" t="e">
        <f t="shared" si="201"/>
        <v>#REF!</v>
      </c>
      <c r="L354" s="11">
        <f t="shared" si="201"/>
        <v>25674.600000000002</v>
      </c>
      <c r="M354" s="11">
        <f t="shared" si="201"/>
        <v>18037</v>
      </c>
      <c r="N354" s="7">
        <f t="shared" si="187"/>
        <v>70.25231162316062</v>
      </c>
    </row>
    <row r="355" spans="1:14" ht="15.75">
      <c r="A355" s="84" t="s">
        <v>339</v>
      </c>
      <c r="B355" s="42" t="s">
        <v>341</v>
      </c>
      <c r="C355" s="42" t="s">
        <v>338</v>
      </c>
      <c r="D355" s="42" t="s">
        <v>157</v>
      </c>
      <c r="E355" s="84"/>
      <c r="F355" s="2"/>
      <c r="G355" s="11" t="e">
        <f>G356+G362+G365+G359+G368+G371+G374</f>
        <v>#REF!</v>
      </c>
      <c r="H355" s="11" t="e">
        <f>H356+H362+H365+H359+H368+H371+H374</f>
        <v>#REF!</v>
      </c>
      <c r="I355" s="11" t="e">
        <f>I356+I362+I365+I359+I368+I371+I374</f>
        <v>#REF!</v>
      </c>
      <c r="J355" s="11" t="e">
        <f>J356+J362+J365+J359+J368+J371+J374</f>
        <v>#REF!</v>
      </c>
      <c r="K355" s="11" t="e">
        <f>K356+K362+K365+K359+K368+K371+K374</f>
        <v>#REF!</v>
      </c>
      <c r="L355" s="11">
        <f>L356+L362+L365+L359+L368+L371+L374+L382+L377</f>
        <v>25674.600000000002</v>
      </c>
      <c r="M355" s="11">
        <f aca="true" t="shared" si="202" ref="M355">M356+M362+M365+M359+M368+M371+M374+M382+M377</f>
        <v>18037</v>
      </c>
      <c r="N355" s="7">
        <f t="shared" si="187"/>
        <v>70.25231162316062</v>
      </c>
    </row>
    <row r="356" spans="1:14" ht="31.5" customHeight="1" hidden="1">
      <c r="A356" s="31" t="s">
        <v>342</v>
      </c>
      <c r="B356" s="42" t="s">
        <v>343</v>
      </c>
      <c r="C356" s="42" t="s">
        <v>338</v>
      </c>
      <c r="D356" s="42" t="s">
        <v>157</v>
      </c>
      <c r="E356" s="84"/>
      <c r="F356" s="2"/>
      <c r="G356" s="11" t="e">
        <f>G357</f>
        <v>#REF!</v>
      </c>
      <c r="H356" s="11" t="e">
        <f aca="true" t="shared" si="203" ref="H356:M357">H357</f>
        <v>#REF!</v>
      </c>
      <c r="I356" s="11" t="e">
        <f t="shared" si="203"/>
        <v>#REF!</v>
      </c>
      <c r="J356" s="11" t="e">
        <f t="shared" si="203"/>
        <v>#REF!</v>
      </c>
      <c r="K356" s="11" t="e">
        <f t="shared" si="203"/>
        <v>#REF!</v>
      </c>
      <c r="L356" s="11">
        <f t="shared" si="203"/>
        <v>0</v>
      </c>
      <c r="M356" s="11">
        <f t="shared" si="203"/>
        <v>0</v>
      </c>
      <c r="N356" s="7" t="e">
        <f t="shared" si="187"/>
        <v>#DIV/0!</v>
      </c>
    </row>
    <row r="357" spans="1:14" ht="31.5" customHeight="1" hidden="1">
      <c r="A357" s="31" t="s">
        <v>311</v>
      </c>
      <c r="B357" s="42" t="s">
        <v>343</v>
      </c>
      <c r="C357" s="42" t="s">
        <v>338</v>
      </c>
      <c r="D357" s="42" t="s">
        <v>157</v>
      </c>
      <c r="E357" s="42" t="s">
        <v>312</v>
      </c>
      <c r="F357" s="2"/>
      <c r="G357" s="11" t="e">
        <f>G358</f>
        <v>#REF!</v>
      </c>
      <c r="H357" s="11" t="e">
        <f t="shared" si="203"/>
        <v>#REF!</v>
      </c>
      <c r="I357" s="11" t="e">
        <f t="shared" si="203"/>
        <v>#REF!</v>
      </c>
      <c r="J357" s="11" t="e">
        <f t="shared" si="203"/>
        <v>#REF!</v>
      </c>
      <c r="K357" s="11" t="e">
        <f t="shared" si="203"/>
        <v>#REF!</v>
      </c>
      <c r="L357" s="11">
        <f t="shared" si="203"/>
        <v>0</v>
      </c>
      <c r="M357" s="11">
        <f t="shared" si="203"/>
        <v>0</v>
      </c>
      <c r="N357" s="7" t="e">
        <f t="shared" si="187"/>
        <v>#DIV/0!</v>
      </c>
    </row>
    <row r="358" spans="1:14" ht="15.75" customHeight="1" hidden="1">
      <c r="A358" s="31" t="s">
        <v>313</v>
      </c>
      <c r="B358" s="42" t="s">
        <v>343</v>
      </c>
      <c r="C358" s="42" t="s">
        <v>338</v>
      </c>
      <c r="D358" s="42" t="s">
        <v>157</v>
      </c>
      <c r="E358" s="42" t="s">
        <v>314</v>
      </c>
      <c r="F358" s="2"/>
      <c r="G358" s="11" t="e">
        <f>#REF!</f>
        <v>#REF!</v>
      </c>
      <c r="H358" s="11" t="e">
        <f>#REF!</f>
        <v>#REF!</v>
      </c>
      <c r="I358" s="11" t="e">
        <f>#REF!</f>
        <v>#REF!</v>
      </c>
      <c r="J358" s="11" t="e">
        <f>#REF!</f>
        <v>#REF!</v>
      </c>
      <c r="K358" s="11" t="e">
        <f>#REF!</f>
        <v>#REF!</v>
      </c>
      <c r="L358" s="11">
        <f>'Прил.№4 ведомств.'!G383</f>
        <v>0</v>
      </c>
      <c r="M358" s="11">
        <f>'Прил.№4 ведомств.'!H383</f>
        <v>0</v>
      </c>
      <c r="N358" s="7" t="e">
        <f t="shared" si="187"/>
        <v>#DIV/0!</v>
      </c>
    </row>
    <row r="359" spans="1:14" ht="47.25" customHeight="1" hidden="1">
      <c r="A359" s="31" t="s">
        <v>315</v>
      </c>
      <c r="B359" s="42" t="s">
        <v>344</v>
      </c>
      <c r="C359" s="42" t="s">
        <v>338</v>
      </c>
      <c r="D359" s="42" t="s">
        <v>157</v>
      </c>
      <c r="E359" s="42"/>
      <c r="F359" s="2"/>
      <c r="G359" s="11" t="e">
        <f>G360</f>
        <v>#REF!</v>
      </c>
      <c r="H359" s="11" t="e">
        <f aca="true" t="shared" si="204" ref="H359:M360">H360</f>
        <v>#REF!</v>
      </c>
      <c r="I359" s="11" t="e">
        <f t="shared" si="204"/>
        <v>#REF!</v>
      </c>
      <c r="J359" s="11" t="e">
        <f t="shared" si="204"/>
        <v>#REF!</v>
      </c>
      <c r="K359" s="11" t="e">
        <f t="shared" si="204"/>
        <v>#REF!</v>
      </c>
      <c r="L359" s="11">
        <f t="shared" si="204"/>
        <v>0</v>
      </c>
      <c r="M359" s="11">
        <f t="shared" si="204"/>
        <v>0</v>
      </c>
      <c r="N359" s="7" t="e">
        <f t="shared" si="187"/>
        <v>#DIV/0!</v>
      </c>
    </row>
    <row r="360" spans="1:14" ht="31.5" customHeight="1" hidden="1">
      <c r="A360" s="31" t="s">
        <v>311</v>
      </c>
      <c r="B360" s="42" t="s">
        <v>344</v>
      </c>
      <c r="C360" s="42" t="s">
        <v>338</v>
      </c>
      <c r="D360" s="42" t="s">
        <v>157</v>
      </c>
      <c r="E360" s="42" t="s">
        <v>312</v>
      </c>
      <c r="F360" s="2"/>
      <c r="G360" s="11" t="e">
        <f>G361</f>
        <v>#REF!</v>
      </c>
      <c r="H360" s="11" t="e">
        <f t="shared" si="204"/>
        <v>#REF!</v>
      </c>
      <c r="I360" s="11" t="e">
        <f t="shared" si="204"/>
        <v>#REF!</v>
      </c>
      <c r="J360" s="11" t="e">
        <f t="shared" si="204"/>
        <v>#REF!</v>
      </c>
      <c r="K360" s="11" t="e">
        <f t="shared" si="204"/>
        <v>#REF!</v>
      </c>
      <c r="L360" s="11">
        <f t="shared" si="204"/>
        <v>0</v>
      </c>
      <c r="M360" s="11">
        <f t="shared" si="204"/>
        <v>0</v>
      </c>
      <c r="N360" s="7" t="e">
        <f t="shared" si="187"/>
        <v>#DIV/0!</v>
      </c>
    </row>
    <row r="361" spans="1:14" ht="15.75" customHeight="1" hidden="1">
      <c r="A361" s="31" t="s">
        <v>313</v>
      </c>
      <c r="B361" s="42" t="s">
        <v>344</v>
      </c>
      <c r="C361" s="42" t="s">
        <v>338</v>
      </c>
      <c r="D361" s="42" t="s">
        <v>157</v>
      </c>
      <c r="E361" s="42" t="s">
        <v>314</v>
      </c>
      <c r="F361" s="2"/>
      <c r="G361" s="11" t="e">
        <f>#REF!</f>
        <v>#REF!</v>
      </c>
      <c r="H361" s="11" t="e">
        <f>#REF!</f>
        <v>#REF!</v>
      </c>
      <c r="I361" s="11" t="e">
        <f>#REF!</f>
        <v>#REF!</v>
      </c>
      <c r="J361" s="11" t="e">
        <f>#REF!</f>
        <v>#REF!</v>
      </c>
      <c r="K361" s="11" t="e">
        <f>#REF!</f>
        <v>#REF!</v>
      </c>
      <c r="L361" s="11">
        <f>'Прил.№4 ведомств.'!G386</f>
        <v>0</v>
      </c>
      <c r="M361" s="11">
        <f>'Прил.№4 ведомств.'!H386</f>
        <v>0</v>
      </c>
      <c r="N361" s="7" t="e">
        <f t="shared" si="187"/>
        <v>#DIV/0!</v>
      </c>
    </row>
    <row r="362" spans="1:14" ht="31.5" customHeight="1" hidden="1">
      <c r="A362" s="31" t="s">
        <v>664</v>
      </c>
      <c r="B362" s="42" t="s">
        <v>345</v>
      </c>
      <c r="C362" s="42" t="s">
        <v>338</v>
      </c>
      <c r="D362" s="42" t="s">
        <v>157</v>
      </c>
      <c r="E362" s="42"/>
      <c r="F362" s="2"/>
      <c r="G362" s="11" t="e">
        <f>G363</f>
        <v>#REF!</v>
      </c>
      <c r="H362" s="11" t="e">
        <f aca="true" t="shared" si="205" ref="H362:M363">H363</f>
        <v>#REF!</v>
      </c>
      <c r="I362" s="11" t="e">
        <f t="shared" si="205"/>
        <v>#REF!</v>
      </c>
      <c r="J362" s="11" t="e">
        <f t="shared" si="205"/>
        <v>#REF!</v>
      </c>
      <c r="K362" s="11" t="e">
        <f t="shared" si="205"/>
        <v>#REF!</v>
      </c>
      <c r="L362" s="11">
        <f t="shared" si="205"/>
        <v>0</v>
      </c>
      <c r="M362" s="11">
        <f t="shared" si="205"/>
        <v>0</v>
      </c>
      <c r="N362" s="7" t="e">
        <f t="shared" si="187"/>
        <v>#DIV/0!</v>
      </c>
    </row>
    <row r="363" spans="1:14" ht="71.25" customHeight="1" hidden="1">
      <c r="A363" s="31" t="s">
        <v>311</v>
      </c>
      <c r="B363" s="42" t="s">
        <v>345</v>
      </c>
      <c r="C363" s="42" t="s">
        <v>338</v>
      </c>
      <c r="D363" s="42" t="s">
        <v>157</v>
      </c>
      <c r="E363" s="42" t="s">
        <v>312</v>
      </c>
      <c r="F363" s="2"/>
      <c r="G363" s="11" t="e">
        <f>G364</f>
        <v>#REF!</v>
      </c>
      <c r="H363" s="11" t="e">
        <f t="shared" si="205"/>
        <v>#REF!</v>
      </c>
      <c r="I363" s="11" t="e">
        <f t="shared" si="205"/>
        <v>#REF!</v>
      </c>
      <c r="J363" s="11" t="e">
        <f t="shared" si="205"/>
        <v>#REF!</v>
      </c>
      <c r="K363" s="11" t="e">
        <f t="shared" si="205"/>
        <v>#REF!</v>
      </c>
      <c r="L363" s="11">
        <f t="shared" si="205"/>
        <v>0</v>
      </c>
      <c r="M363" s="11">
        <f t="shared" si="205"/>
        <v>0</v>
      </c>
      <c r="N363" s="7" t="e">
        <f t="shared" si="187"/>
        <v>#DIV/0!</v>
      </c>
    </row>
    <row r="364" spans="1:14" ht="15.75" customHeight="1" hidden="1">
      <c r="A364" s="31" t="s">
        <v>313</v>
      </c>
      <c r="B364" s="42" t="s">
        <v>345</v>
      </c>
      <c r="C364" s="42" t="s">
        <v>338</v>
      </c>
      <c r="D364" s="42" t="s">
        <v>157</v>
      </c>
      <c r="E364" s="42" t="s">
        <v>314</v>
      </c>
      <c r="F364" s="2"/>
      <c r="G364" s="11" t="e">
        <f>#REF!</f>
        <v>#REF!</v>
      </c>
      <c r="H364" s="11" t="e">
        <f>#REF!</f>
        <v>#REF!</v>
      </c>
      <c r="I364" s="11" t="e">
        <f>#REF!</f>
        <v>#REF!</v>
      </c>
      <c r="J364" s="11" t="e">
        <f>#REF!</f>
        <v>#REF!</v>
      </c>
      <c r="K364" s="11" t="e">
        <f>#REF!</f>
        <v>#REF!</v>
      </c>
      <c r="L364" s="11">
        <f>'Прил.№4 ведомств.'!G389</f>
        <v>0</v>
      </c>
      <c r="M364" s="11">
        <f>'Прил.№4 ведомств.'!H389</f>
        <v>0</v>
      </c>
      <c r="N364" s="7" t="e">
        <f t="shared" si="187"/>
        <v>#DIV/0!</v>
      </c>
    </row>
    <row r="365" spans="1:14" ht="15.75" customHeight="1" hidden="1">
      <c r="A365" s="31" t="s">
        <v>346</v>
      </c>
      <c r="B365" s="42" t="s">
        <v>347</v>
      </c>
      <c r="C365" s="42" t="s">
        <v>338</v>
      </c>
      <c r="D365" s="42" t="s">
        <v>157</v>
      </c>
      <c r="E365" s="42"/>
      <c r="F365" s="2"/>
      <c r="G365" s="11" t="e">
        <f>G366</f>
        <v>#REF!</v>
      </c>
      <c r="H365" s="11" t="e">
        <f aca="true" t="shared" si="206" ref="H365:M366">H366</f>
        <v>#REF!</v>
      </c>
      <c r="I365" s="11" t="e">
        <f t="shared" si="206"/>
        <v>#REF!</v>
      </c>
      <c r="J365" s="11" t="e">
        <f t="shared" si="206"/>
        <v>#REF!</v>
      </c>
      <c r="K365" s="11" t="e">
        <f t="shared" si="206"/>
        <v>#REF!</v>
      </c>
      <c r="L365" s="11">
        <f t="shared" si="206"/>
        <v>0</v>
      </c>
      <c r="M365" s="11">
        <f t="shared" si="206"/>
        <v>0</v>
      </c>
      <c r="N365" s="7" t="e">
        <f t="shared" si="187"/>
        <v>#DIV/0!</v>
      </c>
    </row>
    <row r="366" spans="1:14" ht="31.5" customHeight="1" hidden="1">
      <c r="A366" s="31" t="s">
        <v>311</v>
      </c>
      <c r="B366" s="42" t="s">
        <v>347</v>
      </c>
      <c r="C366" s="42" t="s">
        <v>338</v>
      </c>
      <c r="D366" s="42" t="s">
        <v>157</v>
      </c>
      <c r="E366" s="42" t="s">
        <v>312</v>
      </c>
      <c r="F366" s="2"/>
      <c r="G366" s="11" t="e">
        <f>G367</f>
        <v>#REF!</v>
      </c>
      <c r="H366" s="11" t="e">
        <f t="shared" si="206"/>
        <v>#REF!</v>
      </c>
      <c r="I366" s="11" t="e">
        <f t="shared" si="206"/>
        <v>#REF!</v>
      </c>
      <c r="J366" s="11" t="e">
        <f t="shared" si="206"/>
        <v>#REF!</v>
      </c>
      <c r="K366" s="11" t="e">
        <f t="shared" si="206"/>
        <v>#REF!</v>
      </c>
      <c r="L366" s="11">
        <f t="shared" si="206"/>
        <v>0</v>
      </c>
      <c r="M366" s="11">
        <f t="shared" si="206"/>
        <v>0</v>
      </c>
      <c r="N366" s="7" t="e">
        <f t="shared" si="187"/>
        <v>#DIV/0!</v>
      </c>
    </row>
    <row r="367" spans="1:14" ht="15.75" customHeight="1" hidden="1">
      <c r="A367" s="31" t="s">
        <v>313</v>
      </c>
      <c r="B367" s="42" t="s">
        <v>347</v>
      </c>
      <c r="C367" s="42" t="s">
        <v>338</v>
      </c>
      <c r="D367" s="42" t="s">
        <v>157</v>
      </c>
      <c r="E367" s="42" t="s">
        <v>314</v>
      </c>
      <c r="F367" s="2"/>
      <c r="G367" s="11" t="e">
        <f>#REF!</f>
        <v>#REF!</v>
      </c>
      <c r="H367" s="11" t="e">
        <f>#REF!</f>
        <v>#REF!</v>
      </c>
      <c r="I367" s="11" t="e">
        <f>#REF!</f>
        <v>#REF!</v>
      </c>
      <c r="J367" s="11" t="e">
        <f>#REF!</f>
        <v>#REF!</v>
      </c>
      <c r="K367" s="11" t="e">
        <f>#REF!</f>
        <v>#REF!</v>
      </c>
      <c r="L367" s="11">
        <f>'Прил.№4 ведомств.'!G392</f>
        <v>0</v>
      </c>
      <c r="M367" s="11">
        <f>'Прил.№4 ведомств.'!H392</f>
        <v>0</v>
      </c>
      <c r="N367" s="7" t="e">
        <f t="shared" si="187"/>
        <v>#DIV/0!</v>
      </c>
    </row>
    <row r="368" spans="1:14" ht="31.5" customHeight="1" hidden="1">
      <c r="A368" s="31" t="s">
        <v>323</v>
      </c>
      <c r="B368" s="42" t="s">
        <v>324</v>
      </c>
      <c r="C368" s="42" t="s">
        <v>338</v>
      </c>
      <c r="D368" s="42" t="s">
        <v>157</v>
      </c>
      <c r="E368" s="42"/>
      <c r="F368" s="2"/>
      <c r="G368" s="11" t="e">
        <f>G369</f>
        <v>#REF!</v>
      </c>
      <c r="H368" s="11" t="e">
        <f aca="true" t="shared" si="207" ref="H368:M369">H369</f>
        <v>#REF!</v>
      </c>
      <c r="I368" s="11" t="e">
        <f t="shared" si="207"/>
        <v>#REF!</v>
      </c>
      <c r="J368" s="11" t="e">
        <f t="shared" si="207"/>
        <v>#REF!</v>
      </c>
      <c r="K368" s="11" t="e">
        <f t="shared" si="207"/>
        <v>#REF!</v>
      </c>
      <c r="L368" s="11">
        <f t="shared" si="207"/>
        <v>0</v>
      </c>
      <c r="M368" s="11">
        <f t="shared" si="207"/>
        <v>0</v>
      </c>
      <c r="N368" s="7" t="e">
        <f t="shared" si="187"/>
        <v>#DIV/0!</v>
      </c>
    </row>
    <row r="369" spans="1:14" ht="31.5" customHeight="1" hidden="1">
      <c r="A369" s="31" t="s">
        <v>311</v>
      </c>
      <c r="B369" s="42" t="s">
        <v>324</v>
      </c>
      <c r="C369" s="42" t="s">
        <v>338</v>
      </c>
      <c r="D369" s="42" t="s">
        <v>157</v>
      </c>
      <c r="E369" s="42" t="s">
        <v>312</v>
      </c>
      <c r="F369" s="2"/>
      <c r="G369" s="11" t="e">
        <f>G370</f>
        <v>#REF!</v>
      </c>
      <c r="H369" s="11" t="e">
        <f t="shared" si="207"/>
        <v>#REF!</v>
      </c>
      <c r="I369" s="11" t="e">
        <f t="shared" si="207"/>
        <v>#REF!</v>
      </c>
      <c r="J369" s="11" t="e">
        <f t="shared" si="207"/>
        <v>#REF!</v>
      </c>
      <c r="K369" s="11" t="e">
        <f t="shared" si="207"/>
        <v>#REF!</v>
      </c>
      <c r="L369" s="11">
        <f t="shared" si="207"/>
        <v>0</v>
      </c>
      <c r="M369" s="11">
        <f t="shared" si="207"/>
        <v>0</v>
      </c>
      <c r="N369" s="7" t="e">
        <f t="shared" si="187"/>
        <v>#DIV/0!</v>
      </c>
    </row>
    <row r="370" spans="1:14" ht="15.75" customHeight="1" hidden="1">
      <c r="A370" s="31" t="s">
        <v>313</v>
      </c>
      <c r="B370" s="42" t="s">
        <v>324</v>
      </c>
      <c r="C370" s="42" t="s">
        <v>338</v>
      </c>
      <c r="D370" s="42" t="s">
        <v>157</v>
      </c>
      <c r="E370" s="42" t="s">
        <v>314</v>
      </c>
      <c r="F370" s="2"/>
      <c r="G370" s="11" t="e">
        <f>#REF!</f>
        <v>#REF!</v>
      </c>
      <c r="H370" s="11" t="e">
        <f>#REF!</f>
        <v>#REF!</v>
      </c>
      <c r="I370" s="11" t="e">
        <f>#REF!</f>
        <v>#REF!</v>
      </c>
      <c r="J370" s="11" t="e">
        <f>#REF!</f>
        <v>#REF!</v>
      </c>
      <c r="K370" s="11" t="e">
        <f>#REF!</f>
        <v>#REF!</v>
      </c>
      <c r="L370" s="11">
        <f>'Прил.№4 ведомств.'!G395</f>
        <v>0</v>
      </c>
      <c r="M370" s="11">
        <f>'Прил.№4 ведомств.'!H395</f>
        <v>0</v>
      </c>
      <c r="N370" s="7" t="e">
        <f t="shared" si="187"/>
        <v>#DIV/0!</v>
      </c>
    </row>
    <row r="371" spans="1:14" ht="31.5" customHeight="1" hidden="1">
      <c r="A371" s="37" t="s">
        <v>326</v>
      </c>
      <c r="B371" s="21" t="s">
        <v>348</v>
      </c>
      <c r="C371" s="42" t="s">
        <v>338</v>
      </c>
      <c r="D371" s="42" t="s">
        <v>157</v>
      </c>
      <c r="E371" s="42"/>
      <c r="F371" s="2"/>
      <c r="G371" s="11" t="e">
        <f>G372</f>
        <v>#REF!</v>
      </c>
      <c r="H371" s="11" t="e">
        <f aca="true" t="shared" si="208" ref="H371:M372">H372</f>
        <v>#REF!</v>
      </c>
      <c r="I371" s="11" t="e">
        <f t="shared" si="208"/>
        <v>#REF!</v>
      </c>
      <c r="J371" s="11" t="e">
        <f t="shared" si="208"/>
        <v>#REF!</v>
      </c>
      <c r="K371" s="11" t="e">
        <f t="shared" si="208"/>
        <v>#REF!</v>
      </c>
      <c r="L371" s="11">
        <f t="shared" si="208"/>
        <v>0</v>
      </c>
      <c r="M371" s="11">
        <f t="shared" si="208"/>
        <v>0</v>
      </c>
      <c r="N371" s="7" t="e">
        <f t="shared" si="187"/>
        <v>#DIV/0!</v>
      </c>
    </row>
    <row r="372" spans="1:14" ht="31.5" customHeight="1" hidden="1">
      <c r="A372" s="26" t="s">
        <v>311</v>
      </c>
      <c r="B372" s="21" t="s">
        <v>348</v>
      </c>
      <c r="C372" s="42" t="s">
        <v>338</v>
      </c>
      <c r="D372" s="42" t="s">
        <v>157</v>
      </c>
      <c r="E372" s="42" t="s">
        <v>312</v>
      </c>
      <c r="F372" s="2"/>
      <c r="G372" s="11" t="e">
        <f>G373</f>
        <v>#REF!</v>
      </c>
      <c r="H372" s="11" t="e">
        <f t="shared" si="208"/>
        <v>#REF!</v>
      </c>
      <c r="I372" s="11" t="e">
        <f t="shared" si="208"/>
        <v>#REF!</v>
      </c>
      <c r="J372" s="11" t="e">
        <f t="shared" si="208"/>
        <v>#REF!</v>
      </c>
      <c r="K372" s="11" t="e">
        <f t="shared" si="208"/>
        <v>#REF!</v>
      </c>
      <c r="L372" s="11">
        <f t="shared" si="208"/>
        <v>0</v>
      </c>
      <c r="M372" s="11">
        <f t="shared" si="208"/>
        <v>0</v>
      </c>
      <c r="N372" s="7" t="e">
        <f t="shared" si="187"/>
        <v>#DIV/0!</v>
      </c>
    </row>
    <row r="373" spans="1:14" ht="15.75" customHeight="1" hidden="1">
      <c r="A373" s="26" t="s">
        <v>313</v>
      </c>
      <c r="B373" s="21" t="s">
        <v>348</v>
      </c>
      <c r="C373" s="42" t="s">
        <v>338</v>
      </c>
      <c r="D373" s="42" t="s">
        <v>157</v>
      </c>
      <c r="E373" s="42" t="s">
        <v>314</v>
      </c>
      <c r="F373" s="2"/>
      <c r="G373" s="11" t="e">
        <f>#REF!</f>
        <v>#REF!</v>
      </c>
      <c r="H373" s="11" t="e">
        <f>#REF!</f>
        <v>#REF!</v>
      </c>
      <c r="I373" s="11" t="e">
        <f>#REF!</f>
        <v>#REF!</v>
      </c>
      <c r="J373" s="11" t="e">
        <f>#REF!</f>
        <v>#REF!</v>
      </c>
      <c r="K373" s="11" t="e">
        <f>#REF!</f>
        <v>#REF!</v>
      </c>
      <c r="L373" s="11">
        <f>'Прил.№4 ведомств.'!G398</f>
        <v>0</v>
      </c>
      <c r="M373" s="11">
        <f>'Прил.№4 ведомств.'!H398</f>
        <v>0</v>
      </c>
      <c r="N373" s="7" t="e">
        <f t="shared" si="187"/>
        <v>#DIV/0!</v>
      </c>
    </row>
    <row r="374" spans="1:14" ht="31.5" customHeight="1" hidden="1">
      <c r="A374" s="70" t="s">
        <v>837</v>
      </c>
      <c r="B374" s="21" t="s">
        <v>842</v>
      </c>
      <c r="C374" s="42" t="s">
        <v>338</v>
      </c>
      <c r="D374" s="42" t="s">
        <v>157</v>
      </c>
      <c r="E374" s="42"/>
      <c r="F374" s="2"/>
      <c r="G374" s="11" t="e">
        <f>G375</f>
        <v>#REF!</v>
      </c>
      <c r="H374" s="11" t="e">
        <f aca="true" t="shared" si="209" ref="H374:M375">H375</f>
        <v>#REF!</v>
      </c>
      <c r="I374" s="11" t="e">
        <f t="shared" si="209"/>
        <v>#REF!</v>
      </c>
      <c r="J374" s="11" t="e">
        <f t="shared" si="209"/>
        <v>#REF!</v>
      </c>
      <c r="K374" s="11" t="e">
        <f t="shared" si="209"/>
        <v>#REF!</v>
      </c>
      <c r="L374" s="11">
        <f t="shared" si="209"/>
        <v>0</v>
      </c>
      <c r="M374" s="11">
        <f t="shared" si="209"/>
        <v>0</v>
      </c>
      <c r="N374" s="7" t="e">
        <f t="shared" si="187"/>
        <v>#DIV/0!</v>
      </c>
    </row>
    <row r="375" spans="1:14" ht="31.5" customHeight="1" hidden="1">
      <c r="A375" s="31" t="s">
        <v>311</v>
      </c>
      <c r="B375" s="21" t="s">
        <v>842</v>
      </c>
      <c r="C375" s="42" t="s">
        <v>338</v>
      </c>
      <c r="D375" s="42" t="s">
        <v>157</v>
      </c>
      <c r="E375" s="42" t="s">
        <v>312</v>
      </c>
      <c r="F375" s="2"/>
      <c r="G375" s="11" t="e">
        <f>G376</f>
        <v>#REF!</v>
      </c>
      <c r="H375" s="11" t="e">
        <f t="shared" si="209"/>
        <v>#REF!</v>
      </c>
      <c r="I375" s="11" t="e">
        <f t="shared" si="209"/>
        <v>#REF!</v>
      </c>
      <c r="J375" s="11" t="e">
        <f t="shared" si="209"/>
        <v>#REF!</v>
      </c>
      <c r="K375" s="11" t="e">
        <f t="shared" si="209"/>
        <v>#REF!</v>
      </c>
      <c r="L375" s="11">
        <f t="shared" si="209"/>
        <v>0</v>
      </c>
      <c r="M375" s="11">
        <f t="shared" si="209"/>
        <v>0</v>
      </c>
      <c r="N375" s="7" t="e">
        <f t="shared" si="187"/>
        <v>#DIV/0!</v>
      </c>
    </row>
    <row r="376" spans="1:14" ht="15.75" customHeight="1" hidden="1">
      <c r="A376" s="242" t="s">
        <v>313</v>
      </c>
      <c r="B376" s="21" t="s">
        <v>842</v>
      </c>
      <c r="C376" s="42" t="s">
        <v>338</v>
      </c>
      <c r="D376" s="42" t="s">
        <v>157</v>
      </c>
      <c r="E376" s="42" t="s">
        <v>314</v>
      </c>
      <c r="F376" s="2"/>
      <c r="G376" s="11" t="e">
        <f>#REF!</f>
        <v>#REF!</v>
      </c>
      <c r="H376" s="11" t="e">
        <f>#REF!</f>
        <v>#REF!</v>
      </c>
      <c r="I376" s="11" t="e">
        <f>#REF!</f>
        <v>#REF!</v>
      </c>
      <c r="J376" s="11" t="e">
        <f>#REF!</f>
        <v>#REF!</v>
      </c>
      <c r="K376" s="11" t="e">
        <f>#REF!</f>
        <v>#REF!</v>
      </c>
      <c r="L376" s="11">
        <f>'Прил.№4 ведомств.'!G401</f>
        <v>0</v>
      </c>
      <c r="M376" s="11">
        <f>'Прил.№4 ведомств.'!H401</f>
        <v>0</v>
      </c>
      <c r="N376" s="7" t="e">
        <f t="shared" si="187"/>
        <v>#DIV/0!</v>
      </c>
    </row>
    <row r="377" spans="1:14" ht="31.5">
      <c r="A377" s="33" t="s">
        <v>1025</v>
      </c>
      <c r="B377" s="21" t="s">
        <v>1026</v>
      </c>
      <c r="C377" s="42" t="s">
        <v>338</v>
      </c>
      <c r="D377" s="42" t="s">
        <v>157</v>
      </c>
      <c r="E377" s="42"/>
      <c r="F377" s="2"/>
      <c r="G377" s="11"/>
      <c r="H377" s="11"/>
      <c r="I377" s="11"/>
      <c r="J377" s="11"/>
      <c r="K377" s="11"/>
      <c r="L377" s="11">
        <f>L378+L380</f>
        <v>2000</v>
      </c>
      <c r="M377" s="11">
        <f aca="true" t="shared" si="210" ref="M377">M378+M380</f>
        <v>1597.7</v>
      </c>
      <c r="N377" s="7">
        <f t="shared" si="187"/>
        <v>79.885</v>
      </c>
    </row>
    <row r="378" spans="1:14" ht="78.75">
      <c r="A378" s="288" t="s">
        <v>166</v>
      </c>
      <c r="B378" s="21" t="s">
        <v>1026</v>
      </c>
      <c r="C378" s="42" t="s">
        <v>338</v>
      </c>
      <c r="D378" s="42" t="s">
        <v>157</v>
      </c>
      <c r="E378" s="42" t="s">
        <v>167</v>
      </c>
      <c r="F378" s="2"/>
      <c r="G378" s="11"/>
      <c r="H378" s="11"/>
      <c r="I378" s="11"/>
      <c r="J378" s="11"/>
      <c r="K378" s="11"/>
      <c r="L378" s="11">
        <f>L379</f>
        <v>1125</v>
      </c>
      <c r="M378" s="11">
        <f aca="true" t="shared" si="211" ref="M378">M379</f>
        <v>730.1</v>
      </c>
      <c r="N378" s="7">
        <f t="shared" si="187"/>
        <v>64.89777777777778</v>
      </c>
    </row>
    <row r="379" spans="1:14" ht="15.75">
      <c r="A379" s="26" t="s">
        <v>247</v>
      </c>
      <c r="B379" s="21" t="s">
        <v>1026</v>
      </c>
      <c r="C379" s="42" t="s">
        <v>338</v>
      </c>
      <c r="D379" s="42" t="s">
        <v>157</v>
      </c>
      <c r="E379" s="42" t="s">
        <v>248</v>
      </c>
      <c r="F379" s="2"/>
      <c r="G379" s="11"/>
      <c r="H379" s="11"/>
      <c r="I379" s="11"/>
      <c r="J379" s="11"/>
      <c r="K379" s="11"/>
      <c r="L379" s="11">
        <f>'Прил.№4 ведомств.'!G378</f>
        <v>1125</v>
      </c>
      <c r="M379" s="11">
        <f>'Прил.№4 ведомств.'!H378</f>
        <v>730.1</v>
      </c>
      <c r="N379" s="7">
        <f t="shared" si="187"/>
        <v>64.89777777777778</v>
      </c>
    </row>
    <row r="380" spans="1:14" ht="31.5">
      <c r="A380" s="26" t="s">
        <v>170</v>
      </c>
      <c r="B380" s="21" t="s">
        <v>1026</v>
      </c>
      <c r="C380" s="42" t="s">
        <v>338</v>
      </c>
      <c r="D380" s="42" t="s">
        <v>157</v>
      </c>
      <c r="E380" s="42" t="s">
        <v>171</v>
      </c>
      <c r="F380" s="2"/>
      <c r="G380" s="11"/>
      <c r="H380" s="11"/>
      <c r="I380" s="11"/>
      <c r="J380" s="11"/>
      <c r="K380" s="11"/>
      <c r="L380" s="11">
        <f>L381</f>
        <v>874.9999999999999</v>
      </c>
      <c r="M380" s="11">
        <f aca="true" t="shared" si="212" ref="M380">M381</f>
        <v>867.6</v>
      </c>
      <c r="N380" s="7">
        <f t="shared" si="187"/>
        <v>99.15428571428573</v>
      </c>
    </row>
    <row r="381" spans="1:14" ht="31.5">
      <c r="A381" s="26" t="s">
        <v>172</v>
      </c>
      <c r="B381" s="21" t="s">
        <v>1026</v>
      </c>
      <c r="C381" s="42" t="s">
        <v>338</v>
      </c>
      <c r="D381" s="42" t="s">
        <v>157</v>
      </c>
      <c r="E381" s="42" t="s">
        <v>173</v>
      </c>
      <c r="F381" s="2"/>
      <c r="G381" s="11"/>
      <c r="H381" s="11"/>
      <c r="I381" s="11"/>
      <c r="J381" s="11"/>
      <c r="K381" s="11"/>
      <c r="L381" s="11">
        <f>'Прил.№4 ведомств.'!G380</f>
        <v>874.9999999999999</v>
      </c>
      <c r="M381" s="11">
        <f>'Прил.№4 ведомств.'!H380</f>
        <v>867.6</v>
      </c>
      <c r="N381" s="7">
        <f t="shared" si="187"/>
        <v>99.15428571428573</v>
      </c>
    </row>
    <row r="382" spans="1:14" ht="15.75">
      <c r="A382" s="26" t="s">
        <v>985</v>
      </c>
      <c r="B382" s="21" t="s">
        <v>350</v>
      </c>
      <c r="C382" s="42" t="s">
        <v>338</v>
      </c>
      <c r="D382" s="42" t="s">
        <v>157</v>
      </c>
      <c r="E382" s="42"/>
      <c r="F382" s="2"/>
      <c r="G382" s="11"/>
      <c r="H382" s="11"/>
      <c r="I382" s="11"/>
      <c r="J382" s="11"/>
      <c r="K382" s="11"/>
      <c r="L382" s="11">
        <f>L383+L385+L387</f>
        <v>23674.600000000002</v>
      </c>
      <c r="M382" s="11">
        <f aca="true" t="shared" si="213" ref="M382">M383+M385+M387</f>
        <v>16439.3</v>
      </c>
      <c r="N382" s="7">
        <f t="shared" si="187"/>
        <v>69.43855440007434</v>
      </c>
    </row>
    <row r="383" spans="1:14" ht="78.75">
      <c r="A383" s="26" t="s">
        <v>166</v>
      </c>
      <c r="B383" s="21" t="s">
        <v>350</v>
      </c>
      <c r="C383" s="42" t="s">
        <v>338</v>
      </c>
      <c r="D383" s="42" t="s">
        <v>157</v>
      </c>
      <c r="E383" s="42" t="s">
        <v>167</v>
      </c>
      <c r="F383" s="2"/>
      <c r="G383" s="11"/>
      <c r="H383" s="11"/>
      <c r="I383" s="11"/>
      <c r="J383" s="11"/>
      <c r="K383" s="11"/>
      <c r="L383" s="11">
        <f>L384</f>
        <v>18095.4</v>
      </c>
      <c r="M383" s="11">
        <f aca="true" t="shared" si="214" ref="M383">M384</f>
        <v>12752.8</v>
      </c>
      <c r="N383" s="7">
        <f t="shared" si="187"/>
        <v>70.47536943090508</v>
      </c>
    </row>
    <row r="384" spans="1:14" ht="15.75">
      <c r="A384" s="26" t="s">
        <v>247</v>
      </c>
      <c r="B384" s="21" t="s">
        <v>350</v>
      </c>
      <c r="C384" s="42" t="s">
        <v>338</v>
      </c>
      <c r="D384" s="42" t="s">
        <v>157</v>
      </c>
      <c r="E384" s="42" t="s">
        <v>248</v>
      </c>
      <c r="F384" s="2"/>
      <c r="G384" s="11"/>
      <c r="H384" s="11"/>
      <c r="I384" s="11"/>
      <c r="J384" s="11"/>
      <c r="K384" s="11"/>
      <c r="L384" s="11">
        <f>'Прил.№4 ведомств.'!G411</f>
        <v>18095.4</v>
      </c>
      <c r="M384" s="11">
        <f>'Прил.№4 ведомств.'!H411</f>
        <v>12752.8</v>
      </c>
      <c r="N384" s="7">
        <f t="shared" si="187"/>
        <v>70.47536943090508</v>
      </c>
    </row>
    <row r="385" spans="1:14" ht="31.5">
      <c r="A385" s="26" t="s">
        <v>170</v>
      </c>
      <c r="B385" s="21" t="s">
        <v>350</v>
      </c>
      <c r="C385" s="42" t="s">
        <v>338</v>
      </c>
      <c r="D385" s="42" t="s">
        <v>157</v>
      </c>
      <c r="E385" s="42" t="s">
        <v>171</v>
      </c>
      <c r="F385" s="2"/>
      <c r="G385" s="11"/>
      <c r="H385" s="11"/>
      <c r="I385" s="11"/>
      <c r="J385" s="11"/>
      <c r="K385" s="11"/>
      <c r="L385" s="11">
        <f>L386</f>
        <v>5481.2</v>
      </c>
      <c r="M385" s="11">
        <f aca="true" t="shared" si="215" ref="M385">M386</f>
        <v>3655.7</v>
      </c>
      <c r="N385" s="7">
        <f t="shared" si="187"/>
        <v>66.69524921550025</v>
      </c>
    </row>
    <row r="386" spans="1:14" ht="31.5">
      <c r="A386" s="26" t="s">
        <v>172</v>
      </c>
      <c r="B386" s="21" t="s">
        <v>350</v>
      </c>
      <c r="C386" s="42" t="s">
        <v>338</v>
      </c>
      <c r="D386" s="42" t="s">
        <v>157</v>
      </c>
      <c r="E386" s="42" t="s">
        <v>173</v>
      </c>
      <c r="F386" s="2"/>
      <c r="G386" s="11"/>
      <c r="H386" s="11"/>
      <c r="I386" s="11"/>
      <c r="J386" s="11"/>
      <c r="K386" s="11"/>
      <c r="L386" s="11">
        <f>'Прил.№4 ведомств.'!G413</f>
        <v>5481.2</v>
      </c>
      <c r="M386" s="11">
        <f>'Прил.№4 ведомств.'!H413</f>
        <v>3655.7</v>
      </c>
      <c r="N386" s="7">
        <f t="shared" si="187"/>
        <v>66.69524921550025</v>
      </c>
    </row>
    <row r="387" spans="1:14" ht="15.75" customHeight="1">
      <c r="A387" s="26" t="s">
        <v>174</v>
      </c>
      <c r="B387" s="21" t="s">
        <v>350</v>
      </c>
      <c r="C387" s="42" t="s">
        <v>338</v>
      </c>
      <c r="D387" s="42" t="s">
        <v>157</v>
      </c>
      <c r="E387" s="42" t="s">
        <v>184</v>
      </c>
      <c r="F387" s="2"/>
      <c r="G387" s="11"/>
      <c r="H387" s="11"/>
      <c r="I387" s="11"/>
      <c r="J387" s="11"/>
      <c r="K387" s="11"/>
      <c r="L387" s="11">
        <f>L388</f>
        <v>98</v>
      </c>
      <c r="M387" s="11">
        <f aca="true" t="shared" si="216" ref="M387">M388</f>
        <v>30.8</v>
      </c>
      <c r="N387" s="7">
        <f t="shared" si="187"/>
        <v>31.428571428571427</v>
      </c>
    </row>
    <row r="388" spans="1:14" ht="15.75" customHeight="1">
      <c r="A388" s="26" t="s">
        <v>176</v>
      </c>
      <c r="B388" s="21" t="s">
        <v>350</v>
      </c>
      <c r="C388" s="42" t="s">
        <v>338</v>
      </c>
      <c r="D388" s="42" t="s">
        <v>157</v>
      </c>
      <c r="E388" s="42" t="s">
        <v>177</v>
      </c>
      <c r="F388" s="2"/>
      <c r="G388" s="11"/>
      <c r="H388" s="11"/>
      <c r="I388" s="11"/>
      <c r="J388" s="11"/>
      <c r="K388" s="11"/>
      <c r="L388" s="11">
        <f>'Прил.№4 ведомств.'!G415</f>
        <v>98</v>
      </c>
      <c r="M388" s="11">
        <f>'Прил.№4 ведомств.'!H415</f>
        <v>30.8</v>
      </c>
      <c r="N388" s="7">
        <f t="shared" si="187"/>
        <v>31.428571428571427</v>
      </c>
    </row>
    <row r="389" spans="1:14" ht="47.25">
      <c r="A389" s="47" t="s">
        <v>300</v>
      </c>
      <c r="B389" s="42" t="s">
        <v>341</v>
      </c>
      <c r="C389" s="42"/>
      <c r="D389" s="42"/>
      <c r="E389" s="42"/>
      <c r="F389" s="2">
        <v>903</v>
      </c>
      <c r="G389" s="11" t="e">
        <f aca="true" t="shared" si="217" ref="G389:L389">G353</f>
        <v>#REF!</v>
      </c>
      <c r="H389" s="11" t="e">
        <f t="shared" si="217"/>
        <v>#REF!</v>
      </c>
      <c r="I389" s="11" t="e">
        <f t="shared" si="217"/>
        <v>#REF!</v>
      </c>
      <c r="J389" s="11" t="e">
        <f t="shared" si="217"/>
        <v>#REF!</v>
      </c>
      <c r="K389" s="11" t="e">
        <f t="shared" si="217"/>
        <v>#REF!</v>
      </c>
      <c r="L389" s="11">
        <f t="shared" si="217"/>
        <v>25674.600000000002</v>
      </c>
      <c r="M389" s="11">
        <f aca="true" t="shared" si="218" ref="M389">M353</f>
        <v>18037</v>
      </c>
      <c r="N389" s="7">
        <f t="shared" si="187"/>
        <v>70.25231162316062</v>
      </c>
    </row>
    <row r="390" spans="1:14" ht="31.5">
      <c r="A390" s="43" t="s">
        <v>351</v>
      </c>
      <c r="B390" s="8" t="s">
        <v>352</v>
      </c>
      <c r="C390" s="8"/>
      <c r="D390" s="8"/>
      <c r="E390" s="8"/>
      <c r="F390" s="86"/>
      <c r="G390" s="68" t="e">
        <f>G391</f>
        <v>#REF!</v>
      </c>
      <c r="H390" s="68" t="e">
        <f aca="true" t="shared" si="219" ref="H390:M391">H391</f>
        <v>#REF!</v>
      </c>
      <c r="I390" s="68" t="e">
        <f t="shared" si="219"/>
        <v>#REF!</v>
      </c>
      <c r="J390" s="68" t="e">
        <f t="shared" si="219"/>
        <v>#REF!</v>
      </c>
      <c r="K390" s="68" t="e">
        <f t="shared" si="219"/>
        <v>#REF!</v>
      </c>
      <c r="L390" s="68">
        <f>L391</f>
        <v>19518.699999999997</v>
      </c>
      <c r="M390" s="68">
        <f aca="true" t="shared" si="220" ref="M390">M391</f>
        <v>14398.6</v>
      </c>
      <c r="N390" s="4">
        <f t="shared" si="187"/>
        <v>73.76823251548517</v>
      </c>
    </row>
    <row r="391" spans="1:14" ht="15.75">
      <c r="A391" s="84" t="s">
        <v>337</v>
      </c>
      <c r="B391" s="42" t="s">
        <v>352</v>
      </c>
      <c r="C391" s="42" t="s">
        <v>338</v>
      </c>
      <c r="D391" s="42"/>
      <c r="E391" s="8"/>
      <c r="F391" s="86"/>
      <c r="G391" s="11" t="e">
        <f>G392</f>
        <v>#REF!</v>
      </c>
      <c r="H391" s="11" t="e">
        <f t="shared" si="219"/>
        <v>#REF!</v>
      </c>
      <c r="I391" s="11" t="e">
        <f t="shared" si="219"/>
        <v>#REF!</v>
      </c>
      <c r="J391" s="11" t="e">
        <f t="shared" si="219"/>
        <v>#REF!</v>
      </c>
      <c r="K391" s="11" t="e">
        <f t="shared" si="219"/>
        <v>#REF!</v>
      </c>
      <c r="L391" s="11">
        <f t="shared" si="219"/>
        <v>19518.699999999997</v>
      </c>
      <c r="M391" s="11">
        <f t="shared" si="219"/>
        <v>14398.6</v>
      </c>
      <c r="N391" s="7">
        <f t="shared" si="187"/>
        <v>73.76823251548517</v>
      </c>
    </row>
    <row r="392" spans="1:14" ht="15.75">
      <c r="A392" s="84" t="s">
        <v>339</v>
      </c>
      <c r="B392" s="42" t="s">
        <v>352</v>
      </c>
      <c r="C392" s="42" t="s">
        <v>338</v>
      </c>
      <c r="D392" s="42" t="s">
        <v>157</v>
      </c>
      <c r="E392" s="8"/>
      <c r="F392" s="86"/>
      <c r="G392" s="11" t="e">
        <f>G399+G418+G423+G402+G426+G429</f>
        <v>#REF!</v>
      </c>
      <c r="H392" s="11" t="e">
        <f>H399+H418+H423+H402+H426+H429</f>
        <v>#REF!</v>
      </c>
      <c r="I392" s="11" t="e">
        <f>I399+I418+I423+I402+I426+I429</f>
        <v>#REF!</v>
      </c>
      <c r="J392" s="11" t="e">
        <f>J399+J418+J423+J402+J426+J429</f>
        <v>#REF!</v>
      </c>
      <c r="K392" s="11" t="e">
        <f>K399+K418+K423+K402+K426+K429</f>
        <v>#REF!</v>
      </c>
      <c r="L392" s="11">
        <f>L399+L418+L423+L402+L426+L429+L432+L393+L396</f>
        <v>19518.699999999997</v>
      </c>
      <c r="M392" s="11">
        <f aca="true" t="shared" si="221" ref="M392">M399+M418+M423+M402+M426+M429+M432+M393+M396</f>
        <v>14398.6</v>
      </c>
      <c r="N392" s="7">
        <f t="shared" si="187"/>
        <v>73.76823251548517</v>
      </c>
    </row>
    <row r="393" spans="1:14" ht="15.75">
      <c r="A393" s="26" t="s">
        <v>368</v>
      </c>
      <c r="B393" s="21" t="s">
        <v>355</v>
      </c>
      <c r="C393" s="42" t="s">
        <v>338</v>
      </c>
      <c r="D393" s="42" t="s">
        <v>157</v>
      </c>
      <c r="E393" s="8"/>
      <c r="F393" s="86"/>
      <c r="G393" s="11"/>
      <c r="H393" s="11"/>
      <c r="I393" s="11"/>
      <c r="J393" s="11"/>
      <c r="K393" s="11"/>
      <c r="L393" s="11">
        <f>L394</f>
        <v>3.5</v>
      </c>
      <c r="M393" s="11">
        <f aca="true" t="shared" si="222" ref="M393:M394">M394</f>
        <v>0</v>
      </c>
      <c r="N393" s="7">
        <f t="shared" si="187"/>
        <v>0</v>
      </c>
    </row>
    <row r="394" spans="1:14" ht="31.5">
      <c r="A394" s="26" t="s">
        <v>170</v>
      </c>
      <c r="B394" s="21" t="s">
        <v>355</v>
      </c>
      <c r="C394" s="42" t="s">
        <v>338</v>
      </c>
      <c r="D394" s="42" t="s">
        <v>157</v>
      </c>
      <c r="E394" s="42" t="s">
        <v>171</v>
      </c>
      <c r="F394" s="86"/>
      <c r="G394" s="11"/>
      <c r="H394" s="11"/>
      <c r="I394" s="11"/>
      <c r="J394" s="11"/>
      <c r="K394" s="11"/>
      <c r="L394" s="11">
        <f>L395</f>
        <v>3.5</v>
      </c>
      <c r="M394" s="11">
        <f t="shared" si="222"/>
        <v>0</v>
      </c>
      <c r="N394" s="7">
        <f t="shared" si="187"/>
        <v>0</v>
      </c>
    </row>
    <row r="395" spans="1:14" ht="31.5">
      <c r="A395" s="26" t="s">
        <v>172</v>
      </c>
      <c r="B395" s="21" t="s">
        <v>355</v>
      </c>
      <c r="C395" s="42" t="s">
        <v>338</v>
      </c>
      <c r="D395" s="42" t="s">
        <v>157</v>
      </c>
      <c r="E395" s="42" t="s">
        <v>173</v>
      </c>
      <c r="F395" s="86"/>
      <c r="G395" s="11"/>
      <c r="H395" s="11"/>
      <c r="I395" s="11"/>
      <c r="J395" s="11"/>
      <c r="K395" s="11"/>
      <c r="L395" s="11">
        <f>'Прил.№4 ведомств.'!G419</f>
        <v>3.5</v>
      </c>
      <c r="M395" s="11">
        <f>'Прил.№4 ведомств.'!H419</f>
        <v>0</v>
      </c>
      <c r="N395" s="7">
        <f t="shared" si="187"/>
        <v>0</v>
      </c>
    </row>
    <row r="396" spans="1:14" ht="31.5">
      <c r="A396" s="26" t="s">
        <v>1040</v>
      </c>
      <c r="B396" s="21" t="s">
        <v>1041</v>
      </c>
      <c r="C396" s="42" t="s">
        <v>338</v>
      </c>
      <c r="D396" s="42" t="s">
        <v>157</v>
      </c>
      <c r="E396" s="8"/>
      <c r="F396" s="86"/>
      <c r="G396" s="11"/>
      <c r="H396" s="11"/>
      <c r="I396" s="11"/>
      <c r="J396" s="11"/>
      <c r="K396" s="11"/>
      <c r="L396" s="11">
        <f>L397</f>
        <v>227.5</v>
      </c>
      <c r="M396" s="11">
        <f aca="true" t="shared" si="223" ref="M396:M397">M397</f>
        <v>103.6</v>
      </c>
      <c r="N396" s="7">
        <f t="shared" si="187"/>
        <v>45.53846153846153</v>
      </c>
    </row>
    <row r="397" spans="1:14" ht="31.5">
      <c r="A397" s="26" t="s">
        <v>170</v>
      </c>
      <c r="B397" s="21" t="s">
        <v>1041</v>
      </c>
      <c r="C397" s="42" t="s">
        <v>338</v>
      </c>
      <c r="D397" s="42" t="s">
        <v>157</v>
      </c>
      <c r="E397" s="42" t="s">
        <v>171</v>
      </c>
      <c r="F397" s="86"/>
      <c r="G397" s="11"/>
      <c r="H397" s="11"/>
      <c r="I397" s="11"/>
      <c r="J397" s="11"/>
      <c r="K397" s="11"/>
      <c r="L397" s="11">
        <f>L398</f>
        <v>227.5</v>
      </c>
      <c r="M397" s="11">
        <f t="shared" si="223"/>
        <v>103.6</v>
      </c>
      <c r="N397" s="7">
        <f aca="true" t="shared" si="224" ref="N397:N460">M397/L397*100</f>
        <v>45.53846153846153</v>
      </c>
    </row>
    <row r="398" spans="1:14" ht="31.5">
      <c r="A398" s="26" t="s">
        <v>172</v>
      </c>
      <c r="B398" s="21" t="s">
        <v>1041</v>
      </c>
      <c r="C398" s="42" t="s">
        <v>338</v>
      </c>
      <c r="D398" s="42" t="s">
        <v>157</v>
      </c>
      <c r="E398" s="42" t="s">
        <v>173</v>
      </c>
      <c r="F398" s="86"/>
      <c r="G398" s="11"/>
      <c r="H398" s="11"/>
      <c r="I398" s="11"/>
      <c r="J398" s="11"/>
      <c r="K398" s="11"/>
      <c r="L398" s="11">
        <f>'Прил.№4 ведомств.'!G422</f>
        <v>227.5</v>
      </c>
      <c r="M398" s="11">
        <f>'Прил.№4 ведомств.'!H422</f>
        <v>103.6</v>
      </c>
      <c r="N398" s="7">
        <f t="shared" si="224"/>
        <v>45.53846153846153</v>
      </c>
    </row>
    <row r="399" spans="1:14" ht="31.5" customHeight="1" hidden="1">
      <c r="A399" s="31" t="s">
        <v>342</v>
      </c>
      <c r="B399" s="42" t="s">
        <v>353</v>
      </c>
      <c r="C399" s="42" t="s">
        <v>338</v>
      </c>
      <c r="D399" s="42" t="s">
        <v>157</v>
      </c>
      <c r="E399" s="42"/>
      <c r="F399" s="85"/>
      <c r="G399" s="11" t="e">
        <f>G400</f>
        <v>#REF!</v>
      </c>
      <c r="H399" s="11" t="e">
        <f aca="true" t="shared" si="225" ref="H399:M400">H400</f>
        <v>#REF!</v>
      </c>
      <c r="I399" s="11" t="e">
        <f t="shared" si="225"/>
        <v>#REF!</v>
      </c>
      <c r="J399" s="11" t="e">
        <f t="shared" si="225"/>
        <v>#REF!</v>
      </c>
      <c r="K399" s="11" t="e">
        <f t="shared" si="225"/>
        <v>#REF!</v>
      </c>
      <c r="L399" s="11">
        <f t="shared" si="225"/>
        <v>0</v>
      </c>
      <c r="M399" s="11">
        <f t="shared" si="225"/>
        <v>0</v>
      </c>
      <c r="N399" s="7" t="e">
        <f t="shared" si="224"/>
        <v>#DIV/0!</v>
      </c>
    </row>
    <row r="400" spans="1:14" ht="31.5" customHeight="1" hidden="1">
      <c r="A400" s="31" t="s">
        <v>311</v>
      </c>
      <c r="B400" s="42" t="s">
        <v>353</v>
      </c>
      <c r="C400" s="42" t="s">
        <v>338</v>
      </c>
      <c r="D400" s="42" t="s">
        <v>157</v>
      </c>
      <c r="E400" s="42" t="s">
        <v>312</v>
      </c>
      <c r="F400" s="85"/>
      <c r="G400" s="11" t="e">
        <f>G401</f>
        <v>#REF!</v>
      </c>
      <c r="H400" s="11" t="e">
        <f t="shared" si="225"/>
        <v>#REF!</v>
      </c>
      <c r="I400" s="11" t="e">
        <f t="shared" si="225"/>
        <v>#REF!</v>
      </c>
      <c r="J400" s="11" t="e">
        <f t="shared" si="225"/>
        <v>#REF!</v>
      </c>
      <c r="K400" s="11" t="e">
        <f t="shared" si="225"/>
        <v>#REF!</v>
      </c>
      <c r="L400" s="11">
        <f t="shared" si="225"/>
        <v>0</v>
      </c>
      <c r="M400" s="11">
        <f t="shared" si="225"/>
        <v>0</v>
      </c>
      <c r="N400" s="7" t="e">
        <f t="shared" si="224"/>
        <v>#DIV/0!</v>
      </c>
    </row>
    <row r="401" spans="1:14" ht="15.75" customHeight="1" hidden="1">
      <c r="A401" s="31" t="s">
        <v>313</v>
      </c>
      <c r="B401" s="42" t="s">
        <v>353</v>
      </c>
      <c r="C401" s="42" t="s">
        <v>338</v>
      </c>
      <c r="D401" s="42" t="s">
        <v>157</v>
      </c>
      <c r="E401" s="42" t="s">
        <v>314</v>
      </c>
      <c r="F401" s="85"/>
      <c r="G401" s="7" t="e">
        <f>#REF!</f>
        <v>#REF!</v>
      </c>
      <c r="H401" s="7" t="e">
        <f>#REF!</f>
        <v>#REF!</v>
      </c>
      <c r="I401" s="7" t="e">
        <f>#REF!</f>
        <v>#REF!</v>
      </c>
      <c r="J401" s="7" t="e">
        <f>#REF!</f>
        <v>#REF!</v>
      </c>
      <c r="K401" s="7" t="e">
        <f>#REF!</f>
        <v>#REF!</v>
      </c>
      <c r="L401" s="7">
        <f>'Прил.№4 ведомств.'!G425</f>
        <v>0</v>
      </c>
      <c r="M401" s="7">
        <f>'Прил.№4 ведомств.'!H425</f>
        <v>0</v>
      </c>
      <c r="N401" s="7" t="e">
        <f t="shared" si="224"/>
        <v>#DIV/0!</v>
      </c>
    </row>
    <row r="402" spans="1:14" ht="47.25" customHeight="1" hidden="1">
      <c r="A402" s="31" t="s">
        <v>315</v>
      </c>
      <c r="B402" s="42" t="s">
        <v>356</v>
      </c>
      <c r="C402" s="42" t="s">
        <v>338</v>
      </c>
      <c r="D402" s="42" t="s">
        <v>157</v>
      </c>
      <c r="E402" s="42"/>
      <c r="F402" s="85"/>
      <c r="G402" s="11">
        <f>G403</f>
        <v>0</v>
      </c>
      <c r="H402" s="11">
        <f aca="true" t="shared" si="226" ref="H402:M403">H403</f>
        <v>0</v>
      </c>
      <c r="I402" s="11">
        <f t="shared" si="226"/>
        <v>0</v>
      </c>
      <c r="J402" s="11">
        <f t="shared" si="226"/>
        <v>0</v>
      </c>
      <c r="K402" s="11">
        <f t="shared" si="226"/>
        <v>0</v>
      </c>
      <c r="L402" s="11">
        <f t="shared" si="226"/>
        <v>0</v>
      </c>
      <c r="M402" s="11">
        <f t="shared" si="226"/>
        <v>0</v>
      </c>
      <c r="N402" s="7" t="e">
        <f t="shared" si="224"/>
        <v>#DIV/0!</v>
      </c>
    </row>
    <row r="403" spans="1:14" ht="31.5" customHeight="1" hidden="1">
      <c r="A403" s="31" t="s">
        <v>311</v>
      </c>
      <c r="B403" s="42" t="s">
        <v>356</v>
      </c>
      <c r="C403" s="42" t="s">
        <v>338</v>
      </c>
      <c r="D403" s="42" t="s">
        <v>157</v>
      </c>
      <c r="E403" s="42" t="s">
        <v>312</v>
      </c>
      <c r="F403" s="85"/>
      <c r="G403" s="11">
        <f>G404</f>
        <v>0</v>
      </c>
      <c r="H403" s="11">
        <f t="shared" si="226"/>
        <v>0</v>
      </c>
      <c r="I403" s="11">
        <f t="shared" si="226"/>
        <v>0</v>
      </c>
      <c r="J403" s="11">
        <f t="shared" si="226"/>
        <v>0</v>
      </c>
      <c r="K403" s="11">
        <f t="shared" si="226"/>
        <v>0</v>
      </c>
      <c r="L403" s="11">
        <f t="shared" si="226"/>
        <v>0</v>
      </c>
      <c r="M403" s="11">
        <f t="shared" si="226"/>
        <v>0</v>
      </c>
      <c r="N403" s="7" t="e">
        <f t="shared" si="224"/>
        <v>#DIV/0!</v>
      </c>
    </row>
    <row r="404" spans="1:14" ht="15.75" customHeight="1" hidden="1">
      <c r="A404" s="31" t="s">
        <v>313</v>
      </c>
      <c r="B404" s="42" t="s">
        <v>356</v>
      </c>
      <c r="C404" s="42" t="s">
        <v>338</v>
      </c>
      <c r="D404" s="42" t="s">
        <v>157</v>
      </c>
      <c r="E404" s="42" t="s">
        <v>314</v>
      </c>
      <c r="F404" s="85"/>
      <c r="G404" s="11"/>
      <c r="H404" s="11"/>
      <c r="I404" s="11"/>
      <c r="J404" s="11"/>
      <c r="K404" s="11"/>
      <c r="L404" s="11"/>
      <c r="M404" s="11"/>
      <c r="N404" s="7" t="e">
        <f t="shared" si="224"/>
        <v>#DIV/0!</v>
      </c>
    </row>
    <row r="405" spans="1:14" ht="47.25" customHeight="1" hidden="1">
      <c r="A405" s="47" t="s">
        <v>300</v>
      </c>
      <c r="B405" s="42" t="s">
        <v>710</v>
      </c>
      <c r="C405" s="42" t="s">
        <v>338</v>
      </c>
      <c r="D405" s="42" t="s">
        <v>157</v>
      </c>
      <c r="E405" s="42"/>
      <c r="F405" s="2">
        <v>903</v>
      </c>
      <c r="G405" s="11">
        <f aca="true" t="shared" si="227" ref="G405:L405">G402</f>
        <v>0</v>
      </c>
      <c r="H405" s="11">
        <f t="shared" si="227"/>
        <v>0</v>
      </c>
      <c r="I405" s="11">
        <f t="shared" si="227"/>
        <v>0</v>
      </c>
      <c r="J405" s="11">
        <f t="shared" si="227"/>
        <v>0</v>
      </c>
      <c r="K405" s="11">
        <f t="shared" si="227"/>
        <v>0</v>
      </c>
      <c r="L405" s="11">
        <f t="shared" si="227"/>
        <v>0</v>
      </c>
      <c r="M405" s="11">
        <f aca="true" t="shared" si="228" ref="M405">M402</f>
        <v>0</v>
      </c>
      <c r="N405" s="7" t="e">
        <f t="shared" si="224"/>
        <v>#DIV/0!</v>
      </c>
    </row>
    <row r="406" spans="1:14" ht="31.5" customHeight="1" hidden="1">
      <c r="A406" s="26" t="s">
        <v>317</v>
      </c>
      <c r="B406" s="42" t="s">
        <v>357</v>
      </c>
      <c r="C406" s="42" t="s">
        <v>338</v>
      </c>
      <c r="D406" s="42" t="s">
        <v>157</v>
      </c>
      <c r="E406" s="42"/>
      <c r="F406" s="85"/>
      <c r="G406" s="11">
        <f>G407</f>
        <v>0</v>
      </c>
      <c r="H406" s="11">
        <f aca="true" t="shared" si="229" ref="H406:M407">H407</f>
        <v>0</v>
      </c>
      <c r="I406" s="11">
        <f t="shared" si="229"/>
        <v>0</v>
      </c>
      <c r="J406" s="11">
        <f t="shared" si="229"/>
        <v>0</v>
      </c>
      <c r="K406" s="11">
        <f t="shared" si="229"/>
        <v>0</v>
      </c>
      <c r="L406" s="11">
        <f t="shared" si="229"/>
        <v>0</v>
      </c>
      <c r="M406" s="11">
        <f t="shared" si="229"/>
        <v>0</v>
      </c>
      <c r="N406" s="7" t="e">
        <f t="shared" si="224"/>
        <v>#DIV/0!</v>
      </c>
    </row>
    <row r="407" spans="1:14" ht="31.5" customHeight="1" hidden="1">
      <c r="A407" s="31" t="s">
        <v>311</v>
      </c>
      <c r="B407" s="42" t="s">
        <v>357</v>
      </c>
      <c r="C407" s="42" t="s">
        <v>338</v>
      </c>
      <c r="D407" s="42" t="s">
        <v>157</v>
      </c>
      <c r="E407" s="42" t="s">
        <v>312</v>
      </c>
      <c r="F407" s="85"/>
      <c r="G407" s="11">
        <f>G408</f>
        <v>0</v>
      </c>
      <c r="H407" s="11">
        <f t="shared" si="229"/>
        <v>0</v>
      </c>
      <c r="I407" s="11">
        <f t="shared" si="229"/>
        <v>0</v>
      </c>
      <c r="J407" s="11">
        <f t="shared" si="229"/>
        <v>0</v>
      </c>
      <c r="K407" s="11">
        <f t="shared" si="229"/>
        <v>0</v>
      </c>
      <c r="L407" s="11">
        <f t="shared" si="229"/>
        <v>0</v>
      </c>
      <c r="M407" s="11">
        <f t="shared" si="229"/>
        <v>0</v>
      </c>
      <c r="N407" s="7" t="e">
        <f t="shared" si="224"/>
        <v>#DIV/0!</v>
      </c>
    </row>
    <row r="408" spans="1:14" ht="35.25" customHeight="1" hidden="1">
      <c r="A408" s="31" t="s">
        <v>313</v>
      </c>
      <c r="B408" s="42" t="s">
        <v>357</v>
      </c>
      <c r="C408" s="42" t="s">
        <v>338</v>
      </c>
      <c r="D408" s="42" t="s">
        <v>157</v>
      </c>
      <c r="E408" s="42" t="s">
        <v>314</v>
      </c>
      <c r="F408" s="85"/>
      <c r="G408" s="11"/>
      <c r="H408" s="11"/>
      <c r="I408" s="11"/>
      <c r="J408" s="11"/>
      <c r="K408" s="11"/>
      <c r="L408" s="11"/>
      <c r="M408" s="11"/>
      <c r="N408" s="7" t="e">
        <f t="shared" si="224"/>
        <v>#DIV/0!</v>
      </c>
    </row>
    <row r="409" spans="1:14" ht="47.25" customHeight="1" hidden="1">
      <c r="A409" s="47" t="s">
        <v>300</v>
      </c>
      <c r="B409" s="42" t="s">
        <v>357</v>
      </c>
      <c r="C409" s="42" t="s">
        <v>338</v>
      </c>
      <c r="D409" s="42" t="s">
        <v>157</v>
      </c>
      <c r="E409" s="42"/>
      <c r="F409" s="2">
        <v>903</v>
      </c>
      <c r="G409" s="11">
        <f aca="true" t="shared" si="230" ref="G409:L409">G406</f>
        <v>0</v>
      </c>
      <c r="H409" s="11">
        <f t="shared" si="230"/>
        <v>0</v>
      </c>
      <c r="I409" s="11">
        <f t="shared" si="230"/>
        <v>0</v>
      </c>
      <c r="J409" s="11">
        <f t="shared" si="230"/>
        <v>0</v>
      </c>
      <c r="K409" s="11">
        <f t="shared" si="230"/>
        <v>0</v>
      </c>
      <c r="L409" s="11">
        <f t="shared" si="230"/>
        <v>0</v>
      </c>
      <c r="M409" s="11">
        <f aca="true" t="shared" si="231" ref="M409">M406</f>
        <v>0</v>
      </c>
      <c r="N409" s="7" t="e">
        <f t="shared" si="224"/>
        <v>#DIV/0!</v>
      </c>
    </row>
    <row r="410" spans="1:14" ht="15.75" customHeight="1" hidden="1">
      <c r="A410" s="31" t="s">
        <v>711</v>
      </c>
      <c r="B410" s="42" t="s">
        <v>358</v>
      </c>
      <c r="C410" s="42" t="s">
        <v>338</v>
      </c>
      <c r="D410" s="42" t="s">
        <v>157</v>
      </c>
      <c r="E410" s="42"/>
      <c r="F410" s="85"/>
      <c r="G410" s="11">
        <f>G411</f>
        <v>0</v>
      </c>
      <c r="H410" s="11">
        <f aca="true" t="shared" si="232" ref="H410:M411">H411</f>
        <v>0</v>
      </c>
      <c r="I410" s="11">
        <f t="shared" si="232"/>
        <v>0</v>
      </c>
      <c r="J410" s="11">
        <f t="shared" si="232"/>
        <v>0</v>
      </c>
      <c r="K410" s="11">
        <f t="shared" si="232"/>
        <v>0</v>
      </c>
      <c r="L410" s="11">
        <f t="shared" si="232"/>
        <v>0</v>
      </c>
      <c r="M410" s="11">
        <f t="shared" si="232"/>
        <v>0</v>
      </c>
      <c r="N410" s="7" t="e">
        <f t="shared" si="224"/>
        <v>#DIV/0!</v>
      </c>
    </row>
    <row r="411" spans="1:14" ht="31.5" customHeight="1" hidden="1">
      <c r="A411" s="31" t="s">
        <v>311</v>
      </c>
      <c r="B411" s="42" t="s">
        <v>358</v>
      </c>
      <c r="C411" s="42" t="s">
        <v>338</v>
      </c>
      <c r="D411" s="42" t="s">
        <v>157</v>
      </c>
      <c r="E411" s="42" t="s">
        <v>312</v>
      </c>
      <c r="F411" s="85"/>
      <c r="G411" s="11">
        <f>G412</f>
        <v>0</v>
      </c>
      <c r="H411" s="11">
        <f t="shared" si="232"/>
        <v>0</v>
      </c>
      <c r="I411" s="11">
        <f t="shared" si="232"/>
        <v>0</v>
      </c>
      <c r="J411" s="11">
        <f t="shared" si="232"/>
        <v>0</v>
      </c>
      <c r="K411" s="11">
        <f t="shared" si="232"/>
        <v>0</v>
      </c>
      <c r="L411" s="11">
        <f t="shared" si="232"/>
        <v>0</v>
      </c>
      <c r="M411" s="11">
        <f t="shared" si="232"/>
        <v>0</v>
      </c>
      <c r="N411" s="7" t="e">
        <f t="shared" si="224"/>
        <v>#DIV/0!</v>
      </c>
    </row>
    <row r="412" spans="1:14" ht="15.75" customHeight="1" hidden="1">
      <c r="A412" s="31" t="s">
        <v>313</v>
      </c>
      <c r="B412" s="42" t="s">
        <v>358</v>
      </c>
      <c r="C412" s="42" t="s">
        <v>338</v>
      </c>
      <c r="D412" s="42" t="s">
        <v>157</v>
      </c>
      <c r="E412" s="42" t="s">
        <v>314</v>
      </c>
      <c r="F412" s="85"/>
      <c r="G412" s="11"/>
      <c r="H412" s="11"/>
      <c r="I412" s="11"/>
      <c r="J412" s="11"/>
      <c r="K412" s="11"/>
      <c r="L412" s="11"/>
      <c r="M412" s="11"/>
      <c r="N412" s="7" t="e">
        <f t="shared" si="224"/>
        <v>#DIV/0!</v>
      </c>
    </row>
    <row r="413" spans="1:14" ht="47.25" customHeight="1" hidden="1">
      <c r="A413" s="47" t="s">
        <v>300</v>
      </c>
      <c r="B413" s="42" t="s">
        <v>358</v>
      </c>
      <c r="C413" s="42" t="s">
        <v>338</v>
      </c>
      <c r="D413" s="42" t="s">
        <v>157</v>
      </c>
      <c r="E413" s="42"/>
      <c r="F413" s="2">
        <v>903</v>
      </c>
      <c r="G413" s="11">
        <f aca="true" t="shared" si="233" ref="G413:L413">G410</f>
        <v>0</v>
      </c>
      <c r="H413" s="11">
        <f t="shared" si="233"/>
        <v>0</v>
      </c>
      <c r="I413" s="11">
        <f t="shared" si="233"/>
        <v>0</v>
      </c>
      <c r="J413" s="11">
        <f t="shared" si="233"/>
        <v>0</v>
      </c>
      <c r="K413" s="11">
        <f t="shared" si="233"/>
        <v>0</v>
      </c>
      <c r="L413" s="11">
        <f t="shared" si="233"/>
        <v>0</v>
      </c>
      <c r="M413" s="11">
        <f aca="true" t="shared" si="234" ref="M413">M410</f>
        <v>0</v>
      </c>
      <c r="N413" s="7" t="e">
        <f t="shared" si="224"/>
        <v>#DIV/0!</v>
      </c>
    </row>
    <row r="414" spans="1:14" ht="31.5" customHeight="1" hidden="1">
      <c r="A414" s="31" t="s">
        <v>323</v>
      </c>
      <c r="B414" s="42" t="s">
        <v>665</v>
      </c>
      <c r="C414" s="42" t="s">
        <v>338</v>
      </c>
      <c r="D414" s="42" t="s">
        <v>157</v>
      </c>
      <c r="E414" s="42"/>
      <c r="F414" s="85"/>
      <c r="G414" s="11">
        <f>G415</f>
        <v>0</v>
      </c>
      <c r="H414" s="11">
        <f aca="true" t="shared" si="235" ref="H414:M415">H415</f>
        <v>0</v>
      </c>
      <c r="I414" s="11">
        <f t="shared" si="235"/>
        <v>0</v>
      </c>
      <c r="J414" s="11">
        <f t="shared" si="235"/>
        <v>0</v>
      </c>
      <c r="K414" s="11">
        <f t="shared" si="235"/>
        <v>0</v>
      </c>
      <c r="L414" s="11">
        <f t="shared" si="235"/>
        <v>0</v>
      </c>
      <c r="M414" s="11">
        <f t="shared" si="235"/>
        <v>0</v>
      </c>
      <c r="N414" s="7" t="e">
        <f t="shared" si="224"/>
        <v>#DIV/0!</v>
      </c>
    </row>
    <row r="415" spans="1:14" ht="31.5" customHeight="1" hidden="1">
      <c r="A415" s="31" t="s">
        <v>311</v>
      </c>
      <c r="B415" s="42" t="s">
        <v>665</v>
      </c>
      <c r="C415" s="42" t="s">
        <v>338</v>
      </c>
      <c r="D415" s="42" t="s">
        <v>157</v>
      </c>
      <c r="E415" s="42" t="s">
        <v>312</v>
      </c>
      <c r="F415" s="85"/>
      <c r="G415" s="11">
        <f>G416</f>
        <v>0</v>
      </c>
      <c r="H415" s="11">
        <f t="shared" si="235"/>
        <v>0</v>
      </c>
      <c r="I415" s="11">
        <f t="shared" si="235"/>
        <v>0</v>
      </c>
      <c r="J415" s="11">
        <f t="shared" si="235"/>
        <v>0</v>
      </c>
      <c r="K415" s="11">
        <f t="shared" si="235"/>
        <v>0</v>
      </c>
      <c r="L415" s="11">
        <f t="shared" si="235"/>
        <v>0</v>
      </c>
      <c r="M415" s="11">
        <f t="shared" si="235"/>
        <v>0</v>
      </c>
      <c r="N415" s="7" t="e">
        <f t="shared" si="224"/>
        <v>#DIV/0!</v>
      </c>
    </row>
    <row r="416" spans="1:14" ht="15.75" customHeight="1" hidden="1">
      <c r="A416" s="31" t="s">
        <v>313</v>
      </c>
      <c r="B416" s="42" t="s">
        <v>665</v>
      </c>
      <c r="C416" s="42" t="s">
        <v>338</v>
      </c>
      <c r="D416" s="42" t="s">
        <v>157</v>
      </c>
      <c r="E416" s="42" t="s">
        <v>314</v>
      </c>
      <c r="F416" s="85"/>
      <c r="G416" s="11"/>
      <c r="H416" s="11"/>
      <c r="I416" s="11"/>
      <c r="J416" s="11"/>
      <c r="K416" s="11"/>
      <c r="L416" s="11"/>
      <c r="M416" s="11"/>
      <c r="N416" s="7" t="e">
        <f t="shared" si="224"/>
        <v>#DIV/0!</v>
      </c>
    </row>
    <row r="417" spans="1:14" ht="47.25" customHeight="1" hidden="1">
      <c r="A417" s="47" t="s">
        <v>300</v>
      </c>
      <c r="B417" s="42" t="s">
        <v>665</v>
      </c>
      <c r="C417" s="42" t="s">
        <v>338</v>
      </c>
      <c r="D417" s="42" t="s">
        <v>157</v>
      </c>
      <c r="E417" s="42"/>
      <c r="F417" s="2">
        <v>903</v>
      </c>
      <c r="G417" s="11">
        <f aca="true" t="shared" si="236" ref="G417:L417">G414</f>
        <v>0</v>
      </c>
      <c r="H417" s="11">
        <f t="shared" si="236"/>
        <v>0</v>
      </c>
      <c r="I417" s="11">
        <f t="shared" si="236"/>
        <v>0</v>
      </c>
      <c r="J417" s="11">
        <f t="shared" si="236"/>
        <v>0</v>
      </c>
      <c r="K417" s="11">
        <f t="shared" si="236"/>
        <v>0</v>
      </c>
      <c r="L417" s="11">
        <f t="shared" si="236"/>
        <v>0</v>
      </c>
      <c r="M417" s="11">
        <f aca="true" t="shared" si="237" ref="M417">M414</f>
        <v>0</v>
      </c>
      <c r="N417" s="7" t="e">
        <f t="shared" si="224"/>
        <v>#DIV/0!</v>
      </c>
    </row>
    <row r="418" spans="1:14" ht="15.75" customHeight="1" hidden="1">
      <c r="A418" s="87" t="s">
        <v>712</v>
      </c>
      <c r="B418" s="42" t="s">
        <v>355</v>
      </c>
      <c r="C418" s="42" t="s">
        <v>338</v>
      </c>
      <c r="D418" s="42" t="s">
        <v>157</v>
      </c>
      <c r="E418" s="42"/>
      <c r="F418" s="2"/>
      <c r="G418" s="11" t="e">
        <f aca="true" t="shared" si="238" ref="G418:L418">G419+G421</f>
        <v>#REF!</v>
      </c>
      <c r="H418" s="11" t="e">
        <f t="shared" si="238"/>
        <v>#REF!</v>
      </c>
      <c r="I418" s="11" t="e">
        <f t="shared" si="238"/>
        <v>#REF!</v>
      </c>
      <c r="J418" s="11" t="e">
        <f t="shared" si="238"/>
        <v>#REF!</v>
      </c>
      <c r="K418" s="11" t="e">
        <f t="shared" si="238"/>
        <v>#REF!</v>
      </c>
      <c r="L418" s="11">
        <f t="shared" si="238"/>
        <v>0</v>
      </c>
      <c r="M418" s="11">
        <f aca="true" t="shared" si="239" ref="M418">M419+M421</f>
        <v>0</v>
      </c>
      <c r="N418" s="7" t="e">
        <f t="shared" si="224"/>
        <v>#DIV/0!</v>
      </c>
    </row>
    <row r="419" spans="1:14" ht="31.5" customHeight="1" hidden="1">
      <c r="A419" s="31" t="s">
        <v>170</v>
      </c>
      <c r="B419" s="42" t="s">
        <v>355</v>
      </c>
      <c r="C419" s="42" t="s">
        <v>338</v>
      </c>
      <c r="D419" s="42" t="s">
        <v>157</v>
      </c>
      <c r="E419" s="42" t="s">
        <v>171</v>
      </c>
      <c r="F419" s="2"/>
      <c r="G419" s="11">
        <f aca="true" t="shared" si="240" ref="G419:M419">G420</f>
        <v>0</v>
      </c>
      <c r="H419" s="11">
        <f t="shared" si="240"/>
        <v>0</v>
      </c>
      <c r="I419" s="11">
        <f t="shared" si="240"/>
        <v>0</v>
      </c>
      <c r="J419" s="11">
        <f t="shared" si="240"/>
        <v>0</v>
      </c>
      <c r="K419" s="11">
        <f t="shared" si="240"/>
        <v>0</v>
      </c>
      <c r="L419" s="11">
        <f t="shared" si="240"/>
        <v>0</v>
      </c>
      <c r="M419" s="11">
        <f t="shared" si="240"/>
        <v>0</v>
      </c>
      <c r="N419" s="7" t="e">
        <f t="shared" si="224"/>
        <v>#DIV/0!</v>
      </c>
    </row>
    <row r="420" spans="1:14" ht="31.5" customHeight="1" hidden="1">
      <c r="A420" s="31" t="s">
        <v>172</v>
      </c>
      <c r="B420" s="42" t="s">
        <v>355</v>
      </c>
      <c r="C420" s="42" t="s">
        <v>338</v>
      </c>
      <c r="D420" s="42" t="s">
        <v>157</v>
      </c>
      <c r="E420" s="42" t="s">
        <v>173</v>
      </c>
      <c r="F420" s="2"/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  <c r="M420" s="11">
        <v>0</v>
      </c>
      <c r="N420" s="7" t="e">
        <f t="shared" si="224"/>
        <v>#DIV/0!</v>
      </c>
    </row>
    <row r="421" spans="1:14" ht="62.25" customHeight="1" hidden="1">
      <c r="A421" s="31" t="s">
        <v>311</v>
      </c>
      <c r="B421" s="42" t="s">
        <v>355</v>
      </c>
      <c r="C421" s="42" t="s">
        <v>338</v>
      </c>
      <c r="D421" s="42" t="s">
        <v>157</v>
      </c>
      <c r="E421" s="42" t="s">
        <v>312</v>
      </c>
      <c r="F421" s="2"/>
      <c r="G421" s="11" t="e">
        <f aca="true" t="shared" si="241" ref="G421:M421">G422</f>
        <v>#REF!</v>
      </c>
      <c r="H421" s="11" t="e">
        <f t="shared" si="241"/>
        <v>#REF!</v>
      </c>
      <c r="I421" s="11" t="e">
        <f t="shared" si="241"/>
        <v>#REF!</v>
      </c>
      <c r="J421" s="11" t="e">
        <f t="shared" si="241"/>
        <v>#REF!</v>
      </c>
      <c r="K421" s="11" t="e">
        <f t="shared" si="241"/>
        <v>#REF!</v>
      </c>
      <c r="L421" s="11">
        <f t="shared" si="241"/>
        <v>0</v>
      </c>
      <c r="M421" s="11">
        <f t="shared" si="241"/>
        <v>0</v>
      </c>
      <c r="N421" s="7" t="e">
        <f t="shared" si="224"/>
        <v>#DIV/0!</v>
      </c>
    </row>
    <row r="422" spans="1:14" ht="15.75" customHeight="1" hidden="1">
      <c r="A422" s="31" t="s">
        <v>313</v>
      </c>
      <c r="B422" s="42" t="s">
        <v>355</v>
      </c>
      <c r="C422" s="42" t="s">
        <v>338</v>
      </c>
      <c r="D422" s="42" t="s">
        <v>157</v>
      </c>
      <c r="E422" s="42" t="s">
        <v>314</v>
      </c>
      <c r="F422" s="2"/>
      <c r="G422" s="11" t="e">
        <f>#REF!</f>
        <v>#REF!</v>
      </c>
      <c r="H422" s="11" t="e">
        <f>#REF!</f>
        <v>#REF!</v>
      </c>
      <c r="I422" s="11" t="e">
        <f>#REF!</f>
        <v>#REF!</v>
      </c>
      <c r="J422" s="11" t="e">
        <f>#REF!</f>
        <v>#REF!</v>
      </c>
      <c r="K422" s="11" t="e">
        <f>#REF!</f>
        <v>#REF!</v>
      </c>
      <c r="L422" s="11">
        <f>'Прил.№4 ведомств.'!G430</f>
        <v>0</v>
      </c>
      <c r="M422" s="11">
        <f>'Прил.№4 ведомств.'!H430</f>
        <v>0</v>
      </c>
      <c r="N422" s="7" t="e">
        <f t="shared" si="224"/>
        <v>#DIV/0!</v>
      </c>
    </row>
    <row r="423" spans="1:14" ht="15.75" customHeight="1" hidden="1">
      <c r="A423" s="26" t="s">
        <v>744</v>
      </c>
      <c r="B423" s="21" t="s">
        <v>745</v>
      </c>
      <c r="C423" s="42" t="s">
        <v>338</v>
      </c>
      <c r="D423" s="42" t="s">
        <v>157</v>
      </c>
      <c r="E423" s="42"/>
      <c r="F423" s="2"/>
      <c r="G423" s="11" t="e">
        <f>G424</f>
        <v>#REF!</v>
      </c>
      <c r="H423" s="11" t="e">
        <f aca="true" t="shared" si="242" ref="H423:M424">H424</f>
        <v>#REF!</v>
      </c>
      <c r="I423" s="11" t="e">
        <f t="shared" si="242"/>
        <v>#REF!</v>
      </c>
      <c r="J423" s="11" t="e">
        <f t="shared" si="242"/>
        <v>#REF!</v>
      </c>
      <c r="K423" s="11" t="e">
        <f t="shared" si="242"/>
        <v>#REF!</v>
      </c>
      <c r="L423" s="11">
        <f t="shared" si="242"/>
        <v>0</v>
      </c>
      <c r="M423" s="11">
        <f t="shared" si="242"/>
        <v>0</v>
      </c>
      <c r="N423" s="7" t="e">
        <f t="shared" si="224"/>
        <v>#DIV/0!</v>
      </c>
    </row>
    <row r="424" spans="1:14" ht="31.5" customHeight="1" hidden="1">
      <c r="A424" s="26" t="s">
        <v>311</v>
      </c>
      <c r="B424" s="21" t="s">
        <v>745</v>
      </c>
      <c r="C424" s="42" t="s">
        <v>338</v>
      </c>
      <c r="D424" s="42" t="s">
        <v>157</v>
      </c>
      <c r="E424" s="42" t="s">
        <v>312</v>
      </c>
      <c r="F424" s="2"/>
      <c r="G424" s="11" t="e">
        <f>G425</f>
        <v>#REF!</v>
      </c>
      <c r="H424" s="11" t="e">
        <f t="shared" si="242"/>
        <v>#REF!</v>
      </c>
      <c r="I424" s="11" t="e">
        <f t="shared" si="242"/>
        <v>#REF!</v>
      </c>
      <c r="J424" s="11" t="e">
        <f t="shared" si="242"/>
        <v>#REF!</v>
      </c>
      <c r="K424" s="11" t="e">
        <f t="shared" si="242"/>
        <v>#REF!</v>
      </c>
      <c r="L424" s="11">
        <f t="shared" si="242"/>
        <v>0</v>
      </c>
      <c r="M424" s="11">
        <f t="shared" si="242"/>
        <v>0</v>
      </c>
      <c r="N424" s="7" t="e">
        <f t="shared" si="224"/>
        <v>#DIV/0!</v>
      </c>
    </row>
    <row r="425" spans="1:14" ht="15.75" customHeight="1" hidden="1">
      <c r="A425" s="26" t="s">
        <v>313</v>
      </c>
      <c r="B425" s="21" t="s">
        <v>745</v>
      </c>
      <c r="C425" s="42" t="s">
        <v>338</v>
      </c>
      <c r="D425" s="42" t="s">
        <v>157</v>
      </c>
      <c r="E425" s="42" t="s">
        <v>314</v>
      </c>
      <c r="F425" s="2"/>
      <c r="G425" s="11" t="e">
        <f>#REF!</f>
        <v>#REF!</v>
      </c>
      <c r="H425" s="11" t="e">
        <f>#REF!</f>
        <v>#REF!</v>
      </c>
      <c r="I425" s="11" t="e">
        <f>#REF!</f>
        <v>#REF!</v>
      </c>
      <c r="J425" s="11" t="e">
        <f>#REF!</f>
        <v>#REF!</v>
      </c>
      <c r="K425" s="11" t="e">
        <f>#REF!</f>
        <v>#REF!</v>
      </c>
      <c r="L425" s="11">
        <f>'Прил.№4 ведомств.'!G433</f>
        <v>0</v>
      </c>
      <c r="M425" s="11">
        <f>'Прил.№4 ведомств.'!H433</f>
        <v>0</v>
      </c>
      <c r="N425" s="7" t="e">
        <f t="shared" si="224"/>
        <v>#DIV/0!</v>
      </c>
    </row>
    <row r="426" spans="1:14" ht="31.5" customHeight="1" hidden="1">
      <c r="A426" s="37" t="s">
        <v>360</v>
      </c>
      <c r="B426" s="21" t="s">
        <v>361</v>
      </c>
      <c r="C426" s="42" t="s">
        <v>338</v>
      </c>
      <c r="D426" s="42" t="s">
        <v>157</v>
      </c>
      <c r="E426" s="42"/>
      <c r="F426" s="2"/>
      <c r="G426" s="11" t="e">
        <f>G427</f>
        <v>#REF!</v>
      </c>
      <c r="H426" s="11" t="e">
        <f aca="true" t="shared" si="243" ref="H426:M427">H427</f>
        <v>#REF!</v>
      </c>
      <c r="I426" s="11" t="e">
        <f t="shared" si="243"/>
        <v>#REF!</v>
      </c>
      <c r="J426" s="11" t="e">
        <f t="shared" si="243"/>
        <v>#REF!</v>
      </c>
      <c r="K426" s="11" t="e">
        <f t="shared" si="243"/>
        <v>#REF!</v>
      </c>
      <c r="L426" s="11">
        <f t="shared" si="243"/>
        <v>0</v>
      </c>
      <c r="M426" s="11">
        <f t="shared" si="243"/>
        <v>0</v>
      </c>
      <c r="N426" s="7" t="e">
        <f t="shared" si="224"/>
        <v>#DIV/0!</v>
      </c>
    </row>
    <row r="427" spans="1:14" ht="31.5" customHeight="1" hidden="1">
      <c r="A427" s="26" t="s">
        <v>311</v>
      </c>
      <c r="B427" s="21" t="s">
        <v>361</v>
      </c>
      <c r="C427" s="42" t="s">
        <v>338</v>
      </c>
      <c r="D427" s="42" t="s">
        <v>157</v>
      </c>
      <c r="E427" s="42" t="s">
        <v>312</v>
      </c>
      <c r="F427" s="2"/>
      <c r="G427" s="11" t="e">
        <f>G428</f>
        <v>#REF!</v>
      </c>
      <c r="H427" s="11" t="e">
        <f t="shared" si="243"/>
        <v>#REF!</v>
      </c>
      <c r="I427" s="11" t="e">
        <f t="shared" si="243"/>
        <v>#REF!</v>
      </c>
      <c r="J427" s="11" t="e">
        <f t="shared" si="243"/>
        <v>#REF!</v>
      </c>
      <c r="K427" s="11" t="e">
        <f t="shared" si="243"/>
        <v>#REF!</v>
      </c>
      <c r="L427" s="11">
        <f t="shared" si="243"/>
        <v>0</v>
      </c>
      <c r="M427" s="11">
        <f t="shared" si="243"/>
        <v>0</v>
      </c>
      <c r="N427" s="7" t="e">
        <f t="shared" si="224"/>
        <v>#DIV/0!</v>
      </c>
    </row>
    <row r="428" spans="1:14" ht="15.75" customHeight="1" hidden="1">
      <c r="A428" s="26" t="s">
        <v>313</v>
      </c>
      <c r="B428" s="21" t="s">
        <v>361</v>
      </c>
      <c r="C428" s="42" t="s">
        <v>338</v>
      </c>
      <c r="D428" s="42" t="s">
        <v>157</v>
      </c>
      <c r="E428" s="42" t="s">
        <v>314</v>
      </c>
      <c r="F428" s="2"/>
      <c r="G428" s="11" t="e">
        <f>#REF!</f>
        <v>#REF!</v>
      </c>
      <c r="H428" s="11" t="e">
        <f>#REF!</f>
        <v>#REF!</v>
      </c>
      <c r="I428" s="11" t="e">
        <f>#REF!</f>
        <v>#REF!</v>
      </c>
      <c r="J428" s="11" t="e">
        <f>#REF!</f>
        <v>#REF!</v>
      </c>
      <c r="K428" s="11" t="e">
        <f>#REF!</f>
        <v>#REF!</v>
      </c>
      <c r="L428" s="11">
        <f>'Прил.№4 ведомств.'!G448</f>
        <v>0</v>
      </c>
      <c r="M428" s="11">
        <f>'Прил.№4 ведомств.'!H448</f>
        <v>0</v>
      </c>
      <c r="N428" s="7" t="e">
        <f t="shared" si="224"/>
        <v>#DIV/0!</v>
      </c>
    </row>
    <row r="429" spans="1:14" ht="31.5" customHeight="1" hidden="1">
      <c r="A429" s="70" t="s">
        <v>837</v>
      </c>
      <c r="B429" s="21" t="s">
        <v>850</v>
      </c>
      <c r="C429" s="42" t="s">
        <v>338</v>
      </c>
      <c r="D429" s="42" t="s">
        <v>157</v>
      </c>
      <c r="E429" s="42"/>
      <c r="F429" s="2"/>
      <c r="G429" s="11" t="e">
        <f>G430</f>
        <v>#REF!</v>
      </c>
      <c r="H429" s="11" t="e">
        <f aca="true" t="shared" si="244" ref="H429:M430">H430</f>
        <v>#REF!</v>
      </c>
      <c r="I429" s="11" t="e">
        <f t="shared" si="244"/>
        <v>#REF!</v>
      </c>
      <c r="J429" s="11" t="e">
        <f t="shared" si="244"/>
        <v>#REF!</v>
      </c>
      <c r="K429" s="11" t="e">
        <f t="shared" si="244"/>
        <v>#REF!</v>
      </c>
      <c r="L429" s="11">
        <f t="shared" si="244"/>
        <v>0</v>
      </c>
      <c r="M429" s="11">
        <f t="shared" si="244"/>
        <v>0</v>
      </c>
      <c r="N429" s="7" t="e">
        <f t="shared" si="224"/>
        <v>#DIV/0!</v>
      </c>
    </row>
    <row r="430" spans="1:14" ht="31.5" customHeight="1" hidden="1">
      <c r="A430" s="31" t="s">
        <v>311</v>
      </c>
      <c r="B430" s="21" t="s">
        <v>850</v>
      </c>
      <c r="C430" s="42" t="s">
        <v>338</v>
      </c>
      <c r="D430" s="42" t="s">
        <v>157</v>
      </c>
      <c r="E430" s="42" t="s">
        <v>312</v>
      </c>
      <c r="F430" s="2"/>
      <c r="G430" s="11" t="e">
        <f>G431</f>
        <v>#REF!</v>
      </c>
      <c r="H430" s="11" t="e">
        <f t="shared" si="244"/>
        <v>#REF!</v>
      </c>
      <c r="I430" s="11" t="e">
        <f t="shared" si="244"/>
        <v>#REF!</v>
      </c>
      <c r="J430" s="11" t="e">
        <f t="shared" si="244"/>
        <v>#REF!</v>
      </c>
      <c r="K430" s="11" t="e">
        <f t="shared" si="244"/>
        <v>#REF!</v>
      </c>
      <c r="L430" s="11">
        <f t="shared" si="244"/>
        <v>0</v>
      </c>
      <c r="M430" s="11">
        <f t="shared" si="244"/>
        <v>0</v>
      </c>
      <c r="N430" s="7" t="e">
        <f t="shared" si="224"/>
        <v>#DIV/0!</v>
      </c>
    </row>
    <row r="431" spans="1:14" ht="15.75" customHeight="1" hidden="1">
      <c r="A431" s="242" t="s">
        <v>313</v>
      </c>
      <c r="B431" s="21" t="s">
        <v>850</v>
      </c>
      <c r="C431" s="42" t="s">
        <v>338</v>
      </c>
      <c r="D431" s="42" t="s">
        <v>157</v>
      </c>
      <c r="E431" s="42" t="s">
        <v>314</v>
      </c>
      <c r="F431" s="2"/>
      <c r="G431" s="11" t="e">
        <f>#REF!</f>
        <v>#REF!</v>
      </c>
      <c r="H431" s="11" t="e">
        <f>#REF!</f>
        <v>#REF!</v>
      </c>
      <c r="I431" s="11" t="e">
        <f>#REF!</f>
        <v>#REF!</v>
      </c>
      <c r="J431" s="11" t="e">
        <f>#REF!</f>
        <v>#REF!</v>
      </c>
      <c r="K431" s="11" t="e">
        <f>#REF!</f>
        <v>#REF!</v>
      </c>
      <c r="L431" s="11">
        <f>'Прил.№4 ведомств.'!G451</f>
        <v>0</v>
      </c>
      <c r="M431" s="11">
        <f>'Прил.№4 ведомств.'!H451</f>
        <v>0</v>
      </c>
      <c r="N431" s="7" t="e">
        <f t="shared" si="224"/>
        <v>#DIV/0!</v>
      </c>
    </row>
    <row r="432" spans="1:14" ht="15.75">
      <c r="A432" s="26" t="s">
        <v>985</v>
      </c>
      <c r="B432" s="21" t="s">
        <v>987</v>
      </c>
      <c r="C432" s="42" t="s">
        <v>338</v>
      </c>
      <c r="D432" s="42" t="s">
        <v>157</v>
      </c>
      <c r="E432" s="42"/>
      <c r="F432" s="2"/>
      <c r="G432" s="11"/>
      <c r="H432" s="11"/>
      <c r="I432" s="11"/>
      <c r="J432" s="11"/>
      <c r="K432" s="11"/>
      <c r="L432" s="11">
        <f>L433+L435+L437</f>
        <v>19287.699999999997</v>
      </c>
      <c r="M432" s="11">
        <f aca="true" t="shared" si="245" ref="M432">M433+M435+M437</f>
        <v>14295</v>
      </c>
      <c r="N432" s="7">
        <f t="shared" si="224"/>
        <v>74.11459116431716</v>
      </c>
    </row>
    <row r="433" spans="1:14" ht="78.75">
      <c r="A433" s="26" t="s">
        <v>166</v>
      </c>
      <c r="B433" s="21" t="s">
        <v>987</v>
      </c>
      <c r="C433" s="42" t="s">
        <v>338</v>
      </c>
      <c r="D433" s="42" t="s">
        <v>157</v>
      </c>
      <c r="E433" s="42" t="s">
        <v>167</v>
      </c>
      <c r="F433" s="2"/>
      <c r="G433" s="11"/>
      <c r="H433" s="11"/>
      <c r="I433" s="11"/>
      <c r="J433" s="11"/>
      <c r="K433" s="11"/>
      <c r="L433" s="11">
        <f>L434</f>
        <v>15494.199999999999</v>
      </c>
      <c r="M433" s="11">
        <f aca="true" t="shared" si="246" ref="M433">M434</f>
        <v>11752.2</v>
      </c>
      <c r="N433" s="7">
        <f t="shared" si="224"/>
        <v>75.84902737798662</v>
      </c>
    </row>
    <row r="434" spans="1:14" ht="15.75">
      <c r="A434" s="26" t="s">
        <v>247</v>
      </c>
      <c r="B434" s="21" t="s">
        <v>987</v>
      </c>
      <c r="C434" s="42" t="s">
        <v>338</v>
      </c>
      <c r="D434" s="42" t="s">
        <v>157</v>
      </c>
      <c r="E434" s="42" t="s">
        <v>248</v>
      </c>
      <c r="F434" s="2"/>
      <c r="G434" s="11"/>
      <c r="H434" s="11"/>
      <c r="I434" s="11"/>
      <c r="J434" s="11"/>
      <c r="K434" s="11"/>
      <c r="L434" s="11">
        <f>'Прил.№4 ведомств.'!G458</f>
        <v>15494.199999999999</v>
      </c>
      <c r="M434" s="11">
        <f>'Прил.№4 ведомств.'!H458</f>
        <v>11752.2</v>
      </c>
      <c r="N434" s="7">
        <f t="shared" si="224"/>
        <v>75.84902737798662</v>
      </c>
    </row>
    <row r="435" spans="1:14" ht="31.5">
      <c r="A435" s="26" t="s">
        <v>170</v>
      </c>
      <c r="B435" s="21" t="s">
        <v>987</v>
      </c>
      <c r="C435" s="42" t="s">
        <v>338</v>
      </c>
      <c r="D435" s="42" t="s">
        <v>157</v>
      </c>
      <c r="E435" s="42" t="s">
        <v>171</v>
      </c>
      <c r="F435" s="2"/>
      <c r="G435" s="11"/>
      <c r="H435" s="11"/>
      <c r="I435" s="11"/>
      <c r="J435" s="11"/>
      <c r="K435" s="11"/>
      <c r="L435" s="11">
        <f>L436</f>
        <v>3763.5</v>
      </c>
      <c r="M435" s="11">
        <f aca="true" t="shared" si="247" ref="M435">M436</f>
        <v>2522.3</v>
      </c>
      <c r="N435" s="7">
        <f t="shared" si="224"/>
        <v>67.02006111332537</v>
      </c>
    </row>
    <row r="436" spans="1:14" ht="31.5">
      <c r="A436" s="26" t="s">
        <v>172</v>
      </c>
      <c r="B436" s="21" t="s">
        <v>987</v>
      </c>
      <c r="C436" s="42" t="s">
        <v>338</v>
      </c>
      <c r="D436" s="42" t="s">
        <v>157</v>
      </c>
      <c r="E436" s="42" t="s">
        <v>173</v>
      </c>
      <c r="F436" s="2"/>
      <c r="G436" s="11"/>
      <c r="H436" s="11"/>
      <c r="I436" s="11"/>
      <c r="J436" s="11"/>
      <c r="K436" s="11"/>
      <c r="L436" s="11">
        <f>'Прил.№4 ведомств.'!G460</f>
        <v>3763.5</v>
      </c>
      <c r="M436" s="11">
        <f>'Прил.№4 ведомств.'!H460</f>
        <v>2522.3</v>
      </c>
      <c r="N436" s="7">
        <f t="shared" si="224"/>
        <v>67.02006111332537</v>
      </c>
    </row>
    <row r="437" spans="1:14" ht="15.75" customHeight="1">
      <c r="A437" s="26" t="s">
        <v>174</v>
      </c>
      <c r="B437" s="21" t="s">
        <v>987</v>
      </c>
      <c r="C437" s="42" t="s">
        <v>338</v>
      </c>
      <c r="D437" s="42" t="s">
        <v>157</v>
      </c>
      <c r="E437" s="42" t="s">
        <v>184</v>
      </c>
      <c r="F437" s="2"/>
      <c r="G437" s="11"/>
      <c r="H437" s="11"/>
      <c r="I437" s="11"/>
      <c r="J437" s="11"/>
      <c r="K437" s="11"/>
      <c r="L437" s="11">
        <f>L438</f>
        <v>30</v>
      </c>
      <c r="M437" s="11">
        <f aca="true" t="shared" si="248" ref="M437">M438</f>
        <v>20.5</v>
      </c>
      <c r="N437" s="7">
        <f t="shared" si="224"/>
        <v>68.33333333333333</v>
      </c>
    </row>
    <row r="438" spans="1:14" ht="15.75" customHeight="1">
      <c r="A438" s="26" t="s">
        <v>176</v>
      </c>
      <c r="B438" s="21" t="s">
        <v>987</v>
      </c>
      <c r="C438" s="42" t="s">
        <v>338</v>
      </c>
      <c r="D438" s="42" t="s">
        <v>157</v>
      </c>
      <c r="E438" s="42" t="s">
        <v>177</v>
      </c>
      <c r="F438" s="2"/>
      <c r="G438" s="11"/>
      <c r="H438" s="11"/>
      <c r="I438" s="11"/>
      <c r="J438" s="11"/>
      <c r="K438" s="11"/>
      <c r="L438" s="11">
        <f>'Прил.№4 ведомств.'!G462</f>
        <v>30</v>
      </c>
      <c r="M438" s="11">
        <f>'Прил.№4 ведомств.'!H462</f>
        <v>20.5</v>
      </c>
      <c r="N438" s="7">
        <f t="shared" si="224"/>
        <v>68.33333333333333</v>
      </c>
    </row>
    <row r="439" spans="1:14" ht="47.25">
      <c r="A439" s="47" t="s">
        <v>300</v>
      </c>
      <c r="B439" s="42" t="s">
        <v>352</v>
      </c>
      <c r="C439" s="42"/>
      <c r="D439" s="42"/>
      <c r="E439" s="42"/>
      <c r="F439" s="2">
        <v>903</v>
      </c>
      <c r="G439" s="11" t="e">
        <f aca="true" t="shared" si="249" ref="G439:L439">G390</f>
        <v>#REF!</v>
      </c>
      <c r="H439" s="11" t="e">
        <f t="shared" si="249"/>
        <v>#REF!</v>
      </c>
      <c r="I439" s="11" t="e">
        <f t="shared" si="249"/>
        <v>#REF!</v>
      </c>
      <c r="J439" s="11" t="e">
        <f t="shared" si="249"/>
        <v>#REF!</v>
      </c>
      <c r="K439" s="11" t="e">
        <f t="shared" si="249"/>
        <v>#REF!</v>
      </c>
      <c r="L439" s="11">
        <f t="shared" si="249"/>
        <v>19518.699999999997</v>
      </c>
      <c r="M439" s="11">
        <f aca="true" t="shared" si="250" ref="M439">M390</f>
        <v>14398.6</v>
      </c>
      <c r="N439" s="7">
        <f t="shared" si="224"/>
        <v>73.76823251548517</v>
      </c>
    </row>
    <row r="440" spans="1:14" ht="31.5" customHeight="1" hidden="1">
      <c r="A440" s="70" t="s">
        <v>360</v>
      </c>
      <c r="B440" s="42" t="s">
        <v>361</v>
      </c>
      <c r="C440" s="42" t="s">
        <v>338</v>
      </c>
      <c r="D440" s="42" t="s">
        <v>157</v>
      </c>
      <c r="E440" s="42"/>
      <c r="F440" s="2"/>
      <c r="G440" s="11">
        <f aca="true" t="shared" si="251" ref="G440:M440">G441</f>
        <v>0</v>
      </c>
      <c r="H440" s="11">
        <f t="shared" si="251"/>
        <v>0</v>
      </c>
      <c r="I440" s="11">
        <f t="shared" si="251"/>
        <v>0</v>
      </c>
      <c r="J440" s="11">
        <f t="shared" si="251"/>
        <v>0</v>
      </c>
      <c r="K440" s="11">
        <f t="shared" si="251"/>
        <v>0</v>
      </c>
      <c r="L440" s="11">
        <f t="shared" si="251"/>
        <v>0</v>
      </c>
      <c r="M440" s="11">
        <f t="shared" si="251"/>
        <v>0</v>
      </c>
      <c r="N440" s="7" t="e">
        <f t="shared" si="224"/>
        <v>#DIV/0!</v>
      </c>
    </row>
    <row r="441" spans="1:14" ht="31.5" customHeight="1" hidden="1">
      <c r="A441" s="31" t="s">
        <v>311</v>
      </c>
      <c r="B441" s="42" t="s">
        <v>361</v>
      </c>
      <c r="C441" s="42" t="s">
        <v>338</v>
      </c>
      <c r="D441" s="42" t="s">
        <v>157</v>
      </c>
      <c r="E441" s="42" t="s">
        <v>312</v>
      </c>
      <c r="F441" s="2"/>
      <c r="G441" s="11"/>
      <c r="H441" s="11"/>
      <c r="I441" s="11"/>
      <c r="J441" s="11"/>
      <c r="K441" s="11"/>
      <c r="L441" s="11"/>
      <c r="M441" s="11"/>
      <c r="N441" s="7" t="e">
        <f t="shared" si="224"/>
        <v>#DIV/0!</v>
      </c>
    </row>
    <row r="442" spans="1:14" ht="15.75" customHeight="1" hidden="1">
      <c r="A442" s="31" t="s">
        <v>313</v>
      </c>
      <c r="B442" s="42" t="s">
        <v>361</v>
      </c>
      <c r="C442" s="42" t="s">
        <v>338</v>
      </c>
      <c r="D442" s="42" t="s">
        <v>157</v>
      </c>
      <c r="E442" s="42" t="s">
        <v>314</v>
      </c>
      <c r="F442" s="2"/>
      <c r="G442" s="11"/>
      <c r="H442" s="11"/>
      <c r="I442" s="11"/>
      <c r="J442" s="11"/>
      <c r="K442" s="11"/>
      <c r="L442" s="11"/>
      <c r="M442" s="11"/>
      <c r="N442" s="7" t="e">
        <f t="shared" si="224"/>
        <v>#DIV/0!</v>
      </c>
    </row>
    <row r="443" spans="1:14" ht="47.25" customHeight="1" hidden="1">
      <c r="A443" s="47" t="s">
        <v>300</v>
      </c>
      <c r="B443" s="42" t="s">
        <v>361</v>
      </c>
      <c r="C443" s="42" t="s">
        <v>338</v>
      </c>
      <c r="D443" s="42" t="s">
        <v>157</v>
      </c>
      <c r="E443" s="42"/>
      <c r="F443" s="2">
        <v>903</v>
      </c>
      <c r="G443" s="11">
        <f aca="true" t="shared" si="252" ref="G443:L443">G442</f>
        <v>0</v>
      </c>
      <c r="H443" s="11">
        <f t="shared" si="252"/>
        <v>0</v>
      </c>
      <c r="I443" s="11">
        <f t="shared" si="252"/>
        <v>0</v>
      </c>
      <c r="J443" s="11">
        <f t="shared" si="252"/>
        <v>0</v>
      </c>
      <c r="K443" s="11">
        <f t="shared" si="252"/>
        <v>0</v>
      </c>
      <c r="L443" s="11">
        <f t="shared" si="252"/>
        <v>0</v>
      </c>
      <c r="M443" s="11">
        <f aca="true" t="shared" si="253" ref="M443">M442</f>
        <v>0</v>
      </c>
      <c r="N443" s="7" t="e">
        <f t="shared" si="224"/>
        <v>#DIV/0!</v>
      </c>
    </row>
    <row r="444" spans="1:14" ht="47.25">
      <c r="A444" s="43" t="s">
        <v>307</v>
      </c>
      <c r="B444" s="8" t="s">
        <v>308</v>
      </c>
      <c r="C444" s="83"/>
      <c r="D444" s="83"/>
      <c r="E444" s="83"/>
      <c r="F444" s="3"/>
      <c r="G444" s="68" t="e">
        <f>G445</f>
        <v>#REF!</v>
      </c>
      <c r="H444" s="68" t="e">
        <f aca="true" t="shared" si="254" ref="H444:M445">H445</f>
        <v>#REF!</v>
      </c>
      <c r="I444" s="68" t="e">
        <f t="shared" si="254"/>
        <v>#REF!</v>
      </c>
      <c r="J444" s="68" t="e">
        <f t="shared" si="254"/>
        <v>#REF!</v>
      </c>
      <c r="K444" s="68" t="e">
        <f t="shared" si="254"/>
        <v>#REF!</v>
      </c>
      <c r="L444" s="68">
        <f t="shared" si="254"/>
        <v>15654</v>
      </c>
      <c r="M444" s="68">
        <f t="shared" si="254"/>
        <v>10674.900000000001</v>
      </c>
      <c r="N444" s="4">
        <f t="shared" si="224"/>
        <v>68.19279417401304</v>
      </c>
    </row>
    <row r="445" spans="1:14" ht="15.75">
      <c r="A445" s="31" t="s">
        <v>302</v>
      </c>
      <c r="B445" s="42" t="s">
        <v>308</v>
      </c>
      <c r="C445" s="42" t="s">
        <v>303</v>
      </c>
      <c r="D445" s="83"/>
      <c r="E445" s="83"/>
      <c r="F445" s="3"/>
      <c r="G445" s="11" t="e">
        <f>G446</f>
        <v>#REF!</v>
      </c>
      <c r="H445" s="11" t="e">
        <f t="shared" si="254"/>
        <v>#REF!</v>
      </c>
      <c r="I445" s="11" t="e">
        <f t="shared" si="254"/>
        <v>#REF!</v>
      </c>
      <c r="J445" s="11" t="e">
        <f t="shared" si="254"/>
        <v>#REF!</v>
      </c>
      <c r="K445" s="11" t="e">
        <f t="shared" si="254"/>
        <v>#REF!</v>
      </c>
      <c r="L445" s="11">
        <f t="shared" si="254"/>
        <v>15654</v>
      </c>
      <c r="M445" s="11">
        <f t="shared" si="254"/>
        <v>10674.900000000001</v>
      </c>
      <c r="N445" s="7">
        <f t="shared" si="224"/>
        <v>68.19279417401304</v>
      </c>
    </row>
    <row r="446" spans="1:14" ht="15.75">
      <c r="A446" s="31" t="s">
        <v>304</v>
      </c>
      <c r="B446" s="42" t="s">
        <v>308</v>
      </c>
      <c r="C446" s="42" t="s">
        <v>303</v>
      </c>
      <c r="D446" s="42" t="s">
        <v>254</v>
      </c>
      <c r="E446" s="83"/>
      <c r="F446" s="3"/>
      <c r="G446" s="11" t="e">
        <f>G447+G462+G465+G468+G471</f>
        <v>#REF!</v>
      </c>
      <c r="H446" s="11" t="e">
        <f>H447+H462+H465+H468+H471</f>
        <v>#REF!</v>
      </c>
      <c r="I446" s="11" t="e">
        <f>I447+I462+I465+I468+I471</f>
        <v>#REF!</v>
      </c>
      <c r="J446" s="11" t="e">
        <f>J447+J462+J465+J468+J471</f>
        <v>#REF!</v>
      </c>
      <c r="K446" s="11" t="e">
        <f>K447+K462+K465+K468+K471</f>
        <v>#REF!</v>
      </c>
      <c r="L446" s="11">
        <f>L447+L462+L465+L468+L471+L454+L474+L482+L477</f>
        <v>15654</v>
      </c>
      <c r="M446" s="11">
        <f aca="true" t="shared" si="255" ref="M446">M447+M462+M465+M468+M471+M454+M474+M482+M477</f>
        <v>10674.900000000001</v>
      </c>
      <c r="N446" s="7">
        <f t="shared" si="224"/>
        <v>68.19279417401304</v>
      </c>
    </row>
    <row r="447" spans="1:14" ht="47.25" customHeight="1" hidden="1">
      <c r="A447" s="31" t="s">
        <v>309</v>
      </c>
      <c r="B447" s="42" t="s">
        <v>310</v>
      </c>
      <c r="C447" s="42" t="s">
        <v>303</v>
      </c>
      <c r="D447" s="42" t="s">
        <v>254</v>
      </c>
      <c r="E447" s="83"/>
      <c r="F447" s="3"/>
      <c r="G447" s="11" t="e">
        <f>G448</f>
        <v>#REF!</v>
      </c>
      <c r="H447" s="11" t="e">
        <f aca="true" t="shared" si="256" ref="H447:M448">H448</f>
        <v>#REF!</v>
      </c>
      <c r="I447" s="11" t="e">
        <f t="shared" si="256"/>
        <v>#REF!</v>
      </c>
      <c r="J447" s="11" t="e">
        <f t="shared" si="256"/>
        <v>#REF!</v>
      </c>
      <c r="K447" s="11" t="e">
        <f t="shared" si="256"/>
        <v>#REF!</v>
      </c>
      <c r="L447" s="11">
        <f t="shared" si="256"/>
        <v>0</v>
      </c>
      <c r="M447" s="11">
        <f t="shared" si="256"/>
        <v>0</v>
      </c>
      <c r="N447" s="7" t="e">
        <f t="shared" si="224"/>
        <v>#DIV/0!</v>
      </c>
    </row>
    <row r="448" spans="1:14" ht="31.5" customHeight="1" hidden="1">
      <c r="A448" s="31" t="s">
        <v>311</v>
      </c>
      <c r="B448" s="42" t="s">
        <v>310</v>
      </c>
      <c r="C448" s="42" t="s">
        <v>303</v>
      </c>
      <c r="D448" s="42" t="s">
        <v>254</v>
      </c>
      <c r="E448" s="42" t="s">
        <v>312</v>
      </c>
      <c r="F448" s="3"/>
      <c r="G448" s="11" t="e">
        <f>G449</f>
        <v>#REF!</v>
      </c>
      <c r="H448" s="11" t="e">
        <f t="shared" si="256"/>
        <v>#REF!</v>
      </c>
      <c r="I448" s="11" t="e">
        <f t="shared" si="256"/>
        <v>#REF!</v>
      </c>
      <c r="J448" s="11" t="e">
        <f t="shared" si="256"/>
        <v>#REF!</v>
      </c>
      <c r="K448" s="11" t="e">
        <f t="shared" si="256"/>
        <v>#REF!</v>
      </c>
      <c r="L448" s="11">
        <f t="shared" si="256"/>
        <v>0</v>
      </c>
      <c r="M448" s="11">
        <f t="shared" si="256"/>
        <v>0</v>
      </c>
      <c r="N448" s="7" t="e">
        <f t="shared" si="224"/>
        <v>#DIV/0!</v>
      </c>
    </row>
    <row r="449" spans="1:14" ht="15.75" customHeight="1" hidden="1">
      <c r="A449" s="31" t="s">
        <v>313</v>
      </c>
      <c r="B449" s="42" t="s">
        <v>310</v>
      </c>
      <c r="C449" s="42" t="s">
        <v>303</v>
      </c>
      <c r="D449" s="42" t="s">
        <v>254</v>
      </c>
      <c r="E449" s="42" t="s">
        <v>314</v>
      </c>
      <c r="F449" s="3"/>
      <c r="G449" s="7" t="e">
        <f>#REF!</f>
        <v>#REF!</v>
      </c>
      <c r="H449" s="7" t="e">
        <f>#REF!</f>
        <v>#REF!</v>
      </c>
      <c r="I449" s="7" t="e">
        <f>#REF!</f>
        <v>#REF!</v>
      </c>
      <c r="J449" s="7" t="e">
        <f>#REF!</f>
        <v>#REF!</v>
      </c>
      <c r="K449" s="7" t="e">
        <f>#REF!</f>
        <v>#REF!</v>
      </c>
      <c r="L449" s="7">
        <f>'Прил.№4 ведомств.'!G304</f>
        <v>0</v>
      </c>
      <c r="M449" s="7">
        <f>'Прил.№4 ведомств.'!H304</f>
        <v>0</v>
      </c>
      <c r="N449" s="7" t="e">
        <f t="shared" si="224"/>
        <v>#DIV/0!</v>
      </c>
    </row>
    <row r="450" spans="1:14" ht="47.25" customHeight="1" hidden="1">
      <c r="A450" s="31" t="s">
        <v>315</v>
      </c>
      <c r="B450" s="42" t="s">
        <v>707</v>
      </c>
      <c r="C450" s="42" t="s">
        <v>303</v>
      </c>
      <c r="D450" s="42" t="s">
        <v>254</v>
      </c>
      <c r="E450" s="42"/>
      <c r="F450" s="3"/>
      <c r="G450" s="11">
        <f>G451</f>
        <v>0</v>
      </c>
      <c r="H450" s="11">
        <f aca="true" t="shared" si="257" ref="H450:M451">H451</f>
        <v>0</v>
      </c>
      <c r="I450" s="11">
        <f t="shared" si="257"/>
        <v>0</v>
      </c>
      <c r="J450" s="11">
        <f t="shared" si="257"/>
        <v>0</v>
      </c>
      <c r="K450" s="11">
        <f t="shared" si="257"/>
        <v>0</v>
      </c>
      <c r="L450" s="11">
        <f t="shared" si="257"/>
        <v>0</v>
      </c>
      <c r="M450" s="11">
        <f t="shared" si="257"/>
        <v>0</v>
      </c>
      <c r="N450" s="7" t="e">
        <f t="shared" si="224"/>
        <v>#DIV/0!</v>
      </c>
    </row>
    <row r="451" spans="1:14" ht="31.5" customHeight="1" hidden="1">
      <c r="A451" s="31" t="s">
        <v>311</v>
      </c>
      <c r="B451" s="42" t="s">
        <v>707</v>
      </c>
      <c r="C451" s="42" t="s">
        <v>303</v>
      </c>
      <c r="D451" s="42" t="s">
        <v>254</v>
      </c>
      <c r="E451" s="42" t="s">
        <v>312</v>
      </c>
      <c r="F451" s="3"/>
      <c r="G451" s="11">
        <f>G452</f>
        <v>0</v>
      </c>
      <c r="H451" s="11">
        <f t="shared" si="257"/>
        <v>0</v>
      </c>
      <c r="I451" s="11">
        <f t="shared" si="257"/>
        <v>0</v>
      </c>
      <c r="J451" s="11">
        <f t="shared" si="257"/>
        <v>0</v>
      </c>
      <c r="K451" s="11">
        <f t="shared" si="257"/>
        <v>0</v>
      </c>
      <c r="L451" s="11">
        <f t="shared" si="257"/>
        <v>0</v>
      </c>
      <c r="M451" s="11">
        <f t="shared" si="257"/>
        <v>0</v>
      </c>
      <c r="N451" s="7" t="e">
        <f t="shared" si="224"/>
        <v>#DIV/0!</v>
      </c>
    </row>
    <row r="452" spans="1:14" ht="15.75" customHeight="1" hidden="1">
      <c r="A452" s="31" t="s">
        <v>313</v>
      </c>
      <c r="B452" s="42" t="s">
        <v>707</v>
      </c>
      <c r="C452" s="42" t="s">
        <v>303</v>
      </c>
      <c r="D452" s="42" t="s">
        <v>254</v>
      </c>
      <c r="E452" s="42" t="s">
        <v>314</v>
      </c>
      <c r="F452" s="3"/>
      <c r="G452" s="11"/>
      <c r="H452" s="11"/>
      <c r="I452" s="11"/>
      <c r="J452" s="11"/>
      <c r="K452" s="11"/>
      <c r="L452" s="11"/>
      <c r="M452" s="11"/>
      <c r="N452" s="7" t="e">
        <f t="shared" si="224"/>
        <v>#DIV/0!</v>
      </c>
    </row>
    <row r="453" spans="1:14" ht="47.25" customHeight="1" hidden="1">
      <c r="A453" s="47" t="s">
        <v>300</v>
      </c>
      <c r="B453" s="42" t="s">
        <v>707</v>
      </c>
      <c r="C453" s="42" t="s">
        <v>303</v>
      </c>
      <c r="D453" s="42" t="s">
        <v>254</v>
      </c>
      <c r="E453" s="42"/>
      <c r="F453" s="2">
        <v>903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0</v>
      </c>
      <c r="M453" s="11">
        <v>0</v>
      </c>
      <c r="N453" s="7" t="e">
        <f t="shared" si="224"/>
        <v>#DIV/0!</v>
      </c>
    </row>
    <row r="454" spans="1:14" ht="31.5" customHeight="1" hidden="1">
      <c r="A454" s="31" t="s">
        <v>317</v>
      </c>
      <c r="B454" s="42" t="s">
        <v>318</v>
      </c>
      <c r="C454" s="42" t="s">
        <v>303</v>
      </c>
      <c r="D454" s="42" t="s">
        <v>254</v>
      </c>
      <c r="E454" s="42"/>
      <c r="F454" s="3"/>
      <c r="G454" s="11">
        <f>G455</f>
        <v>0</v>
      </c>
      <c r="H454" s="11">
        <f aca="true" t="shared" si="258" ref="H454:M455">H455</f>
        <v>0</v>
      </c>
      <c r="I454" s="11">
        <f t="shared" si="258"/>
        <v>0</v>
      </c>
      <c r="J454" s="11">
        <f t="shared" si="258"/>
        <v>0</v>
      </c>
      <c r="K454" s="11">
        <f t="shared" si="258"/>
        <v>0</v>
      </c>
      <c r="L454" s="11">
        <f t="shared" si="258"/>
        <v>0</v>
      </c>
      <c r="M454" s="11">
        <f t="shared" si="258"/>
        <v>0</v>
      </c>
      <c r="N454" s="7" t="e">
        <f t="shared" si="224"/>
        <v>#DIV/0!</v>
      </c>
    </row>
    <row r="455" spans="1:14" ht="31.5" customHeight="1" hidden="1">
      <c r="A455" s="31" t="s">
        <v>311</v>
      </c>
      <c r="B455" s="42" t="s">
        <v>318</v>
      </c>
      <c r="C455" s="42" t="s">
        <v>303</v>
      </c>
      <c r="D455" s="42" t="s">
        <v>254</v>
      </c>
      <c r="E455" s="42" t="s">
        <v>312</v>
      </c>
      <c r="F455" s="3"/>
      <c r="G455" s="11">
        <f>G456</f>
        <v>0</v>
      </c>
      <c r="H455" s="11">
        <f t="shared" si="258"/>
        <v>0</v>
      </c>
      <c r="I455" s="11">
        <f t="shared" si="258"/>
        <v>0</v>
      </c>
      <c r="J455" s="11">
        <f t="shared" si="258"/>
        <v>0</v>
      </c>
      <c r="K455" s="11">
        <f t="shared" si="258"/>
        <v>0</v>
      </c>
      <c r="L455" s="11">
        <f t="shared" si="258"/>
        <v>0</v>
      </c>
      <c r="M455" s="11">
        <f t="shared" si="258"/>
        <v>0</v>
      </c>
      <c r="N455" s="7" t="e">
        <f t="shared" si="224"/>
        <v>#DIV/0!</v>
      </c>
    </row>
    <row r="456" spans="1:14" ht="15.75" customHeight="1" hidden="1">
      <c r="A456" s="31" t="s">
        <v>313</v>
      </c>
      <c r="B456" s="42" t="s">
        <v>318</v>
      </c>
      <c r="C456" s="42" t="s">
        <v>303</v>
      </c>
      <c r="D456" s="42" t="s">
        <v>254</v>
      </c>
      <c r="E456" s="42" t="s">
        <v>314</v>
      </c>
      <c r="F456" s="3"/>
      <c r="G456" s="11"/>
      <c r="H456" s="11"/>
      <c r="I456" s="11"/>
      <c r="J456" s="11"/>
      <c r="K456" s="11"/>
      <c r="L456" s="11">
        <f>'Прил.№4 ведомств.'!G310</f>
        <v>0</v>
      </c>
      <c r="M456" s="11">
        <f>'Прил.№4 ведомств.'!H310</f>
        <v>0</v>
      </c>
      <c r="N456" s="7" t="e">
        <f t="shared" si="224"/>
        <v>#DIV/0!</v>
      </c>
    </row>
    <row r="457" spans="1:14" ht="47.25" customHeight="1" hidden="1">
      <c r="A457" s="47" t="s">
        <v>300</v>
      </c>
      <c r="B457" s="42" t="s">
        <v>708</v>
      </c>
      <c r="C457" s="42" t="s">
        <v>303</v>
      </c>
      <c r="D457" s="42" t="s">
        <v>254</v>
      </c>
      <c r="E457" s="42"/>
      <c r="F457" s="2">
        <v>903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7" t="e">
        <f t="shared" si="224"/>
        <v>#DIV/0!</v>
      </c>
    </row>
    <row r="458" spans="1:14" ht="31.5" customHeight="1" hidden="1">
      <c r="A458" s="31" t="s">
        <v>319</v>
      </c>
      <c r="B458" s="42" t="s">
        <v>709</v>
      </c>
      <c r="C458" s="42" t="s">
        <v>303</v>
      </c>
      <c r="D458" s="42" t="s">
        <v>254</v>
      </c>
      <c r="E458" s="42"/>
      <c r="F458" s="3"/>
      <c r="G458" s="11">
        <f>G459</f>
        <v>0</v>
      </c>
      <c r="H458" s="11">
        <f aca="true" t="shared" si="259" ref="H458:M459">H459</f>
        <v>0</v>
      </c>
      <c r="I458" s="11">
        <f t="shared" si="259"/>
        <v>0</v>
      </c>
      <c r="J458" s="11">
        <f t="shared" si="259"/>
        <v>0</v>
      </c>
      <c r="K458" s="11">
        <f t="shared" si="259"/>
        <v>0</v>
      </c>
      <c r="L458" s="11">
        <f t="shared" si="259"/>
        <v>0</v>
      </c>
      <c r="M458" s="11">
        <f t="shared" si="259"/>
        <v>0</v>
      </c>
      <c r="N458" s="7" t="e">
        <f t="shared" si="224"/>
        <v>#DIV/0!</v>
      </c>
    </row>
    <row r="459" spans="1:14" ht="31.5" customHeight="1" hidden="1">
      <c r="A459" s="31" t="s">
        <v>311</v>
      </c>
      <c r="B459" s="42" t="s">
        <v>709</v>
      </c>
      <c r="C459" s="42" t="s">
        <v>303</v>
      </c>
      <c r="D459" s="42" t="s">
        <v>254</v>
      </c>
      <c r="E459" s="42" t="s">
        <v>312</v>
      </c>
      <c r="F459" s="3"/>
      <c r="G459" s="11">
        <f>G460</f>
        <v>0</v>
      </c>
      <c r="H459" s="11">
        <f t="shared" si="259"/>
        <v>0</v>
      </c>
      <c r="I459" s="11">
        <f t="shared" si="259"/>
        <v>0</v>
      </c>
      <c r="J459" s="11">
        <f t="shared" si="259"/>
        <v>0</v>
      </c>
      <c r="K459" s="11">
        <f t="shared" si="259"/>
        <v>0</v>
      </c>
      <c r="L459" s="11">
        <f t="shared" si="259"/>
        <v>0</v>
      </c>
      <c r="M459" s="11">
        <f t="shared" si="259"/>
        <v>0</v>
      </c>
      <c r="N459" s="7" t="e">
        <f t="shared" si="224"/>
        <v>#DIV/0!</v>
      </c>
    </row>
    <row r="460" spans="1:14" ht="15.75" customHeight="1" hidden="1">
      <c r="A460" s="31" t="s">
        <v>313</v>
      </c>
      <c r="B460" s="42" t="s">
        <v>709</v>
      </c>
      <c r="C460" s="42" t="s">
        <v>303</v>
      </c>
      <c r="D460" s="42" t="s">
        <v>254</v>
      </c>
      <c r="E460" s="42" t="s">
        <v>314</v>
      </c>
      <c r="F460" s="3"/>
      <c r="G460" s="11"/>
      <c r="H460" s="11"/>
      <c r="I460" s="11"/>
      <c r="J460" s="11"/>
      <c r="K460" s="11"/>
      <c r="L460" s="11"/>
      <c r="M460" s="11"/>
      <c r="N460" s="7" t="e">
        <f t="shared" si="224"/>
        <v>#DIV/0!</v>
      </c>
    </row>
    <row r="461" spans="1:14" ht="47.25" customHeight="1" hidden="1">
      <c r="A461" s="47" t="s">
        <v>300</v>
      </c>
      <c r="B461" s="42" t="s">
        <v>709</v>
      </c>
      <c r="C461" s="42" t="s">
        <v>303</v>
      </c>
      <c r="D461" s="42" t="s">
        <v>254</v>
      </c>
      <c r="E461" s="42"/>
      <c r="F461" s="2">
        <v>903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7" t="e">
        <f aca="true" t="shared" si="260" ref="N461:N524">M461/L461*100</f>
        <v>#DIV/0!</v>
      </c>
    </row>
    <row r="462" spans="1:14" ht="31.5" customHeight="1" hidden="1">
      <c r="A462" s="31" t="s">
        <v>321</v>
      </c>
      <c r="B462" s="42" t="s">
        <v>322</v>
      </c>
      <c r="C462" s="42" t="s">
        <v>303</v>
      </c>
      <c r="D462" s="42" t="s">
        <v>254</v>
      </c>
      <c r="E462" s="42"/>
      <c r="F462" s="3"/>
      <c r="G462" s="11" t="e">
        <f>G463</f>
        <v>#REF!</v>
      </c>
      <c r="H462" s="11" t="e">
        <f aca="true" t="shared" si="261" ref="H462:M463">H463</f>
        <v>#REF!</v>
      </c>
      <c r="I462" s="11" t="e">
        <f t="shared" si="261"/>
        <v>#REF!</v>
      </c>
      <c r="J462" s="11" t="e">
        <f t="shared" si="261"/>
        <v>#REF!</v>
      </c>
      <c r="K462" s="11" t="e">
        <f t="shared" si="261"/>
        <v>#REF!</v>
      </c>
      <c r="L462" s="11">
        <f t="shared" si="261"/>
        <v>0</v>
      </c>
      <c r="M462" s="11">
        <f t="shared" si="261"/>
        <v>0</v>
      </c>
      <c r="N462" s="7" t="e">
        <f t="shared" si="260"/>
        <v>#DIV/0!</v>
      </c>
    </row>
    <row r="463" spans="1:14" ht="31.5" customHeight="1" hidden="1">
      <c r="A463" s="31" t="s">
        <v>311</v>
      </c>
      <c r="B463" s="42" t="s">
        <v>322</v>
      </c>
      <c r="C463" s="42" t="s">
        <v>303</v>
      </c>
      <c r="D463" s="42" t="s">
        <v>254</v>
      </c>
      <c r="E463" s="42" t="s">
        <v>312</v>
      </c>
      <c r="F463" s="3"/>
      <c r="G463" s="11" t="e">
        <f>G464</f>
        <v>#REF!</v>
      </c>
      <c r="H463" s="11" t="e">
        <f t="shared" si="261"/>
        <v>#REF!</v>
      </c>
      <c r="I463" s="11" t="e">
        <f t="shared" si="261"/>
        <v>#REF!</v>
      </c>
      <c r="J463" s="11" t="e">
        <f t="shared" si="261"/>
        <v>#REF!</v>
      </c>
      <c r="K463" s="11" t="e">
        <f t="shared" si="261"/>
        <v>#REF!</v>
      </c>
      <c r="L463" s="11">
        <f t="shared" si="261"/>
        <v>0</v>
      </c>
      <c r="M463" s="11">
        <f t="shared" si="261"/>
        <v>0</v>
      </c>
      <c r="N463" s="7" t="e">
        <f t="shared" si="260"/>
        <v>#DIV/0!</v>
      </c>
    </row>
    <row r="464" spans="1:14" ht="15.75" customHeight="1" hidden="1">
      <c r="A464" s="31" t="s">
        <v>313</v>
      </c>
      <c r="B464" s="42" t="s">
        <v>322</v>
      </c>
      <c r="C464" s="42" t="s">
        <v>303</v>
      </c>
      <c r="D464" s="42" t="s">
        <v>254</v>
      </c>
      <c r="E464" s="42" t="s">
        <v>314</v>
      </c>
      <c r="F464" s="3"/>
      <c r="G464" s="7" t="e">
        <f>#REF!</f>
        <v>#REF!</v>
      </c>
      <c r="H464" s="7" t="e">
        <f>#REF!</f>
        <v>#REF!</v>
      </c>
      <c r="I464" s="7" t="e">
        <f>#REF!</f>
        <v>#REF!</v>
      </c>
      <c r="J464" s="7" t="e">
        <f>#REF!</f>
        <v>#REF!</v>
      </c>
      <c r="K464" s="7" t="e">
        <f>#REF!</f>
        <v>#REF!</v>
      </c>
      <c r="L464" s="7">
        <f>'Прил.№4 ведомств.'!G316</f>
        <v>0</v>
      </c>
      <c r="M464" s="7">
        <f>'Прил.№4 ведомств.'!H316</f>
        <v>0</v>
      </c>
      <c r="N464" s="7" t="e">
        <f t="shared" si="260"/>
        <v>#DIV/0!</v>
      </c>
    </row>
    <row r="465" spans="1:14" ht="31.5" customHeight="1" hidden="1">
      <c r="A465" s="26" t="s">
        <v>323</v>
      </c>
      <c r="B465" s="42" t="s">
        <v>325</v>
      </c>
      <c r="C465" s="42" t="s">
        <v>303</v>
      </c>
      <c r="D465" s="42" t="s">
        <v>254</v>
      </c>
      <c r="E465" s="42"/>
      <c r="F465" s="3"/>
      <c r="G465" s="11" t="e">
        <f>G466</f>
        <v>#REF!</v>
      </c>
      <c r="H465" s="11" t="e">
        <f aca="true" t="shared" si="262" ref="H465:M466">H466</f>
        <v>#REF!</v>
      </c>
      <c r="I465" s="11" t="e">
        <f t="shared" si="262"/>
        <v>#REF!</v>
      </c>
      <c r="J465" s="11" t="e">
        <f t="shared" si="262"/>
        <v>#REF!</v>
      </c>
      <c r="K465" s="11" t="e">
        <f t="shared" si="262"/>
        <v>#REF!</v>
      </c>
      <c r="L465" s="11">
        <f t="shared" si="262"/>
        <v>0</v>
      </c>
      <c r="M465" s="11">
        <f t="shared" si="262"/>
        <v>0</v>
      </c>
      <c r="N465" s="7" t="e">
        <f t="shared" si="260"/>
        <v>#DIV/0!</v>
      </c>
    </row>
    <row r="466" spans="1:14" ht="31.5" customHeight="1" hidden="1">
      <c r="A466" s="26" t="s">
        <v>311</v>
      </c>
      <c r="B466" s="42" t="s">
        <v>325</v>
      </c>
      <c r="C466" s="42" t="s">
        <v>303</v>
      </c>
      <c r="D466" s="42" t="s">
        <v>254</v>
      </c>
      <c r="E466" s="42" t="s">
        <v>312</v>
      </c>
      <c r="F466" s="3"/>
      <c r="G466" s="11" t="e">
        <f>G467</f>
        <v>#REF!</v>
      </c>
      <c r="H466" s="11" t="e">
        <f t="shared" si="262"/>
        <v>#REF!</v>
      </c>
      <c r="I466" s="11" t="e">
        <f t="shared" si="262"/>
        <v>#REF!</v>
      </c>
      <c r="J466" s="11" t="e">
        <f t="shared" si="262"/>
        <v>#REF!</v>
      </c>
      <c r="K466" s="11" t="e">
        <f t="shared" si="262"/>
        <v>#REF!</v>
      </c>
      <c r="L466" s="11">
        <f t="shared" si="262"/>
        <v>0</v>
      </c>
      <c r="M466" s="11">
        <f t="shared" si="262"/>
        <v>0</v>
      </c>
      <c r="N466" s="7" t="e">
        <f t="shared" si="260"/>
        <v>#DIV/0!</v>
      </c>
    </row>
    <row r="467" spans="1:14" ht="15.75" customHeight="1" hidden="1">
      <c r="A467" s="26" t="s">
        <v>313</v>
      </c>
      <c r="B467" s="42" t="s">
        <v>325</v>
      </c>
      <c r="C467" s="42" t="s">
        <v>303</v>
      </c>
      <c r="D467" s="42" t="s">
        <v>254</v>
      </c>
      <c r="E467" s="42" t="s">
        <v>314</v>
      </c>
      <c r="F467" s="3"/>
      <c r="G467" s="11" t="e">
        <f>#REF!</f>
        <v>#REF!</v>
      </c>
      <c r="H467" s="11" t="e">
        <f>#REF!</f>
        <v>#REF!</v>
      </c>
      <c r="I467" s="11" t="e">
        <f>#REF!</f>
        <v>#REF!</v>
      </c>
      <c r="J467" s="11" t="e">
        <f>#REF!</f>
        <v>#REF!</v>
      </c>
      <c r="K467" s="11" t="e">
        <f>#REF!</f>
        <v>#REF!</v>
      </c>
      <c r="L467" s="11">
        <f>'Прил.№4 ведомств.'!G319</f>
        <v>0</v>
      </c>
      <c r="M467" s="11">
        <f>'Прил.№4 ведомств.'!H319</f>
        <v>0</v>
      </c>
      <c r="N467" s="7" t="e">
        <f t="shared" si="260"/>
        <v>#DIV/0!</v>
      </c>
    </row>
    <row r="468" spans="1:14" ht="31.5" customHeight="1" hidden="1">
      <c r="A468" s="70" t="s">
        <v>326</v>
      </c>
      <c r="B468" s="21" t="s">
        <v>327</v>
      </c>
      <c r="C468" s="42" t="s">
        <v>303</v>
      </c>
      <c r="D468" s="42" t="s">
        <v>254</v>
      </c>
      <c r="E468" s="42"/>
      <c r="F468" s="3"/>
      <c r="G468" s="11" t="e">
        <f>G469</f>
        <v>#REF!</v>
      </c>
      <c r="H468" s="11" t="e">
        <f aca="true" t="shared" si="263" ref="H468:M469">H469</f>
        <v>#REF!</v>
      </c>
      <c r="I468" s="11" t="e">
        <f t="shared" si="263"/>
        <v>#REF!</v>
      </c>
      <c r="J468" s="11" t="e">
        <f t="shared" si="263"/>
        <v>#REF!</v>
      </c>
      <c r="K468" s="11" t="e">
        <f t="shared" si="263"/>
        <v>#REF!</v>
      </c>
      <c r="L468" s="11">
        <f t="shared" si="263"/>
        <v>0</v>
      </c>
      <c r="M468" s="11">
        <f t="shared" si="263"/>
        <v>0</v>
      </c>
      <c r="N468" s="7" t="e">
        <f t="shared" si="260"/>
        <v>#DIV/0!</v>
      </c>
    </row>
    <row r="469" spans="1:14" ht="31.5" customHeight="1" hidden="1">
      <c r="A469" s="31" t="s">
        <v>311</v>
      </c>
      <c r="B469" s="21" t="s">
        <v>327</v>
      </c>
      <c r="C469" s="42" t="s">
        <v>303</v>
      </c>
      <c r="D469" s="42" t="s">
        <v>254</v>
      </c>
      <c r="E469" s="42" t="s">
        <v>312</v>
      </c>
      <c r="F469" s="3"/>
      <c r="G469" s="11" t="e">
        <f>G470</f>
        <v>#REF!</v>
      </c>
      <c r="H469" s="11" t="e">
        <f t="shared" si="263"/>
        <v>#REF!</v>
      </c>
      <c r="I469" s="11" t="e">
        <f t="shared" si="263"/>
        <v>#REF!</v>
      </c>
      <c r="J469" s="11" t="e">
        <f t="shared" si="263"/>
        <v>#REF!</v>
      </c>
      <c r="K469" s="11" t="e">
        <f t="shared" si="263"/>
        <v>#REF!</v>
      </c>
      <c r="L469" s="11">
        <f t="shared" si="263"/>
        <v>0</v>
      </c>
      <c r="M469" s="11">
        <f t="shared" si="263"/>
        <v>0</v>
      </c>
      <c r="N469" s="7" t="e">
        <f t="shared" si="260"/>
        <v>#DIV/0!</v>
      </c>
    </row>
    <row r="470" spans="1:14" ht="15.75" customHeight="1" hidden="1">
      <c r="A470" s="242" t="s">
        <v>313</v>
      </c>
      <c r="B470" s="21" t="s">
        <v>327</v>
      </c>
      <c r="C470" s="42" t="s">
        <v>303</v>
      </c>
      <c r="D470" s="42" t="s">
        <v>254</v>
      </c>
      <c r="E470" s="42" t="s">
        <v>314</v>
      </c>
      <c r="F470" s="3"/>
      <c r="G470" s="11" t="e">
        <f>#REF!</f>
        <v>#REF!</v>
      </c>
      <c r="H470" s="11" t="e">
        <f>#REF!</f>
        <v>#REF!</v>
      </c>
      <c r="I470" s="11" t="e">
        <f>#REF!</f>
        <v>#REF!</v>
      </c>
      <c r="J470" s="11" t="e">
        <f>#REF!</f>
        <v>#REF!</v>
      </c>
      <c r="K470" s="11" t="e">
        <f>#REF!</f>
        <v>#REF!</v>
      </c>
      <c r="L470" s="11">
        <f>'Прил.№4 ведомств.'!G322</f>
        <v>0</v>
      </c>
      <c r="M470" s="11">
        <f>'Прил.№4 ведомств.'!H322</f>
        <v>0</v>
      </c>
      <c r="N470" s="7" t="e">
        <f t="shared" si="260"/>
        <v>#DIV/0!</v>
      </c>
    </row>
    <row r="471" spans="1:14" ht="31.5" customHeight="1" hidden="1">
      <c r="A471" s="70" t="s">
        <v>837</v>
      </c>
      <c r="B471" s="21" t="s">
        <v>843</v>
      </c>
      <c r="C471" s="42" t="s">
        <v>303</v>
      </c>
      <c r="D471" s="42" t="s">
        <v>254</v>
      </c>
      <c r="E471" s="42"/>
      <c r="F471" s="3"/>
      <c r="G471" s="11" t="e">
        <f>G472</f>
        <v>#REF!</v>
      </c>
      <c r="H471" s="11" t="e">
        <f aca="true" t="shared" si="264" ref="H471:M472">H472</f>
        <v>#REF!</v>
      </c>
      <c r="I471" s="11" t="e">
        <f t="shared" si="264"/>
        <v>#REF!</v>
      </c>
      <c r="J471" s="11" t="e">
        <f t="shared" si="264"/>
        <v>#REF!</v>
      </c>
      <c r="K471" s="11" t="e">
        <f t="shared" si="264"/>
        <v>#REF!</v>
      </c>
      <c r="L471" s="11">
        <f t="shared" si="264"/>
        <v>0</v>
      </c>
      <c r="M471" s="11">
        <f t="shared" si="264"/>
        <v>0</v>
      </c>
      <c r="N471" s="7" t="e">
        <f t="shared" si="260"/>
        <v>#DIV/0!</v>
      </c>
    </row>
    <row r="472" spans="1:14" ht="31.5" customHeight="1" hidden="1">
      <c r="A472" s="31" t="s">
        <v>311</v>
      </c>
      <c r="B472" s="21" t="s">
        <v>843</v>
      </c>
      <c r="C472" s="42" t="s">
        <v>303</v>
      </c>
      <c r="D472" s="42" t="s">
        <v>254</v>
      </c>
      <c r="E472" s="42" t="s">
        <v>312</v>
      </c>
      <c r="F472" s="3"/>
      <c r="G472" s="11" t="e">
        <f>G473</f>
        <v>#REF!</v>
      </c>
      <c r="H472" s="11" t="e">
        <f t="shared" si="264"/>
        <v>#REF!</v>
      </c>
      <c r="I472" s="11" t="e">
        <f t="shared" si="264"/>
        <v>#REF!</v>
      </c>
      <c r="J472" s="11" t="e">
        <f t="shared" si="264"/>
        <v>#REF!</v>
      </c>
      <c r="K472" s="11" t="e">
        <f t="shared" si="264"/>
        <v>#REF!</v>
      </c>
      <c r="L472" s="11">
        <f t="shared" si="264"/>
        <v>0</v>
      </c>
      <c r="M472" s="11">
        <f t="shared" si="264"/>
        <v>0</v>
      </c>
      <c r="N472" s="7" t="e">
        <f t="shared" si="260"/>
        <v>#DIV/0!</v>
      </c>
    </row>
    <row r="473" spans="1:14" ht="15.75" customHeight="1" hidden="1">
      <c r="A473" s="242" t="s">
        <v>313</v>
      </c>
      <c r="B473" s="21" t="s">
        <v>843</v>
      </c>
      <c r="C473" s="42" t="s">
        <v>303</v>
      </c>
      <c r="D473" s="42" t="s">
        <v>254</v>
      </c>
      <c r="E473" s="42" t="s">
        <v>314</v>
      </c>
      <c r="F473" s="3"/>
      <c r="G473" s="11" t="e">
        <f>#REF!</f>
        <v>#REF!</v>
      </c>
      <c r="H473" s="11" t="e">
        <f>#REF!</f>
        <v>#REF!</v>
      </c>
      <c r="I473" s="11" t="e">
        <f>#REF!</f>
        <v>#REF!</v>
      </c>
      <c r="J473" s="11" t="e">
        <f>#REF!</f>
        <v>#REF!</v>
      </c>
      <c r="K473" s="11" t="e">
        <f>#REF!</f>
        <v>#REF!</v>
      </c>
      <c r="L473" s="11">
        <f>'Прил.№4 ведомств.'!G325</f>
        <v>0</v>
      </c>
      <c r="M473" s="11">
        <f>'Прил.№4 ведомств.'!H325</f>
        <v>0</v>
      </c>
      <c r="N473" s="7" t="e">
        <f t="shared" si="260"/>
        <v>#DIV/0!</v>
      </c>
    </row>
    <row r="474" spans="1:14" ht="19.5" customHeight="1">
      <c r="A474" s="279" t="s">
        <v>983</v>
      </c>
      <c r="B474" s="21" t="s">
        <v>984</v>
      </c>
      <c r="C474" s="42" t="s">
        <v>303</v>
      </c>
      <c r="D474" s="42" t="s">
        <v>254</v>
      </c>
      <c r="E474" s="42"/>
      <c r="F474" s="3"/>
      <c r="G474" s="11"/>
      <c r="H474" s="11"/>
      <c r="I474" s="11"/>
      <c r="J474" s="11"/>
      <c r="K474" s="11"/>
      <c r="L474" s="11">
        <f>L475</f>
        <v>45</v>
      </c>
      <c r="M474" s="11">
        <f aca="true" t="shared" si="265" ref="M474:M475">M475</f>
        <v>27.6</v>
      </c>
      <c r="N474" s="7">
        <f t="shared" si="260"/>
        <v>61.33333333333334</v>
      </c>
    </row>
    <row r="475" spans="1:14" ht="15.75">
      <c r="A475" s="26" t="s">
        <v>287</v>
      </c>
      <c r="B475" s="21" t="s">
        <v>984</v>
      </c>
      <c r="C475" s="42" t="s">
        <v>303</v>
      </c>
      <c r="D475" s="42" t="s">
        <v>254</v>
      </c>
      <c r="E475" s="42" t="s">
        <v>288</v>
      </c>
      <c r="F475" s="3"/>
      <c r="G475" s="11"/>
      <c r="H475" s="11"/>
      <c r="I475" s="11"/>
      <c r="J475" s="11"/>
      <c r="K475" s="11"/>
      <c r="L475" s="11">
        <f>L476</f>
        <v>45</v>
      </c>
      <c r="M475" s="11">
        <f t="shared" si="265"/>
        <v>27.6</v>
      </c>
      <c r="N475" s="7">
        <f t="shared" si="260"/>
        <v>61.33333333333334</v>
      </c>
    </row>
    <row r="476" spans="1:14" ht="15.75">
      <c r="A476" s="26" t="s">
        <v>1039</v>
      </c>
      <c r="B476" s="21" t="s">
        <v>984</v>
      </c>
      <c r="C476" s="42" t="s">
        <v>303</v>
      </c>
      <c r="D476" s="42" t="s">
        <v>254</v>
      </c>
      <c r="E476" s="42" t="s">
        <v>1038</v>
      </c>
      <c r="F476" s="3"/>
      <c r="G476" s="11"/>
      <c r="H476" s="11"/>
      <c r="I476" s="11"/>
      <c r="J476" s="11"/>
      <c r="K476" s="11"/>
      <c r="L476" s="11">
        <f>'Прил.№4 ведомств.'!G301</f>
        <v>45</v>
      </c>
      <c r="M476" s="11">
        <f>'Прил.№4 ведомств.'!H301</f>
        <v>27.6</v>
      </c>
      <c r="N476" s="7">
        <f t="shared" si="260"/>
        <v>61.33333333333334</v>
      </c>
    </row>
    <row r="477" spans="1:14" ht="31.5">
      <c r="A477" s="33" t="s">
        <v>1025</v>
      </c>
      <c r="B477" s="21" t="s">
        <v>1024</v>
      </c>
      <c r="C477" s="42" t="s">
        <v>303</v>
      </c>
      <c r="D477" s="42" t="s">
        <v>254</v>
      </c>
      <c r="E477" s="42"/>
      <c r="F477" s="273"/>
      <c r="G477" s="11"/>
      <c r="H477" s="11"/>
      <c r="I477" s="11"/>
      <c r="J477" s="11"/>
      <c r="K477" s="11"/>
      <c r="L477" s="11">
        <f>L480+L478</f>
        <v>300</v>
      </c>
      <c r="M477" s="11">
        <f aca="true" t="shared" si="266" ref="M477">M480+M478</f>
        <v>264.6</v>
      </c>
      <c r="N477" s="7">
        <f t="shared" si="260"/>
        <v>88.20000000000002</v>
      </c>
    </row>
    <row r="478" spans="1:14" ht="78.75">
      <c r="A478" s="26" t="s">
        <v>166</v>
      </c>
      <c r="B478" s="21" t="s">
        <v>1024</v>
      </c>
      <c r="C478" s="42" t="s">
        <v>303</v>
      </c>
      <c r="D478" s="42" t="s">
        <v>254</v>
      </c>
      <c r="E478" s="42" t="s">
        <v>167</v>
      </c>
      <c r="F478" s="273"/>
      <c r="G478" s="11"/>
      <c r="H478" s="11"/>
      <c r="I478" s="11"/>
      <c r="J478" s="11"/>
      <c r="K478" s="11"/>
      <c r="L478" s="11">
        <f>L479</f>
        <v>300</v>
      </c>
      <c r="M478" s="11">
        <f aca="true" t="shared" si="267" ref="M478">M479</f>
        <v>264.6</v>
      </c>
      <c r="N478" s="7">
        <f t="shared" si="260"/>
        <v>88.20000000000002</v>
      </c>
    </row>
    <row r="479" spans="1:14" ht="15.75">
      <c r="A479" s="48" t="s">
        <v>381</v>
      </c>
      <c r="B479" s="21" t="s">
        <v>1024</v>
      </c>
      <c r="C479" s="42" t="s">
        <v>303</v>
      </c>
      <c r="D479" s="42" t="s">
        <v>254</v>
      </c>
      <c r="E479" s="42" t="s">
        <v>248</v>
      </c>
      <c r="F479" s="273"/>
      <c r="G479" s="11"/>
      <c r="H479" s="11"/>
      <c r="I479" s="11"/>
      <c r="J479" s="11"/>
      <c r="K479" s="11"/>
      <c r="L479" s="11">
        <f>'Прил.№4 ведомств.'!G328</f>
        <v>300</v>
      </c>
      <c r="M479" s="11">
        <f>'Прил.№4 ведомств.'!H328</f>
        <v>264.6</v>
      </c>
      <c r="N479" s="7">
        <f t="shared" si="260"/>
        <v>88.20000000000002</v>
      </c>
    </row>
    <row r="480" spans="1:14" ht="31.5" hidden="1">
      <c r="A480" s="26" t="s">
        <v>170</v>
      </c>
      <c r="B480" s="21" t="s">
        <v>1024</v>
      </c>
      <c r="C480" s="42" t="s">
        <v>303</v>
      </c>
      <c r="D480" s="42" t="s">
        <v>254</v>
      </c>
      <c r="E480" s="42" t="s">
        <v>171</v>
      </c>
      <c r="F480" s="3"/>
      <c r="G480" s="11"/>
      <c r="H480" s="11"/>
      <c r="I480" s="11"/>
      <c r="J480" s="11"/>
      <c r="K480" s="11"/>
      <c r="L480" s="11">
        <f>L481</f>
        <v>0</v>
      </c>
      <c r="M480" s="11">
        <f aca="true" t="shared" si="268" ref="M480">M481</f>
        <v>0</v>
      </c>
      <c r="N480" s="7" t="e">
        <f t="shared" si="260"/>
        <v>#DIV/0!</v>
      </c>
    </row>
    <row r="481" spans="1:14" ht="31.5" hidden="1">
      <c r="A481" s="26" t="s">
        <v>172</v>
      </c>
      <c r="B481" s="21" t="s">
        <v>1024</v>
      </c>
      <c r="C481" s="42" t="s">
        <v>303</v>
      </c>
      <c r="D481" s="42" t="s">
        <v>254</v>
      </c>
      <c r="E481" s="42" t="s">
        <v>173</v>
      </c>
      <c r="F481" s="3"/>
      <c r="G481" s="11"/>
      <c r="H481" s="11"/>
      <c r="I481" s="11"/>
      <c r="J481" s="11"/>
      <c r="K481" s="11"/>
      <c r="L481" s="11">
        <f>'Прил.№4 ведомств.'!G330</f>
        <v>0</v>
      </c>
      <c r="M481" s="11">
        <f>'Прил.№4 ведомств.'!H330</f>
        <v>0</v>
      </c>
      <c r="N481" s="7" t="e">
        <f t="shared" si="260"/>
        <v>#DIV/0!</v>
      </c>
    </row>
    <row r="482" spans="1:14" ht="15.75">
      <c r="A482" s="26" t="s">
        <v>985</v>
      </c>
      <c r="B482" s="21" t="s">
        <v>986</v>
      </c>
      <c r="C482" s="42" t="s">
        <v>303</v>
      </c>
      <c r="D482" s="42" t="s">
        <v>254</v>
      </c>
      <c r="E482" s="42"/>
      <c r="F482" s="3"/>
      <c r="G482" s="11"/>
      <c r="H482" s="11"/>
      <c r="I482" s="11"/>
      <c r="J482" s="11"/>
      <c r="K482" s="11"/>
      <c r="L482" s="11">
        <f>L483+L485+L487</f>
        <v>15309</v>
      </c>
      <c r="M482" s="11">
        <f aca="true" t="shared" si="269" ref="M482">M483+M485+M487</f>
        <v>10382.7</v>
      </c>
      <c r="N482" s="7">
        <f t="shared" si="260"/>
        <v>67.82088967274153</v>
      </c>
    </row>
    <row r="483" spans="1:14" ht="78.75">
      <c r="A483" s="26" t="s">
        <v>166</v>
      </c>
      <c r="B483" s="21" t="s">
        <v>986</v>
      </c>
      <c r="C483" s="42" t="s">
        <v>303</v>
      </c>
      <c r="D483" s="42" t="s">
        <v>254</v>
      </c>
      <c r="E483" s="42" t="s">
        <v>167</v>
      </c>
      <c r="F483" s="3"/>
      <c r="G483" s="11"/>
      <c r="H483" s="11"/>
      <c r="I483" s="11"/>
      <c r="J483" s="11"/>
      <c r="K483" s="11"/>
      <c r="L483" s="11">
        <f>L484</f>
        <v>13271.6</v>
      </c>
      <c r="M483" s="11">
        <f aca="true" t="shared" si="270" ref="M483">M484</f>
        <v>9212.4</v>
      </c>
      <c r="N483" s="7">
        <f t="shared" si="260"/>
        <v>69.41438861930739</v>
      </c>
    </row>
    <row r="484" spans="1:14" ht="15.75">
      <c r="A484" s="48" t="s">
        <v>381</v>
      </c>
      <c r="B484" s="21" t="s">
        <v>986</v>
      </c>
      <c r="C484" s="42" t="s">
        <v>303</v>
      </c>
      <c r="D484" s="42" t="s">
        <v>254</v>
      </c>
      <c r="E484" s="42" t="s">
        <v>248</v>
      </c>
      <c r="F484" s="3"/>
      <c r="G484" s="11"/>
      <c r="H484" s="11"/>
      <c r="I484" s="11"/>
      <c r="J484" s="11"/>
      <c r="K484" s="11"/>
      <c r="L484" s="11">
        <f>'Прил.№4 ведомств.'!G333</f>
        <v>13271.6</v>
      </c>
      <c r="M484" s="11">
        <f>'Прил.№4 ведомств.'!H333</f>
        <v>9212.4</v>
      </c>
      <c r="N484" s="7">
        <f t="shared" si="260"/>
        <v>69.41438861930739</v>
      </c>
    </row>
    <row r="485" spans="1:14" ht="31.5">
      <c r="A485" s="26" t="s">
        <v>170</v>
      </c>
      <c r="B485" s="21" t="s">
        <v>986</v>
      </c>
      <c r="C485" s="42" t="s">
        <v>303</v>
      </c>
      <c r="D485" s="42" t="s">
        <v>254</v>
      </c>
      <c r="E485" s="42" t="s">
        <v>171</v>
      </c>
      <c r="F485" s="3"/>
      <c r="G485" s="11"/>
      <c r="H485" s="11"/>
      <c r="I485" s="11"/>
      <c r="J485" s="11"/>
      <c r="K485" s="11"/>
      <c r="L485" s="11">
        <f>L486</f>
        <v>1965.3</v>
      </c>
      <c r="M485" s="11">
        <f aca="true" t="shared" si="271" ref="M485">M486</f>
        <v>1131.6</v>
      </c>
      <c r="N485" s="7">
        <f t="shared" si="260"/>
        <v>57.57899557319492</v>
      </c>
    </row>
    <row r="486" spans="1:14" ht="31.5">
      <c r="A486" s="26" t="s">
        <v>172</v>
      </c>
      <c r="B486" s="21" t="s">
        <v>986</v>
      </c>
      <c r="C486" s="42" t="s">
        <v>303</v>
      </c>
      <c r="D486" s="42" t="s">
        <v>254</v>
      </c>
      <c r="E486" s="42" t="s">
        <v>173</v>
      </c>
      <c r="F486" s="3"/>
      <c r="G486" s="11"/>
      <c r="H486" s="11"/>
      <c r="I486" s="11"/>
      <c r="J486" s="11"/>
      <c r="K486" s="11"/>
      <c r="L486" s="11">
        <f>'Прил.№4 ведомств.'!G335</f>
        <v>1965.3</v>
      </c>
      <c r="M486" s="11">
        <f>'Прил.№4 ведомств.'!H335</f>
        <v>1131.6</v>
      </c>
      <c r="N486" s="7">
        <f t="shared" si="260"/>
        <v>57.57899557319492</v>
      </c>
    </row>
    <row r="487" spans="1:14" ht="15.75" customHeight="1">
      <c r="A487" s="26" t="s">
        <v>174</v>
      </c>
      <c r="B487" s="21" t="s">
        <v>986</v>
      </c>
      <c r="C487" s="42" t="s">
        <v>303</v>
      </c>
      <c r="D487" s="42" t="s">
        <v>254</v>
      </c>
      <c r="E487" s="42" t="s">
        <v>184</v>
      </c>
      <c r="F487" s="3"/>
      <c r="G487" s="11"/>
      <c r="H487" s="11"/>
      <c r="I487" s="11"/>
      <c r="J487" s="11"/>
      <c r="K487" s="11"/>
      <c r="L487" s="11">
        <f>L488</f>
        <v>72.1</v>
      </c>
      <c r="M487" s="11">
        <f aca="true" t="shared" si="272" ref="M487">M488</f>
        <v>38.7</v>
      </c>
      <c r="N487" s="7">
        <f t="shared" si="260"/>
        <v>53.67545076282941</v>
      </c>
    </row>
    <row r="488" spans="1:14" ht="15.75" customHeight="1">
      <c r="A488" s="26" t="s">
        <v>774</v>
      </c>
      <c r="B488" s="21" t="s">
        <v>986</v>
      </c>
      <c r="C488" s="42" t="s">
        <v>303</v>
      </c>
      <c r="D488" s="42" t="s">
        <v>254</v>
      </c>
      <c r="E488" s="42" t="s">
        <v>177</v>
      </c>
      <c r="F488" s="3"/>
      <c r="G488" s="11"/>
      <c r="H488" s="11"/>
      <c r="I488" s="11"/>
      <c r="J488" s="11"/>
      <c r="K488" s="11"/>
      <c r="L488" s="11">
        <f>'Прил.№4 ведомств.'!G337</f>
        <v>72.1</v>
      </c>
      <c r="M488" s="11">
        <f>'Прил.№4 ведомств.'!H337</f>
        <v>38.7</v>
      </c>
      <c r="N488" s="7">
        <f t="shared" si="260"/>
        <v>53.67545076282941</v>
      </c>
    </row>
    <row r="489" spans="1:14" ht="47.25">
      <c r="A489" s="47" t="s">
        <v>300</v>
      </c>
      <c r="B489" s="42" t="s">
        <v>308</v>
      </c>
      <c r="C489" s="42"/>
      <c r="D489" s="42"/>
      <c r="E489" s="42"/>
      <c r="F489" s="2">
        <v>903</v>
      </c>
      <c r="G489" s="11" t="e">
        <f aca="true" t="shared" si="273" ref="G489:L489">G444</f>
        <v>#REF!</v>
      </c>
      <c r="H489" s="11" t="e">
        <f t="shared" si="273"/>
        <v>#REF!</v>
      </c>
      <c r="I489" s="11" t="e">
        <f t="shared" si="273"/>
        <v>#REF!</v>
      </c>
      <c r="J489" s="11" t="e">
        <f t="shared" si="273"/>
        <v>#REF!</v>
      </c>
      <c r="K489" s="11" t="e">
        <f t="shared" si="273"/>
        <v>#REF!</v>
      </c>
      <c r="L489" s="11">
        <f t="shared" si="273"/>
        <v>15654</v>
      </c>
      <c r="M489" s="11">
        <f aca="true" t="shared" si="274" ref="M489">M444</f>
        <v>10674.900000000001</v>
      </c>
      <c r="N489" s="7">
        <f t="shared" si="260"/>
        <v>68.19279417401304</v>
      </c>
    </row>
    <row r="490" spans="1:14" s="1" customFormat="1" ht="59.25" customHeight="1">
      <c r="A490" s="43" t="s">
        <v>961</v>
      </c>
      <c r="B490" s="8" t="s">
        <v>363</v>
      </c>
      <c r="C490" s="83"/>
      <c r="D490" s="83"/>
      <c r="E490" s="83"/>
      <c r="F490" s="83"/>
      <c r="G490" s="68" t="e">
        <f>G501</f>
        <v>#REF!</v>
      </c>
      <c r="H490" s="68" t="e">
        <f>H501</f>
        <v>#REF!</v>
      </c>
      <c r="I490" s="68" t="e">
        <f>I501</f>
        <v>#REF!</v>
      </c>
      <c r="J490" s="68" t="e">
        <f>J501</f>
        <v>#REF!</v>
      </c>
      <c r="K490" s="68" t="e">
        <f>K501</f>
        <v>#REF!</v>
      </c>
      <c r="L490" s="68">
        <f>L491+L496</f>
        <v>847</v>
      </c>
      <c r="M490" s="68">
        <f aca="true" t="shared" si="275" ref="M490">M491+M496</f>
        <v>150</v>
      </c>
      <c r="N490" s="4">
        <f t="shared" si="260"/>
        <v>17.70956316410862</v>
      </c>
    </row>
    <row r="491" spans="1:14" s="1" customFormat="1" ht="15.75">
      <c r="A491" s="26" t="s">
        <v>302</v>
      </c>
      <c r="B491" s="42" t="s">
        <v>363</v>
      </c>
      <c r="C491" s="42" t="s">
        <v>303</v>
      </c>
      <c r="D491" s="83"/>
      <c r="E491" s="83"/>
      <c r="F491" s="83"/>
      <c r="G491" s="68"/>
      <c r="H491" s="68"/>
      <c r="I491" s="68"/>
      <c r="J491" s="68"/>
      <c r="K491" s="68"/>
      <c r="L491" s="11">
        <f>L492</f>
        <v>697</v>
      </c>
      <c r="M491" s="11">
        <f aca="true" t="shared" si="276" ref="M491:M494">M492</f>
        <v>0</v>
      </c>
      <c r="N491" s="7">
        <f t="shared" si="260"/>
        <v>0</v>
      </c>
    </row>
    <row r="492" spans="1:14" s="1" customFormat="1" ht="15.75">
      <c r="A492" s="26" t="s">
        <v>444</v>
      </c>
      <c r="B492" s="42" t="s">
        <v>363</v>
      </c>
      <c r="C492" s="42" t="s">
        <v>303</v>
      </c>
      <c r="D492" s="42" t="s">
        <v>157</v>
      </c>
      <c r="E492" s="83"/>
      <c r="F492" s="83"/>
      <c r="G492" s="68"/>
      <c r="H492" s="68"/>
      <c r="I492" s="68"/>
      <c r="J492" s="68"/>
      <c r="K492" s="68"/>
      <c r="L492" s="11">
        <f>L493</f>
        <v>697</v>
      </c>
      <c r="M492" s="11">
        <f t="shared" si="276"/>
        <v>0</v>
      </c>
      <c r="N492" s="7">
        <f t="shared" si="260"/>
        <v>0</v>
      </c>
    </row>
    <row r="493" spans="1:14" s="1" customFormat="1" ht="47.25">
      <c r="A493" s="33" t="s">
        <v>364</v>
      </c>
      <c r="B493" s="21" t="s">
        <v>365</v>
      </c>
      <c r="C493" s="42" t="s">
        <v>303</v>
      </c>
      <c r="D493" s="42" t="s">
        <v>157</v>
      </c>
      <c r="E493" s="83"/>
      <c r="F493" s="83"/>
      <c r="G493" s="68"/>
      <c r="H493" s="68"/>
      <c r="I493" s="68"/>
      <c r="J493" s="68"/>
      <c r="K493" s="68"/>
      <c r="L493" s="11">
        <f>L494</f>
        <v>697</v>
      </c>
      <c r="M493" s="11">
        <f t="shared" si="276"/>
        <v>0</v>
      </c>
      <c r="N493" s="7">
        <f t="shared" si="260"/>
        <v>0</v>
      </c>
    </row>
    <row r="494" spans="1:14" s="1" customFormat="1" ht="31.5">
      <c r="A494" s="33" t="s">
        <v>311</v>
      </c>
      <c r="B494" s="21" t="s">
        <v>365</v>
      </c>
      <c r="C494" s="42" t="s">
        <v>303</v>
      </c>
      <c r="D494" s="42" t="s">
        <v>157</v>
      </c>
      <c r="E494" s="42" t="s">
        <v>312</v>
      </c>
      <c r="F494" s="83"/>
      <c r="G494" s="68"/>
      <c r="H494" s="68"/>
      <c r="I494" s="68"/>
      <c r="J494" s="68"/>
      <c r="K494" s="68"/>
      <c r="L494" s="11">
        <f>L495</f>
        <v>697</v>
      </c>
      <c r="M494" s="11">
        <f t="shared" si="276"/>
        <v>0</v>
      </c>
      <c r="N494" s="7">
        <f t="shared" si="260"/>
        <v>0</v>
      </c>
    </row>
    <row r="495" spans="1:14" s="1" customFormat="1" ht="15.75">
      <c r="A495" s="33" t="s">
        <v>313</v>
      </c>
      <c r="B495" s="21" t="s">
        <v>365</v>
      </c>
      <c r="C495" s="42" t="s">
        <v>303</v>
      </c>
      <c r="D495" s="42" t="s">
        <v>157</v>
      </c>
      <c r="E495" s="42" t="s">
        <v>314</v>
      </c>
      <c r="F495" s="83"/>
      <c r="G495" s="68"/>
      <c r="H495" s="68"/>
      <c r="I495" s="68"/>
      <c r="J495" s="68"/>
      <c r="K495" s="68"/>
      <c r="L495" s="11">
        <f>'Прил.№4 ведомств.'!G717</f>
        <v>697</v>
      </c>
      <c r="M495" s="11">
        <f>'Прил.№4 ведомств.'!H717</f>
        <v>0</v>
      </c>
      <c r="N495" s="7">
        <f t="shared" si="260"/>
        <v>0</v>
      </c>
    </row>
    <row r="496" spans="1:14" s="1" customFormat="1" ht="15.75">
      <c r="A496" s="31" t="s">
        <v>465</v>
      </c>
      <c r="B496" s="42" t="s">
        <v>363</v>
      </c>
      <c r="C496" s="42" t="s">
        <v>303</v>
      </c>
      <c r="D496" s="42" t="s">
        <v>252</v>
      </c>
      <c r="E496" s="42"/>
      <c r="F496" s="83"/>
      <c r="G496" s="68"/>
      <c r="H496" s="68"/>
      <c r="I496" s="68"/>
      <c r="J496" s="68"/>
      <c r="K496" s="68"/>
      <c r="L496" s="11">
        <f>L497</f>
        <v>150</v>
      </c>
      <c r="M496" s="11">
        <f aca="true" t="shared" si="277" ref="M496:M498">M497</f>
        <v>150</v>
      </c>
      <c r="N496" s="7">
        <f t="shared" si="260"/>
        <v>100</v>
      </c>
    </row>
    <row r="497" spans="1:14" s="1" customFormat="1" ht="47.25">
      <c r="A497" s="33" t="s">
        <v>364</v>
      </c>
      <c r="B497" s="21" t="s">
        <v>365</v>
      </c>
      <c r="C497" s="42" t="s">
        <v>303</v>
      </c>
      <c r="D497" s="42" t="s">
        <v>252</v>
      </c>
      <c r="E497" s="42"/>
      <c r="F497" s="83"/>
      <c r="G497" s="68"/>
      <c r="H497" s="68"/>
      <c r="I497" s="68"/>
      <c r="J497" s="68"/>
      <c r="K497" s="68"/>
      <c r="L497" s="11">
        <f>L498</f>
        <v>150</v>
      </c>
      <c r="M497" s="11">
        <f t="shared" si="277"/>
        <v>150</v>
      </c>
      <c r="N497" s="7">
        <f t="shared" si="260"/>
        <v>100</v>
      </c>
    </row>
    <row r="498" spans="1:14" s="1" customFormat="1" ht="31.5">
      <c r="A498" s="33" t="s">
        <v>311</v>
      </c>
      <c r="B498" s="21" t="s">
        <v>365</v>
      </c>
      <c r="C498" s="42" t="s">
        <v>303</v>
      </c>
      <c r="D498" s="42" t="s">
        <v>252</v>
      </c>
      <c r="E498" s="42" t="s">
        <v>312</v>
      </c>
      <c r="F498" s="83"/>
      <c r="G498" s="68"/>
      <c r="H498" s="68"/>
      <c r="I498" s="68"/>
      <c r="J498" s="68"/>
      <c r="K498" s="68"/>
      <c r="L498" s="11">
        <f>L499</f>
        <v>150</v>
      </c>
      <c r="M498" s="11">
        <f t="shared" si="277"/>
        <v>150</v>
      </c>
      <c r="N498" s="7">
        <f t="shared" si="260"/>
        <v>100</v>
      </c>
    </row>
    <row r="499" spans="1:14" s="1" customFormat="1" ht="15.75">
      <c r="A499" s="33" t="s">
        <v>313</v>
      </c>
      <c r="B499" s="21" t="s">
        <v>365</v>
      </c>
      <c r="C499" s="42" t="s">
        <v>303</v>
      </c>
      <c r="D499" s="42" t="s">
        <v>252</v>
      </c>
      <c r="E499" s="42" t="s">
        <v>314</v>
      </c>
      <c r="F499" s="83"/>
      <c r="G499" s="68"/>
      <c r="H499" s="68"/>
      <c r="I499" s="68"/>
      <c r="J499" s="68"/>
      <c r="K499" s="68"/>
      <c r="L499" s="11">
        <f>'Прил.№4 ведомств.'!G788</f>
        <v>150</v>
      </c>
      <c r="M499" s="11">
        <f>'Прил.№4 ведомств.'!H788</f>
        <v>150</v>
      </c>
      <c r="N499" s="7">
        <f t="shared" si="260"/>
        <v>100</v>
      </c>
    </row>
    <row r="500" spans="1:14" s="1" customFormat="1" ht="31.5">
      <c r="A500" s="33" t="s">
        <v>443</v>
      </c>
      <c r="B500" s="21" t="s">
        <v>363</v>
      </c>
      <c r="C500" s="42"/>
      <c r="D500" s="42"/>
      <c r="E500" s="42"/>
      <c r="F500" s="2">
        <v>906</v>
      </c>
      <c r="G500" s="68"/>
      <c r="H500" s="68"/>
      <c r="I500" s="68"/>
      <c r="J500" s="68"/>
      <c r="K500" s="68"/>
      <c r="L500" s="11">
        <f>L490</f>
        <v>847</v>
      </c>
      <c r="M500" s="11">
        <f aca="true" t="shared" si="278" ref="M500">M490</f>
        <v>150</v>
      </c>
      <c r="N500" s="7">
        <f t="shared" si="260"/>
        <v>17.70956316410862</v>
      </c>
    </row>
    <row r="501" spans="1:14" s="1" customFormat="1" ht="15.75" customHeight="1" hidden="1">
      <c r="A501" s="84" t="s">
        <v>530</v>
      </c>
      <c r="B501" s="42" t="s">
        <v>363</v>
      </c>
      <c r="C501" s="42" t="s">
        <v>531</v>
      </c>
      <c r="D501" s="84"/>
      <c r="E501" s="84"/>
      <c r="F501" s="84"/>
      <c r="G501" s="11" t="e">
        <f aca="true" t="shared" si="279" ref="G501:M504">G502</f>
        <v>#REF!</v>
      </c>
      <c r="H501" s="11" t="e">
        <f t="shared" si="279"/>
        <v>#REF!</v>
      </c>
      <c r="I501" s="11" t="e">
        <f t="shared" si="279"/>
        <v>#REF!</v>
      </c>
      <c r="J501" s="11" t="e">
        <f t="shared" si="279"/>
        <v>#REF!</v>
      </c>
      <c r="K501" s="11" t="e">
        <f t="shared" si="279"/>
        <v>#REF!</v>
      </c>
      <c r="L501" s="11">
        <f t="shared" si="279"/>
        <v>0</v>
      </c>
      <c r="M501" s="11">
        <f t="shared" si="279"/>
        <v>0</v>
      </c>
      <c r="N501" s="7" t="e">
        <f t="shared" si="260"/>
        <v>#DIV/0!</v>
      </c>
    </row>
    <row r="502" spans="1:14" s="1" customFormat="1" ht="15.75" customHeight="1" hidden="1">
      <c r="A502" s="84" t="s">
        <v>532</v>
      </c>
      <c r="B502" s="42" t="s">
        <v>363</v>
      </c>
      <c r="C502" s="42" t="s">
        <v>531</v>
      </c>
      <c r="D502" s="42" t="s">
        <v>157</v>
      </c>
      <c r="E502" s="84"/>
      <c r="F502" s="84"/>
      <c r="G502" s="11" t="e">
        <f>G503</f>
        <v>#REF!</v>
      </c>
      <c r="H502" s="11" t="e">
        <f aca="true" t="shared" si="280" ref="H502:K503">H503</f>
        <v>#REF!</v>
      </c>
      <c r="I502" s="11" t="e">
        <f t="shared" si="280"/>
        <v>#REF!</v>
      </c>
      <c r="J502" s="11" t="e">
        <f t="shared" si="280"/>
        <v>#REF!</v>
      </c>
      <c r="K502" s="11" t="e">
        <f t="shared" si="280"/>
        <v>#REF!</v>
      </c>
      <c r="L502" s="11">
        <f>L503</f>
        <v>0</v>
      </c>
      <c r="M502" s="11">
        <f t="shared" si="279"/>
        <v>0</v>
      </c>
      <c r="N502" s="7" t="e">
        <f t="shared" si="260"/>
        <v>#DIV/0!</v>
      </c>
    </row>
    <row r="503" spans="1:14" s="1" customFormat="1" ht="47.25" customHeight="1" hidden="1">
      <c r="A503" s="33" t="s">
        <v>364</v>
      </c>
      <c r="B503" s="42" t="s">
        <v>365</v>
      </c>
      <c r="C503" s="42" t="s">
        <v>531</v>
      </c>
      <c r="D503" s="42" t="s">
        <v>157</v>
      </c>
      <c r="E503" s="84"/>
      <c r="F503" s="84"/>
      <c r="G503" s="11" t="e">
        <f>G504</f>
        <v>#REF!</v>
      </c>
      <c r="H503" s="11" t="e">
        <f t="shared" si="280"/>
        <v>#REF!</v>
      </c>
      <c r="I503" s="11" t="e">
        <f t="shared" si="280"/>
        <v>#REF!</v>
      </c>
      <c r="J503" s="11" t="e">
        <f t="shared" si="280"/>
        <v>#REF!</v>
      </c>
      <c r="K503" s="11" t="e">
        <f t="shared" si="280"/>
        <v>#REF!</v>
      </c>
      <c r="L503" s="11">
        <f>L504</f>
        <v>0</v>
      </c>
      <c r="M503" s="11">
        <f t="shared" si="279"/>
        <v>0</v>
      </c>
      <c r="N503" s="7" t="e">
        <f t="shared" si="260"/>
        <v>#DIV/0!</v>
      </c>
    </row>
    <row r="504" spans="1:14" s="1" customFormat="1" ht="31.5" customHeight="1" hidden="1">
      <c r="A504" s="26" t="s">
        <v>311</v>
      </c>
      <c r="B504" s="42" t="s">
        <v>365</v>
      </c>
      <c r="C504" s="42" t="s">
        <v>531</v>
      </c>
      <c r="D504" s="42" t="s">
        <v>157</v>
      </c>
      <c r="E504" s="42" t="s">
        <v>312</v>
      </c>
      <c r="F504" s="84"/>
      <c r="G504" s="11" t="e">
        <f>G505</f>
        <v>#REF!</v>
      </c>
      <c r="H504" s="11" t="e">
        <f>H505</f>
        <v>#REF!</v>
      </c>
      <c r="I504" s="11" t="e">
        <f>I505</f>
        <v>#REF!</v>
      </c>
      <c r="J504" s="11" t="e">
        <f>J505</f>
        <v>#REF!</v>
      </c>
      <c r="K504" s="11" t="e">
        <f>K505</f>
        <v>#REF!</v>
      </c>
      <c r="L504" s="11">
        <f>L505</f>
        <v>0</v>
      </c>
      <c r="M504" s="11">
        <f t="shared" si="279"/>
        <v>0</v>
      </c>
      <c r="N504" s="7" t="e">
        <f t="shared" si="260"/>
        <v>#DIV/0!</v>
      </c>
    </row>
    <row r="505" spans="1:14" s="1" customFormat="1" ht="15.75" customHeight="1" hidden="1">
      <c r="A505" s="26" t="s">
        <v>313</v>
      </c>
      <c r="B505" s="42" t="s">
        <v>365</v>
      </c>
      <c r="C505" s="42" t="s">
        <v>531</v>
      </c>
      <c r="D505" s="42" t="s">
        <v>157</v>
      </c>
      <c r="E505" s="42" t="s">
        <v>314</v>
      </c>
      <c r="F505" s="84"/>
      <c r="G505" s="11" t="e">
        <f>#REF!</f>
        <v>#REF!</v>
      </c>
      <c r="H505" s="11" t="e">
        <f>#REF!</f>
        <v>#REF!</v>
      </c>
      <c r="I505" s="11" t="e">
        <f>#REF!</f>
        <v>#REF!</v>
      </c>
      <c r="J505" s="11" t="e">
        <f>#REF!</f>
        <v>#REF!</v>
      </c>
      <c r="K505" s="11" t="e">
        <f>#REF!</f>
        <v>#REF!</v>
      </c>
      <c r="L505" s="11"/>
      <c r="M505" s="11"/>
      <c r="N505" s="7" t="e">
        <f t="shared" si="260"/>
        <v>#DIV/0!</v>
      </c>
    </row>
    <row r="506" spans="1:14" s="1" customFormat="1" ht="31.5" customHeight="1" hidden="1">
      <c r="A506" s="47" t="s">
        <v>520</v>
      </c>
      <c r="B506" s="42" t="s">
        <v>363</v>
      </c>
      <c r="C506" s="42"/>
      <c r="D506" s="42"/>
      <c r="E506" s="84"/>
      <c r="F506" s="2">
        <v>907</v>
      </c>
      <c r="G506" s="11" t="e">
        <f>G490</f>
        <v>#REF!</v>
      </c>
      <c r="H506" s="11" t="e">
        <f>H490</f>
        <v>#REF!</v>
      </c>
      <c r="I506" s="11" t="e">
        <f>I490</f>
        <v>#REF!</v>
      </c>
      <c r="J506" s="11" t="e">
        <f>J490</f>
        <v>#REF!</v>
      </c>
      <c r="K506" s="11" t="e">
        <f>K490</f>
        <v>#REF!</v>
      </c>
      <c r="L506" s="11">
        <f>L502</f>
        <v>0</v>
      </c>
      <c r="M506" s="11">
        <f aca="true" t="shared" si="281" ref="M506">M502</f>
        <v>0</v>
      </c>
      <c r="N506" s="7" t="e">
        <f t="shared" si="260"/>
        <v>#DIV/0!</v>
      </c>
    </row>
    <row r="507" spans="1:14" ht="47.25">
      <c r="A507" s="43" t="s">
        <v>582</v>
      </c>
      <c r="B507" s="8" t="s">
        <v>583</v>
      </c>
      <c r="C507" s="2"/>
      <c r="D507" s="2"/>
      <c r="E507" s="2"/>
      <c r="F507" s="2"/>
      <c r="G507" s="68" t="e">
        <f aca="true" t="shared" si="282" ref="G507:L507">G508+G526</f>
        <v>#REF!</v>
      </c>
      <c r="H507" s="68" t="e">
        <f t="shared" si="282"/>
        <v>#REF!</v>
      </c>
      <c r="I507" s="68" t="e">
        <f t="shared" si="282"/>
        <v>#REF!</v>
      </c>
      <c r="J507" s="68" t="e">
        <f t="shared" si="282"/>
        <v>#REF!</v>
      </c>
      <c r="K507" s="68" t="e">
        <f t="shared" si="282"/>
        <v>#REF!</v>
      </c>
      <c r="L507" s="68">
        <f t="shared" si="282"/>
        <v>3201.3699999999994</v>
      </c>
      <c r="M507" s="68">
        <f aca="true" t="shared" si="283" ref="M507">M508+M526</f>
        <v>1768.2</v>
      </c>
      <c r="N507" s="4">
        <f t="shared" si="260"/>
        <v>55.23260354160876</v>
      </c>
    </row>
    <row r="508" spans="1:14" ht="47.25">
      <c r="A508" s="43" t="s">
        <v>584</v>
      </c>
      <c r="B508" s="8" t="s">
        <v>585</v>
      </c>
      <c r="C508" s="8"/>
      <c r="D508" s="8"/>
      <c r="E508" s="3"/>
      <c r="F508" s="3"/>
      <c r="G508" s="68" t="e">
        <f>G509</f>
        <v>#REF!</v>
      </c>
      <c r="H508" s="68" t="e">
        <f aca="true" t="shared" si="284" ref="H508:M509">H509</f>
        <v>#REF!</v>
      </c>
      <c r="I508" s="68" t="e">
        <f t="shared" si="284"/>
        <v>#REF!</v>
      </c>
      <c r="J508" s="68" t="e">
        <f t="shared" si="284"/>
        <v>#REF!</v>
      </c>
      <c r="K508" s="68" t="e">
        <f t="shared" si="284"/>
        <v>#REF!</v>
      </c>
      <c r="L508" s="68">
        <f t="shared" si="284"/>
        <v>2478.8699999999994</v>
      </c>
      <c r="M508" s="68">
        <f t="shared" si="284"/>
        <v>1133</v>
      </c>
      <c r="N508" s="4">
        <f t="shared" si="260"/>
        <v>45.70630972983659</v>
      </c>
    </row>
    <row r="509" spans="1:14" ht="15.75">
      <c r="A509" s="84" t="s">
        <v>430</v>
      </c>
      <c r="B509" s="42" t="s">
        <v>585</v>
      </c>
      <c r="C509" s="42" t="s">
        <v>273</v>
      </c>
      <c r="D509" s="42"/>
      <c r="E509" s="2"/>
      <c r="F509" s="2"/>
      <c r="G509" s="11" t="e">
        <f>G510</f>
        <v>#REF!</v>
      </c>
      <c r="H509" s="11" t="e">
        <f t="shared" si="284"/>
        <v>#REF!</v>
      </c>
      <c r="I509" s="11" t="e">
        <f t="shared" si="284"/>
        <v>#REF!</v>
      </c>
      <c r="J509" s="11" t="e">
        <f t="shared" si="284"/>
        <v>#REF!</v>
      </c>
      <c r="K509" s="11" t="e">
        <f t="shared" si="284"/>
        <v>#REF!</v>
      </c>
      <c r="L509" s="11">
        <f t="shared" si="284"/>
        <v>2478.8699999999994</v>
      </c>
      <c r="M509" s="11">
        <f t="shared" si="284"/>
        <v>1133</v>
      </c>
      <c r="N509" s="7">
        <f t="shared" si="260"/>
        <v>45.70630972983659</v>
      </c>
    </row>
    <row r="510" spans="1:14" ht="15.75">
      <c r="A510" s="84" t="s">
        <v>581</v>
      </c>
      <c r="B510" s="42" t="s">
        <v>585</v>
      </c>
      <c r="C510" s="42" t="s">
        <v>273</v>
      </c>
      <c r="D510" s="42" t="s">
        <v>254</v>
      </c>
      <c r="E510" s="2"/>
      <c r="F510" s="2"/>
      <c r="G510" s="11" t="e">
        <f>G511+G514+G519</f>
        <v>#REF!</v>
      </c>
      <c r="H510" s="11" t="e">
        <f>H511+H514+H519</f>
        <v>#REF!</v>
      </c>
      <c r="I510" s="11" t="e">
        <f>I511+I514+I519</f>
        <v>#REF!</v>
      </c>
      <c r="J510" s="11" t="e">
        <f>J511+J514+J519</f>
        <v>#REF!</v>
      </c>
      <c r="K510" s="11" t="e">
        <f>K511+K514+K519</f>
        <v>#REF!</v>
      </c>
      <c r="L510" s="11">
        <f>L511+L514+L519+L522</f>
        <v>2478.8699999999994</v>
      </c>
      <c r="M510" s="11">
        <f aca="true" t="shared" si="285" ref="M510">M511+M514+M519+M522</f>
        <v>1133</v>
      </c>
      <c r="N510" s="7">
        <f t="shared" si="260"/>
        <v>45.70630972983659</v>
      </c>
    </row>
    <row r="511" spans="1:14" ht="15.75" customHeight="1" hidden="1">
      <c r="A511" s="26" t="s">
        <v>586</v>
      </c>
      <c r="B511" s="21" t="s">
        <v>587</v>
      </c>
      <c r="C511" s="42" t="s">
        <v>273</v>
      </c>
      <c r="D511" s="42" t="s">
        <v>254</v>
      </c>
      <c r="E511" s="2"/>
      <c r="F511" s="2"/>
      <c r="G511" s="11" t="e">
        <f>G512</f>
        <v>#REF!</v>
      </c>
      <c r="H511" s="11" t="e">
        <f aca="true" t="shared" si="286" ref="H511:M512">H512</f>
        <v>#REF!</v>
      </c>
      <c r="I511" s="11" t="e">
        <f t="shared" si="286"/>
        <v>#REF!</v>
      </c>
      <c r="J511" s="11" t="e">
        <f t="shared" si="286"/>
        <v>#REF!</v>
      </c>
      <c r="K511" s="11" t="e">
        <f t="shared" si="286"/>
        <v>#REF!</v>
      </c>
      <c r="L511" s="11">
        <f t="shared" si="286"/>
        <v>100</v>
      </c>
      <c r="M511" s="11">
        <f t="shared" si="286"/>
        <v>0</v>
      </c>
      <c r="N511" s="7">
        <f t="shared" si="260"/>
        <v>0</v>
      </c>
    </row>
    <row r="512" spans="1:14" ht="51" customHeight="1" hidden="1">
      <c r="A512" s="26" t="s">
        <v>170</v>
      </c>
      <c r="B512" s="21" t="s">
        <v>587</v>
      </c>
      <c r="C512" s="42" t="s">
        <v>273</v>
      </c>
      <c r="D512" s="42" t="s">
        <v>254</v>
      </c>
      <c r="E512" s="2">
        <v>200</v>
      </c>
      <c r="F512" s="2"/>
      <c r="G512" s="11" t="e">
        <f>G513</f>
        <v>#REF!</v>
      </c>
      <c r="H512" s="11" t="e">
        <f t="shared" si="286"/>
        <v>#REF!</v>
      </c>
      <c r="I512" s="11" t="e">
        <f t="shared" si="286"/>
        <v>#REF!</v>
      </c>
      <c r="J512" s="11" t="e">
        <f t="shared" si="286"/>
        <v>#REF!</v>
      </c>
      <c r="K512" s="11" t="e">
        <f t="shared" si="286"/>
        <v>#REF!</v>
      </c>
      <c r="L512" s="11">
        <f t="shared" si="286"/>
        <v>100</v>
      </c>
      <c r="M512" s="11">
        <f t="shared" si="286"/>
        <v>0</v>
      </c>
      <c r="N512" s="7">
        <f t="shared" si="260"/>
        <v>0</v>
      </c>
    </row>
    <row r="513" spans="1:14" ht="31.5" customHeight="1" hidden="1">
      <c r="A513" s="26" t="s">
        <v>172</v>
      </c>
      <c r="B513" s="21" t="s">
        <v>587</v>
      </c>
      <c r="C513" s="42" t="s">
        <v>273</v>
      </c>
      <c r="D513" s="42" t="s">
        <v>254</v>
      </c>
      <c r="E513" s="2">
        <v>240</v>
      </c>
      <c r="F513" s="2"/>
      <c r="G513" s="11" t="e">
        <f>#REF!</f>
        <v>#REF!</v>
      </c>
      <c r="H513" s="11" t="e">
        <f>#REF!</f>
        <v>#REF!</v>
      </c>
      <c r="I513" s="11" t="e">
        <f>#REF!</f>
        <v>#REF!</v>
      </c>
      <c r="J513" s="11" t="e">
        <f>#REF!</f>
        <v>#REF!</v>
      </c>
      <c r="K513" s="11" t="e">
        <f>#REF!</f>
        <v>#REF!</v>
      </c>
      <c r="L513" s="11">
        <f>'Прил.№4 ведомств.'!G1140</f>
        <v>100</v>
      </c>
      <c r="M513" s="11">
        <f>'Прил.№4 ведомств.'!H1140</f>
        <v>0</v>
      </c>
      <c r="N513" s="7">
        <f t="shared" si="260"/>
        <v>0</v>
      </c>
    </row>
    <row r="514" spans="1:14" ht="31.5" customHeight="1">
      <c r="A514" s="26" t="s">
        <v>588</v>
      </c>
      <c r="B514" s="21" t="s">
        <v>589</v>
      </c>
      <c r="C514" s="42" t="s">
        <v>273</v>
      </c>
      <c r="D514" s="42" t="s">
        <v>254</v>
      </c>
      <c r="E514" s="2"/>
      <c r="F514" s="2"/>
      <c r="G514" s="11" t="e">
        <f>G515</f>
        <v>#REF!</v>
      </c>
      <c r="H514" s="11" t="e">
        <f aca="true" t="shared" si="287" ref="H514:M515">H515</f>
        <v>#REF!</v>
      </c>
      <c r="I514" s="11" t="e">
        <f t="shared" si="287"/>
        <v>#REF!</v>
      </c>
      <c r="J514" s="11" t="e">
        <f t="shared" si="287"/>
        <v>#REF!</v>
      </c>
      <c r="K514" s="11" t="e">
        <f t="shared" si="287"/>
        <v>#REF!</v>
      </c>
      <c r="L514" s="11">
        <f>L515+L517</f>
        <v>602</v>
      </c>
      <c r="M514" s="11">
        <f aca="true" t="shared" si="288" ref="M514">M515+M517</f>
        <v>481.7</v>
      </c>
      <c r="N514" s="7">
        <f t="shared" si="260"/>
        <v>80.01661129568106</v>
      </c>
    </row>
    <row r="515" spans="1:14" ht="31.5">
      <c r="A515" s="26" t="s">
        <v>170</v>
      </c>
      <c r="B515" s="21" t="s">
        <v>589</v>
      </c>
      <c r="C515" s="42" t="s">
        <v>273</v>
      </c>
      <c r="D515" s="42" t="s">
        <v>254</v>
      </c>
      <c r="E515" s="2">
        <v>200</v>
      </c>
      <c r="F515" s="2"/>
      <c r="G515" s="11" t="e">
        <f>G516</f>
        <v>#REF!</v>
      </c>
      <c r="H515" s="11" t="e">
        <f t="shared" si="287"/>
        <v>#REF!</v>
      </c>
      <c r="I515" s="11" t="e">
        <f t="shared" si="287"/>
        <v>#REF!</v>
      </c>
      <c r="J515" s="11" t="e">
        <f t="shared" si="287"/>
        <v>#REF!</v>
      </c>
      <c r="K515" s="11" t="e">
        <f t="shared" si="287"/>
        <v>#REF!</v>
      </c>
      <c r="L515" s="11">
        <f t="shared" si="287"/>
        <v>560.7</v>
      </c>
      <c r="M515" s="11">
        <f t="shared" si="287"/>
        <v>440.5</v>
      </c>
      <c r="N515" s="7">
        <f t="shared" si="260"/>
        <v>78.5625111467808</v>
      </c>
    </row>
    <row r="516" spans="1:14" ht="31.5">
      <c r="A516" s="26" t="s">
        <v>172</v>
      </c>
      <c r="B516" s="21" t="s">
        <v>589</v>
      </c>
      <c r="C516" s="42" t="s">
        <v>273</v>
      </c>
      <c r="D516" s="42" t="s">
        <v>254</v>
      </c>
      <c r="E516" s="2">
        <v>240</v>
      </c>
      <c r="F516" s="2"/>
      <c r="G516" s="11" t="e">
        <f>#REF!</f>
        <v>#REF!</v>
      </c>
      <c r="H516" s="11" t="e">
        <f>#REF!</f>
        <v>#REF!</v>
      </c>
      <c r="I516" s="11" t="e">
        <f>#REF!</f>
        <v>#REF!</v>
      </c>
      <c r="J516" s="11" t="e">
        <f>#REF!</f>
        <v>#REF!</v>
      </c>
      <c r="K516" s="11" t="e">
        <f>#REF!</f>
        <v>#REF!</v>
      </c>
      <c r="L516" s="11">
        <f>'Прил.№4 ведомств.'!G1143</f>
        <v>560.7</v>
      </c>
      <c r="M516" s="11">
        <f>'Прил.№4 ведомств.'!H1143</f>
        <v>440.5</v>
      </c>
      <c r="N516" s="7">
        <f t="shared" si="260"/>
        <v>78.5625111467808</v>
      </c>
    </row>
    <row r="517" spans="1:14" ht="15.75">
      <c r="A517" s="26" t="s">
        <v>174</v>
      </c>
      <c r="B517" s="21" t="s">
        <v>589</v>
      </c>
      <c r="C517" s="42" t="s">
        <v>273</v>
      </c>
      <c r="D517" s="42" t="s">
        <v>254</v>
      </c>
      <c r="E517" s="2">
        <v>800</v>
      </c>
      <c r="F517" s="2"/>
      <c r="G517" s="11"/>
      <c r="H517" s="11"/>
      <c r="I517" s="11"/>
      <c r="J517" s="11"/>
      <c r="K517" s="11"/>
      <c r="L517" s="11">
        <f>L518</f>
        <v>41.3</v>
      </c>
      <c r="M517" s="11">
        <f aca="true" t="shared" si="289" ref="M517">M518</f>
        <v>41.2</v>
      </c>
      <c r="N517" s="7">
        <f t="shared" si="260"/>
        <v>99.75786924939469</v>
      </c>
    </row>
    <row r="518" spans="1:14" ht="15.75">
      <c r="A518" s="26" t="s">
        <v>185</v>
      </c>
      <c r="B518" s="21" t="s">
        <v>589</v>
      </c>
      <c r="C518" s="42" t="s">
        <v>273</v>
      </c>
      <c r="D518" s="42" t="s">
        <v>254</v>
      </c>
      <c r="E518" s="2">
        <v>830</v>
      </c>
      <c r="F518" s="2"/>
      <c r="G518" s="11"/>
      <c r="H518" s="11"/>
      <c r="I518" s="11"/>
      <c r="J518" s="11"/>
      <c r="K518" s="11"/>
      <c r="L518" s="11">
        <f>'Прил.№4 ведомств.'!G1145</f>
        <v>41.3</v>
      </c>
      <c r="M518" s="11">
        <f>'Прил.№4 ведомств.'!H1145</f>
        <v>41.2</v>
      </c>
      <c r="N518" s="7">
        <f t="shared" si="260"/>
        <v>99.75786924939469</v>
      </c>
    </row>
    <row r="519" spans="1:14" ht="15.75">
      <c r="A519" s="26" t="s">
        <v>590</v>
      </c>
      <c r="B519" s="21" t="s">
        <v>591</v>
      </c>
      <c r="C519" s="42" t="s">
        <v>273</v>
      </c>
      <c r="D519" s="42" t="s">
        <v>254</v>
      </c>
      <c r="E519" s="2"/>
      <c r="F519" s="2"/>
      <c r="G519" s="11" t="e">
        <f>G520</f>
        <v>#REF!</v>
      </c>
      <c r="H519" s="11" t="e">
        <f aca="true" t="shared" si="290" ref="H519:M520">H520</f>
        <v>#REF!</v>
      </c>
      <c r="I519" s="11" t="e">
        <f t="shared" si="290"/>
        <v>#REF!</v>
      </c>
      <c r="J519" s="11" t="e">
        <f t="shared" si="290"/>
        <v>#REF!</v>
      </c>
      <c r="K519" s="11" t="e">
        <f t="shared" si="290"/>
        <v>#REF!</v>
      </c>
      <c r="L519" s="11">
        <f t="shared" si="290"/>
        <v>1776.8699999999994</v>
      </c>
      <c r="M519" s="11">
        <f t="shared" si="290"/>
        <v>651.3</v>
      </c>
      <c r="N519" s="7">
        <f t="shared" si="260"/>
        <v>36.65434162319135</v>
      </c>
    </row>
    <row r="520" spans="1:14" ht="31.5">
      <c r="A520" s="26" t="s">
        <v>170</v>
      </c>
      <c r="B520" s="21" t="s">
        <v>591</v>
      </c>
      <c r="C520" s="42" t="s">
        <v>273</v>
      </c>
      <c r="D520" s="42" t="s">
        <v>254</v>
      </c>
      <c r="E520" s="2">
        <v>200</v>
      </c>
      <c r="F520" s="2"/>
      <c r="G520" s="11" t="e">
        <f>G521</f>
        <v>#REF!</v>
      </c>
      <c r="H520" s="11" t="e">
        <f t="shared" si="290"/>
        <v>#REF!</v>
      </c>
      <c r="I520" s="11" t="e">
        <f t="shared" si="290"/>
        <v>#REF!</v>
      </c>
      <c r="J520" s="11" t="e">
        <f t="shared" si="290"/>
        <v>#REF!</v>
      </c>
      <c r="K520" s="11" t="e">
        <f t="shared" si="290"/>
        <v>#REF!</v>
      </c>
      <c r="L520" s="11">
        <f t="shared" si="290"/>
        <v>1776.8699999999994</v>
      </c>
      <c r="M520" s="11">
        <f t="shared" si="290"/>
        <v>651.3</v>
      </c>
      <c r="N520" s="7">
        <f t="shared" si="260"/>
        <v>36.65434162319135</v>
      </c>
    </row>
    <row r="521" spans="1:14" ht="31.5">
      <c r="A521" s="26" t="s">
        <v>172</v>
      </c>
      <c r="B521" s="21" t="s">
        <v>591</v>
      </c>
      <c r="C521" s="42" t="s">
        <v>273</v>
      </c>
      <c r="D521" s="42" t="s">
        <v>254</v>
      </c>
      <c r="E521" s="2">
        <v>240</v>
      </c>
      <c r="F521" s="2"/>
      <c r="G521" s="11" t="e">
        <f>#REF!</f>
        <v>#REF!</v>
      </c>
      <c r="H521" s="11" t="e">
        <f>#REF!</f>
        <v>#REF!</v>
      </c>
      <c r="I521" s="11" t="e">
        <f>#REF!</f>
        <v>#REF!</v>
      </c>
      <c r="J521" s="11" t="e">
        <f>#REF!</f>
        <v>#REF!</v>
      </c>
      <c r="K521" s="11" t="e">
        <f>#REF!</f>
        <v>#REF!</v>
      </c>
      <c r="L521" s="11">
        <f>'Прил.№4 ведомств.'!G1148</f>
        <v>1776.8699999999994</v>
      </c>
      <c r="M521" s="11">
        <f>'Прил.№4 ведомств.'!H1148</f>
        <v>651.3</v>
      </c>
      <c r="N521" s="7">
        <f t="shared" si="260"/>
        <v>36.65434162319135</v>
      </c>
    </row>
    <row r="522" spans="1:14" ht="31.5" customHeight="1" hidden="1">
      <c r="A522" s="26" t="s">
        <v>601</v>
      </c>
      <c r="B522" s="21" t="s">
        <v>936</v>
      </c>
      <c r="C522" s="42" t="s">
        <v>903</v>
      </c>
      <c r="D522" s="42" t="s">
        <v>254</v>
      </c>
      <c r="E522" s="2"/>
      <c r="F522" s="2"/>
      <c r="G522" s="11"/>
      <c r="H522" s="11"/>
      <c r="I522" s="11"/>
      <c r="J522" s="11"/>
      <c r="K522" s="11"/>
      <c r="L522" s="11">
        <f>L523</f>
        <v>0</v>
      </c>
      <c r="M522" s="11">
        <f aca="true" t="shared" si="291" ref="M522:M523">M523</f>
        <v>0</v>
      </c>
      <c r="N522" s="7" t="e">
        <f t="shared" si="260"/>
        <v>#DIV/0!</v>
      </c>
    </row>
    <row r="523" spans="1:14" ht="31.5" customHeight="1" hidden="1">
      <c r="A523" s="26" t="s">
        <v>170</v>
      </c>
      <c r="B523" s="21" t="s">
        <v>936</v>
      </c>
      <c r="C523" s="42" t="s">
        <v>903</v>
      </c>
      <c r="D523" s="42" t="s">
        <v>254</v>
      </c>
      <c r="E523" s="2">
        <v>200</v>
      </c>
      <c r="F523" s="2"/>
      <c r="G523" s="11"/>
      <c r="H523" s="11"/>
      <c r="I523" s="11"/>
      <c r="J523" s="11"/>
      <c r="K523" s="11"/>
      <c r="L523" s="11">
        <f>L524</f>
        <v>0</v>
      </c>
      <c r="M523" s="11">
        <f t="shared" si="291"/>
        <v>0</v>
      </c>
      <c r="N523" s="7" t="e">
        <f t="shared" si="260"/>
        <v>#DIV/0!</v>
      </c>
    </row>
    <row r="524" spans="1:14" ht="31.5" customHeight="1" hidden="1">
      <c r="A524" s="26" t="s">
        <v>172</v>
      </c>
      <c r="B524" s="21" t="s">
        <v>936</v>
      </c>
      <c r="C524" s="42" t="s">
        <v>903</v>
      </c>
      <c r="D524" s="42" t="s">
        <v>254</v>
      </c>
      <c r="E524" s="2">
        <v>240</v>
      </c>
      <c r="F524" s="2"/>
      <c r="G524" s="11"/>
      <c r="H524" s="11"/>
      <c r="I524" s="11"/>
      <c r="J524" s="11"/>
      <c r="K524" s="11"/>
      <c r="L524" s="11">
        <f>'Прил.№4 ведомств.'!G1151</f>
        <v>0</v>
      </c>
      <c r="M524" s="11">
        <f>'Прил.№4 ведомств.'!H1151</f>
        <v>0</v>
      </c>
      <c r="N524" s="7" t="e">
        <f t="shared" si="260"/>
        <v>#DIV/0!</v>
      </c>
    </row>
    <row r="525" spans="1:14" ht="31.5">
      <c r="A525" s="47" t="s">
        <v>681</v>
      </c>
      <c r="B525" s="42" t="s">
        <v>585</v>
      </c>
      <c r="C525" s="42"/>
      <c r="D525" s="42"/>
      <c r="E525" s="2"/>
      <c r="F525" s="2">
        <v>908</v>
      </c>
      <c r="G525" s="11" t="e">
        <f aca="true" t="shared" si="292" ref="G525:L525">G508</f>
        <v>#REF!</v>
      </c>
      <c r="H525" s="11" t="e">
        <f t="shared" si="292"/>
        <v>#REF!</v>
      </c>
      <c r="I525" s="11" t="e">
        <f t="shared" si="292"/>
        <v>#REF!</v>
      </c>
      <c r="J525" s="11" t="e">
        <f t="shared" si="292"/>
        <v>#REF!</v>
      </c>
      <c r="K525" s="11" t="e">
        <f t="shared" si="292"/>
        <v>#REF!</v>
      </c>
      <c r="L525" s="11">
        <f t="shared" si="292"/>
        <v>2478.8699999999994</v>
      </c>
      <c r="M525" s="11">
        <f aca="true" t="shared" si="293" ref="M525">M508</f>
        <v>1133</v>
      </c>
      <c r="N525" s="7">
        <f aca="true" t="shared" si="294" ref="N525:N588">M525/L525*100</f>
        <v>45.70630972983659</v>
      </c>
    </row>
    <row r="526" spans="1:14" ht="47.25">
      <c r="A526" s="24" t="s">
        <v>592</v>
      </c>
      <c r="B526" s="8" t="s">
        <v>593</v>
      </c>
      <c r="C526" s="8"/>
      <c r="D526" s="8"/>
      <c r="E526" s="3"/>
      <c r="F526" s="3"/>
      <c r="G526" s="68" t="e">
        <f>G527</f>
        <v>#REF!</v>
      </c>
      <c r="H526" s="68" t="e">
        <f aca="true" t="shared" si="295" ref="H526:M527">H527</f>
        <v>#REF!</v>
      </c>
      <c r="I526" s="68" t="e">
        <f t="shared" si="295"/>
        <v>#REF!</v>
      </c>
      <c r="J526" s="68" t="e">
        <f t="shared" si="295"/>
        <v>#REF!</v>
      </c>
      <c r="K526" s="68" t="e">
        <f t="shared" si="295"/>
        <v>#REF!</v>
      </c>
      <c r="L526" s="68">
        <f t="shared" si="295"/>
        <v>722.5</v>
      </c>
      <c r="M526" s="68">
        <f t="shared" si="295"/>
        <v>635.2</v>
      </c>
      <c r="N526" s="4">
        <f t="shared" si="294"/>
        <v>87.91695501730105</v>
      </c>
    </row>
    <row r="527" spans="1:14" ht="15.75">
      <c r="A527" s="84" t="s">
        <v>430</v>
      </c>
      <c r="B527" s="42" t="s">
        <v>593</v>
      </c>
      <c r="C527" s="42" t="s">
        <v>273</v>
      </c>
      <c r="D527" s="42"/>
      <c r="E527" s="2"/>
      <c r="F527" s="2"/>
      <c r="G527" s="11" t="e">
        <f>G528</f>
        <v>#REF!</v>
      </c>
      <c r="H527" s="11" t="e">
        <f t="shared" si="295"/>
        <v>#REF!</v>
      </c>
      <c r="I527" s="11" t="e">
        <f t="shared" si="295"/>
        <v>#REF!</v>
      </c>
      <c r="J527" s="11" t="e">
        <f t="shared" si="295"/>
        <v>#REF!</v>
      </c>
      <c r="K527" s="11" t="e">
        <f t="shared" si="295"/>
        <v>#REF!</v>
      </c>
      <c r="L527" s="11">
        <f t="shared" si="295"/>
        <v>722.5</v>
      </c>
      <c r="M527" s="11">
        <f t="shared" si="295"/>
        <v>635.2</v>
      </c>
      <c r="N527" s="7">
        <f t="shared" si="294"/>
        <v>87.91695501730105</v>
      </c>
    </row>
    <row r="528" spans="1:14" ht="15.75">
      <c r="A528" s="84" t="s">
        <v>581</v>
      </c>
      <c r="B528" s="42" t="s">
        <v>593</v>
      </c>
      <c r="C528" s="42" t="s">
        <v>273</v>
      </c>
      <c r="D528" s="42" t="s">
        <v>254</v>
      </c>
      <c r="E528" s="2"/>
      <c r="F528" s="2"/>
      <c r="G528" s="11" t="e">
        <f aca="true" t="shared" si="296" ref="G528:K528">G529+G534+G537+G542</f>
        <v>#REF!</v>
      </c>
      <c r="H528" s="11" t="e">
        <f t="shared" si="296"/>
        <v>#REF!</v>
      </c>
      <c r="I528" s="11" t="e">
        <f t="shared" si="296"/>
        <v>#REF!</v>
      </c>
      <c r="J528" s="11" t="e">
        <f t="shared" si="296"/>
        <v>#REF!</v>
      </c>
      <c r="K528" s="11" t="e">
        <f t="shared" si="296"/>
        <v>#REF!</v>
      </c>
      <c r="L528" s="11">
        <f>L529+L534+L537+L542</f>
        <v>722.5</v>
      </c>
      <c r="M528" s="11">
        <f aca="true" t="shared" si="297" ref="M528">M529+M534+M537+M542</f>
        <v>635.2</v>
      </c>
      <c r="N528" s="7">
        <f t="shared" si="294"/>
        <v>87.91695501730105</v>
      </c>
    </row>
    <row r="529" spans="1:14" ht="15.75">
      <c r="A529" s="26" t="s">
        <v>590</v>
      </c>
      <c r="B529" s="21" t="s">
        <v>594</v>
      </c>
      <c r="C529" s="42" t="s">
        <v>273</v>
      </c>
      <c r="D529" s="42" t="s">
        <v>254</v>
      </c>
      <c r="E529" s="2"/>
      <c r="F529" s="2"/>
      <c r="G529" s="11" t="e">
        <f aca="true" t="shared" si="298" ref="G529:L529">G530+G532</f>
        <v>#REF!</v>
      </c>
      <c r="H529" s="11" t="e">
        <f t="shared" si="298"/>
        <v>#REF!</v>
      </c>
      <c r="I529" s="11" t="e">
        <f t="shared" si="298"/>
        <v>#REF!</v>
      </c>
      <c r="J529" s="11" t="e">
        <f t="shared" si="298"/>
        <v>#REF!</v>
      </c>
      <c r="K529" s="11" t="e">
        <f t="shared" si="298"/>
        <v>#REF!</v>
      </c>
      <c r="L529" s="11">
        <f t="shared" si="298"/>
        <v>11</v>
      </c>
      <c r="M529" s="11">
        <f aca="true" t="shared" si="299" ref="M529">M530+M532</f>
        <v>11</v>
      </c>
      <c r="N529" s="7">
        <f t="shared" si="294"/>
        <v>100</v>
      </c>
    </row>
    <row r="530" spans="1:14" ht="78.75" customHeight="1" hidden="1">
      <c r="A530" s="26" t="s">
        <v>166</v>
      </c>
      <c r="B530" s="21" t="s">
        <v>594</v>
      </c>
      <c r="C530" s="42" t="s">
        <v>273</v>
      </c>
      <c r="D530" s="42" t="s">
        <v>254</v>
      </c>
      <c r="E530" s="2">
        <v>100</v>
      </c>
      <c r="F530" s="2"/>
      <c r="G530" s="11" t="e">
        <f aca="true" t="shared" si="300" ref="G530:M530">G531</f>
        <v>#REF!</v>
      </c>
      <c r="H530" s="11" t="e">
        <f t="shared" si="300"/>
        <v>#REF!</v>
      </c>
      <c r="I530" s="11" t="e">
        <f t="shared" si="300"/>
        <v>#REF!</v>
      </c>
      <c r="J530" s="11" t="e">
        <f t="shared" si="300"/>
        <v>#REF!</v>
      </c>
      <c r="K530" s="11" t="e">
        <f t="shared" si="300"/>
        <v>#REF!</v>
      </c>
      <c r="L530" s="11">
        <f t="shared" si="300"/>
        <v>0</v>
      </c>
      <c r="M530" s="11">
        <f t="shared" si="300"/>
        <v>0</v>
      </c>
      <c r="N530" s="7" t="e">
        <f t="shared" si="294"/>
        <v>#DIV/0!</v>
      </c>
    </row>
    <row r="531" spans="1:14" ht="15.75" customHeight="1" hidden="1">
      <c r="A531" s="48" t="s">
        <v>381</v>
      </c>
      <c r="B531" s="21" t="s">
        <v>594</v>
      </c>
      <c r="C531" s="42" t="s">
        <v>273</v>
      </c>
      <c r="D531" s="42" t="s">
        <v>254</v>
      </c>
      <c r="E531" s="2">
        <v>110</v>
      </c>
      <c r="F531" s="2"/>
      <c r="G531" s="11" t="e">
        <f>#REF!</f>
        <v>#REF!</v>
      </c>
      <c r="H531" s="11" t="e">
        <f>#REF!</f>
        <v>#REF!</v>
      </c>
      <c r="I531" s="11" t="e">
        <f>#REF!</f>
        <v>#REF!</v>
      </c>
      <c r="J531" s="11" t="e">
        <f>#REF!</f>
        <v>#REF!</v>
      </c>
      <c r="K531" s="11" t="e">
        <f>#REF!</f>
        <v>#REF!</v>
      </c>
      <c r="L531" s="11">
        <f>'Прил.№4 ведомств.'!G1155</f>
        <v>0</v>
      </c>
      <c r="M531" s="11">
        <f>'Прил.№4 ведомств.'!H1155</f>
        <v>0</v>
      </c>
      <c r="N531" s="7" t="e">
        <f t="shared" si="294"/>
        <v>#DIV/0!</v>
      </c>
    </row>
    <row r="532" spans="1:14" ht="31.5">
      <c r="A532" s="26" t="s">
        <v>170</v>
      </c>
      <c r="B532" s="21" t="s">
        <v>594</v>
      </c>
      <c r="C532" s="42" t="s">
        <v>273</v>
      </c>
      <c r="D532" s="42" t="s">
        <v>254</v>
      </c>
      <c r="E532" s="2">
        <v>200</v>
      </c>
      <c r="F532" s="2"/>
      <c r="G532" s="11" t="e">
        <f aca="true" t="shared" si="301" ref="G532:M532">G533</f>
        <v>#REF!</v>
      </c>
      <c r="H532" s="11" t="e">
        <f t="shared" si="301"/>
        <v>#REF!</v>
      </c>
      <c r="I532" s="11" t="e">
        <f t="shared" si="301"/>
        <v>#REF!</v>
      </c>
      <c r="J532" s="11" t="e">
        <f t="shared" si="301"/>
        <v>#REF!</v>
      </c>
      <c r="K532" s="11" t="e">
        <f t="shared" si="301"/>
        <v>#REF!</v>
      </c>
      <c r="L532" s="11">
        <f t="shared" si="301"/>
        <v>11</v>
      </c>
      <c r="M532" s="11">
        <f t="shared" si="301"/>
        <v>11</v>
      </c>
      <c r="N532" s="7">
        <f t="shared" si="294"/>
        <v>100</v>
      </c>
    </row>
    <row r="533" spans="1:14" ht="31.5">
      <c r="A533" s="26" t="s">
        <v>172</v>
      </c>
      <c r="B533" s="21" t="s">
        <v>594</v>
      </c>
      <c r="C533" s="42" t="s">
        <v>273</v>
      </c>
      <c r="D533" s="42" t="s">
        <v>254</v>
      </c>
      <c r="E533" s="2">
        <v>240</v>
      </c>
      <c r="F533" s="2"/>
      <c r="G533" s="11" t="e">
        <f>#REF!</f>
        <v>#REF!</v>
      </c>
      <c r="H533" s="11" t="e">
        <f>#REF!</f>
        <v>#REF!</v>
      </c>
      <c r="I533" s="11" t="e">
        <f>#REF!</f>
        <v>#REF!</v>
      </c>
      <c r="J533" s="11" t="e">
        <f>#REF!</f>
        <v>#REF!</v>
      </c>
      <c r="K533" s="11" t="e">
        <f>#REF!</f>
        <v>#REF!</v>
      </c>
      <c r="L533" s="11">
        <f>'Прил.№4 ведомств.'!G1157</f>
        <v>11</v>
      </c>
      <c r="M533" s="11">
        <f>'Прил.№4 ведомств.'!H1157</f>
        <v>11</v>
      </c>
      <c r="N533" s="7">
        <f t="shared" si="294"/>
        <v>100</v>
      </c>
    </row>
    <row r="534" spans="1:14" ht="15.75">
      <c r="A534" s="26" t="s">
        <v>595</v>
      </c>
      <c r="B534" s="21" t="s">
        <v>596</v>
      </c>
      <c r="C534" s="42" t="s">
        <v>273</v>
      </c>
      <c r="D534" s="42" t="s">
        <v>254</v>
      </c>
      <c r="E534" s="2"/>
      <c r="F534" s="2"/>
      <c r="G534" s="11" t="e">
        <f>G535</f>
        <v>#REF!</v>
      </c>
      <c r="H534" s="11" t="e">
        <f aca="true" t="shared" si="302" ref="H534:M535">H535</f>
        <v>#REF!</v>
      </c>
      <c r="I534" s="11" t="e">
        <f t="shared" si="302"/>
        <v>#REF!</v>
      </c>
      <c r="J534" s="11" t="e">
        <f t="shared" si="302"/>
        <v>#REF!</v>
      </c>
      <c r="K534" s="11" t="e">
        <f t="shared" si="302"/>
        <v>#REF!</v>
      </c>
      <c r="L534" s="11">
        <f t="shared" si="302"/>
        <v>4</v>
      </c>
      <c r="M534" s="11">
        <f t="shared" si="302"/>
        <v>3.6</v>
      </c>
      <c r="N534" s="7">
        <f t="shared" si="294"/>
        <v>90</v>
      </c>
    </row>
    <row r="535" spans="1:14" ht="31.5">
      <c r="A535" s="26" t="s">
        <v>170</v>
      </c>
      <c r="B535" s="21" t="s">
        <v>596</v>
      </c>
      <c r="C535" s="42" t="s">
        <v>273</v>
      </c>
      <c r="D535" s="42" t="s">
        <v>254</v>
      </c>
      <c r="E535" s="2">
        <v>200</v>
      </c>
      <c r="F535" s="2"/>
      <c r="G535" s="11" t="e">
        <f>G536</f>
        <v>#REF!</v>
      </c>
      <c r="H535" s="11" t="e">
        <f t="shared" si="302"/>
        <v>#REF!</v>
      </c>
      <c r="I535" s="11" t="e">
        <f t="shared" si="302"/>
        <v>#REF!</v>
      </c>
      <c r="J535" s="11" t="e">
        <f t="shared" si="302"/>
        <v>#REF!</v>
      </c>
      <c r="K535" s="11" t="e">
        <f t="shared" si="302"/>
        <v>#REF!</v>
      </c>
      <c r="L535" s="11">
        <f t="shared" si="302"/>
        <v>4</v>
      </c>
      <c r="M535" s="11">
        <f t="shared" si="302"/>
        <v>3.6</v>
      </c>
      <c r="N535" s="7">
        <f t="shared" si="294"/>
        <v>90</v>
      </c>
    </row>
    <row r="536" spans="1:14" ht="31.5">
      <c r="A536" s="26" t="s">
        <v>172</v>
      </c>
      <c r="B536" s="21" t="s">
        <v>596</v>
      </c>
      <c r="C536" s="42" t="s">
        <v>273</v>
      </c>
      <c r="D536" s="42" t="s">
        <v>254</v>
      </c>
      <c r="E536" s="2">
        <v>240</v>
      </c>
      <c r="F536" s="2"/>
      <c r="G536" s="11" t="e">
        <f>#REF!</f>
        <v>#REF!</v>
      </c>
      <c r="H536" s="11" t="e">
        <f>#REF!</f>
        <v>#REF!</v>
      </c>
      <c r="I536" s="11" t="e">
        <f>#REF!</f>
        <v>#REF!</v>
      </c>
      <c r="J536" s="11" t="e">
        <f>#REF!</f>
        <v>#REF!</v>
      </c>
      <c r="K536" s="11" t="e">
        <f>#REF!</f>
        <v>#REF!</v>
      </c>
      <c r="L536" s="11">
        <f>'Прил.№4 ведомств.'!G1160</f>
        <v>4</v>
      </c>
      <c r="M536" s="11">
        <f>'Прил.№4 ведомств.'!H1160</f>
        <v>3.6</v>
      </c>
      <c r="N536" s="7">
        <f t="shared" si="294"/>
        <v>90</v>
      </c>
    </row>
    <row r="537" spans="1:14" ht="47.25">
      <c r="A537" s="47" t="s">
        <v>597</v>
      </c>
      <c r="B537" s="21" t="s">
        <v>598</v>
      </c>
      <c r="C537" s="42" t="s">
        <v>273</v>
      </c>
      <c r="D537" s="42" t="s">
        <v>254</v>
      </c>
      <c r="E537" s="2"/>
      <c r="F537" s="2"/>
      <c r="G537" s="11" t="e">
        <f>G538</f>
        <v>#REF!</v>
      </c>
      <c r="H537" s="11" t="e">
        <f aca="true" t="shared" si="303" ref="H537:M538">H538</f>
        <v>#REF!</v>
      </c>
      <c r="I537" s="11" t="e">
        <f t="shared" si="303"/>
        <v>#REF!</v>
      </c>
      <c r="J537" s="11" t="e">
        <f t="shared" si="303"/>
        <v>#REF!</v>
      </c>
      <c r="K537" s="11" t="e">
        <f t="shared" si="303"/>
        <v>#REF!</v>
      </c>
      <c r="L537" s="11">
        <f>L538+L540</f>
        <v>707.5</v>
      </c>
      <c r="M537" s="11">
        <f aca="true" t="shared" si="304" ref="M537">M538+M540</f>
        <v>620.6</v>
      </c>
      <c r="N537" s="7">
        <f t="shared" si="294"/>
        <v>87.7173144876325</v>
      </c>
    </row>
    <row r="538" spans="1:14" ht="31.5">
      <c r="A538" s="26" t="s">
        <v>170</v>
      </c>
      <c r="B538" s="21" t="s">
        <v>598</v>
      </c>
      <c r="C538" s="42" t="s">
        <v>273</v>
      </c>
      <c r="D538" s="42" t="s">
        <v>254</v>
      </c>
      <c r="E538" s="2">
        <v>200</v>
      </c>
      <c r="F538" s="2"/>
      <c r="G538" s="11" t="e">
        <f>G539</f>
        <v>#REF!</v>
      </c>
      <c r="H538" s="11" t="e">
        <f t="shared" si="303"/>
        <v>#REF!</v>
      </c>
      <c r="I538" s="11" t="e">
        <f t="shared" si="303"/>
        <v>#REF!</v>
      </c>
      <c r="J538" s="11" t="e">
        <f t="shared" si="303"/>
        <v>#REF!</v>
      </c>
      <c r="K538" s="11" t="e">
        <f t="shared" si="303"/>
        <v>#REF!</v>
      </c>
      <c r="L538" s="11">
        <f t="shared" si="303"/>
        <v>632.5</v>
      </c>
      <c r="M538" s="11">
        <f t="shared" si="303"/>
        <v>545.6</v>
      </c>
      <c r="N538" s="7">
        <f t="shared" si="294"/>
        <v>86.26086956521739</v>
      </c>
    </row>
    <row r="539" spans="1:14" ht="31.5">
      <c r="A539" s="26" t="s">
        <v>172</v>
      </c>
      <c r="B539" s="21" t="s">
        <v>598</v>
      </c>
      <c r="C539" s="42" t="s">
        <v>273</v>
      </c>
      <c r="D539" s="42" t="s">
        <v>254</v>
      </c>
      <c r="E539" s="2">
        <v>240</v>
      </c>
      <c r="F539" s="2"/>
      <c r="G539" s="11" t="e">
        <f>#REF!</f>
        <v>#REF!</v>
      </c>
      <c r="H539" s="11" t="e">
        <f>#REF!</f>
        <v>#REF!</v>
      </c>
      <c r="I539" s="11" t="e">
        <f>#REF!</f>
        <v>#REF!</v>
      </c>
      <c r="J539" s="11" t="e">
        <f>#REF!</f>
        <v>#REF!</v>
      </c>
      <c r="K539" s="11" t="e">
        <f>#REF!</f>
        <v>#REF!</v>
      </c>
      <c r="L539" s="11">
        <f>'Прил.№4 ведомств.'!G1163</f>
        <v>632.5</v>
      </c>
      <c r="M539" s="11">
        <f>'Прил.№4 ведомств.'!H1163</f>
        <v>545.6</v>
      </c>
      <c r="N539" s="7">
        <f t="shared" si="294"/>
        <v>86.26086956521739</v>
      </c>
    </row>
    <row r="540" spans="1:14" s="299" customFormat="1" ht="15.75">
      <c r="A540" s="31" t="s">
        <v>174</v>
      </c>
      <c r="B540" s="21" t="s">
        <v>598</v>
      </c>
      <c r="C540" s="42" t="s">
        <v>273</v>
      </c>
      <c r="D540" s="42" t="s">
        <v>254</v>
      </c>
      <c r="E540" s="2">
        <v>800</v>
      </c>
      <c r="F540" s="2"/>
      <c r="G540" s="11"/>
      <c r="H540" s="11"/>
      <c r="I540" s="11"/>
      <c r="J540" s="11"/>
      <c r="K540" s="11"/>
      <c r="L540" s="11">
        <f>L541</f>
        <v>75</v>
      </c>
      <c r="M540" s="11">
        <f aca="true" t="shared" si="305" ref="M540">M541</f>
        <v>75</v>
      </c>
      <c r="N540" s="7">
        <f t="shared" si="294"/>
        <v>100</v>
      </c>
    </row>
    <row r="541" spans="1:14" s="299" customFormat="1" ht="15.75">
      <c r="A541" s="26" t="s">
        <v>774</v>
      </c>
      <c r="B541" s="21" t="s">
        <v>598</v>
      </c>
      <c r="C541" s="42" t="s">
        <v>273</v>
      </c>
      <c r="D541" s="42" t="s">
        <v>254</v>
      </c>
      <c r="E541" s="2">
        <v>850</v>
      </c>
      <c r="F541" s="2"/>
      <c r="G541" s="11"/>
      <c r="H541" s="11"/>
      <c r="I541" s="11"/>
      <c r="J541" s="11"/>
      <c r="K541" s="11"/>
      <c r="L541" s="11">
        <f>'Прил.№4 ведомств.'!G1165</f>
        <v>75</v>
      </c>
      <c r="M541" s="11">
        <f>'Прил.№4 ведомств.'!H1165</f>
        <v>75</v>
      </c>
      <c r="N541" s="7">
        <f t="shared" si="294"/>
        <v>100</v>
      </c>
    </row>
    <row r="542" spans="1:14" ht="15.75" customHeight="1" hidden="1">
      <c r="A542" s="47" t="s">
        <v>599</v>
      </c>
      <c r="B542" s="21" t="s">
        <v>600</v>
      </c>
      <c r="C542" s="42" t="s">
        <v>273</v>
      </c>
      <c r="D542" s="42" t="s">
        <v>254</v>
      </c>
      <c r="E542" s="2"/>
      <c r="F542" s="2"/>
      <c r="G542" s="11" t="e">
        <f>G543</f>
        <v>#REF!</v>
      </c>
      <c r="H542" s="11" t="e">
        <f aca="true" t="shared" si="306" ref="H542:M543">H543</f>
        <v>#REF!</v>
      </c>
      <c r="I542" s="11" t="e">
        <f t="shared" si="306"/>
        <v>#REF!</v>
      </c>
      <c r="J542" s="11" t="e">
        <f t="shared" si="306"/>
        <v>#REF!</v>
      </c>
      <c r="K542" s="11" t="e">
        <f t="shared" si="306"/>
        <v>#REF!</v>
      </c>
      <c r="L542" s="11">
        <f t="shared" si="306"/>
        <v>0</v>
      </c>
      <c r="M542" s="11">
        <f t="shared" si="306"/>
        <v>0</v>
      </c>
      <c r="N542" s="7" t="e">
        <f t="shared" si="294"/>
        <v>#DIV/0!</v>
      </c>
    </row>
    <row r="543" spans="1:14" ht="31.5" customHeight="1" hidden="1">
      <c r="A543" s="26" t="s">
        <v>170</v>
      </c>
      <c r="B543" s="21" t="s">
        <v>600</v>
      </c>
      <c r="C543" s="42" t="s">
        <v>273</v>
      </c>
      <c r="D543" s="42" t="s">
        <v>254</v>
      </c>
      <c r="E543" s="2">
        <v>200</v>
      </c>
      <c r="F543" s="2"/>
      <c r="G543" s="11" t="e">
        <f>G544</f>
        <v>#REF!</v>
      </c>
      <c r="H543" s="11" t="e">
        <f t="shared" si="306"/>
        <v>#REF!</v>
      </c>
      <c r="I543" s="11" t="e">
        <f t="shared" si="306"/>
        <v>#REF!</v>
      </c>
      <c r="J543" s="11" t="e">
        <f t="shared" si="306"/>
        <v>#REF!</v>
      </c>
      <c r="K543" s="11" t="e">
        <f t="shared" si="306"/>
        <v>#REF!</v>
      </c>
      <c r="L543" s="11">
        <f t="shared" si="306"/>
        <v>0</v>
      </c>
      <c r="M543" s="11">
        <f t="shared" si="306"/>
        <v>0</v>
      </c>
      <c r="N543" s="7" t="e">
        <f t="shared" si="294"/>
        <v>#DIV/0!</v>
      </c>
    </row>
    <row r="544" spans="1:14" ht="31.5" customHeight="1" hidden="1">
      <c r="A544" s="26" t="s">
        <v>172</v>
      </c>
      <c r="B544" s="21" t="s">
        <v>600</v>
      </c>
      <c r="C544" s="42" t="s">
        <v>273</v>
      </c>
      <c r="D544" s="42" t="s">
        <v>254</v>
      </c>
      <c r="E544" s="2">
        <v>240</v>
      </c>
      <c r="F544" s="2"/>
      <c r="G544" s="11" t="e">
        <f>#REF!</f>
        <v>#REF!</v>
      </c>
      <c r="H544" s="11" t="e">
        <f>#REF!</f>
        <v>#REF!</v>
      </c>
      <c r="I544" s="11" t="e">
        <f>#REF!</f>
        <v>#REF!</v>
      </c>
      <c r="J544" s="11" t="e">
        <f>#REF!</f>
        <v>#REF!</v>
      </c>
      <c r="K544" s="11" t="e">
        <f>#REF!</f>
        <v>#REF!</v>
      </c>
      <c r="L544" s="11">
        <f>'Прил.№4 ведомств.'!G1168</f>
        <v>0</v>
      </c>
      <c r="M544" s="11">
        <f>'Прил.№4 ведомств.'!H1168</f>
        <v>0</v>
      </c>
      <c r="N544" s="7" t="e">
        <f t="shared" si="294"/>
        <v>#DIV/0!</v>
      </c>
    </row>
    <row r="545" spans="1:14" ht="31.5">
      <c r="A545" s="47" t="s">
        <v>681</v>
      </c>
      <c r="B545" s="21" t="s">
        <v>593</v>
      </c>
      <c r="C545" s="42"/>
      <c r="D545" s="42"/>
      <c r="E545" s="2"/>
      <c r="F545" s="2">
        <v>908</v>
      </c>
      <c r="G545" s="11" t="e">
        <f aca="true" t="shared" si="307" ref="G545:L545">G526</f>
        <v>#REF!</v>
      </c>
      <c r="H545" s="11" t="e">
        <f t="shared" si="307"/>
        <v>#REF!</v>
      </c>
      <c r="I545" s="11" t="e">
        <f t="shared" si="307"/>
        <v>#REF!</v>
      </c>
      <c r="J545" s="11" t="e">
        <f t="shared" si="307"/>
        <v>#REF!</v>
      </c>
      <c r="K545" s="11" t="e">
        <f t="shared" si="307"/>
        <v>#REF!</v>
      </c>
      <c r="L545" s="11">
        <f t="shared" si="307"/>
        <v>722.5</v>
      </c>
      <c r="M545" s="11">
        <f aca="true" t="shared" si="308" ref="M545">M526</f>
        <v>635.2</v>
      </c>
      <c r="N545" s="7">
        <f t="shared" si="294"/>
        <v>87.91695501730105</v>
      </c>
    </row>
    <row r="546" spans="1:14" ht="47.25">
      <c r="A546" s="36" t="s">
        <v>220</v>
      </c>
      <c r="B546" s="255" t="s">
        <v>221</v>
      </c>
      <c r="C546" s="8"/>
      <c r="D546" s="8"/>
      <c r="E546" s="8"/>
      <c r="F546" s="3"/>
      <c r="G546" s="68" t="e">
        <f aca="true" t="shared" si="309" ref="G546:L546">G547+G553</f>
        <v>#REF!</v>
      </c>
      <c r="H546" s="68" t="e">
        <f t="shared" si="309"/>
        <v>#REF!</v>
      </c>
      <c r="I546" s="68" t="e">
        <f t="shared" si="309"/>
        <v>#REF!</v>
      </c>
      <c r="J546" s="68" t="e">
        <f t="shared" si="309"/>
        <v>#REF!</v>
      </c>
      <c r="K546" s="68" t="e">
        <f t="shared" si="309"/>
        <v>#REF!</v>
      </c>
      <c r="L546" s="68">
        <f t="shared" si="309"/>
        <v>100</v>
      </c>
      <c r="M546" s="68">
        <f aca="true" t="shared" si="310" ref="M546">M547+M553</f>
        <v>42</v>
      </c>
      <c r="N546" s="4">
        <f t="shared" si="294"/>
        <v>42</v>
      </c>
    </row>
    <row r="547" spans="1:14" ht="15.75" customHeight="1" hidden="1">
      <c r="A547" s="26" t="s">
        <v>156</v>
      </c>
      <c r="B547" s="6" t="s">
        <v>221</v>
      </c>
      <c r="C547" s="42" t="s">
        <v>157</v>
      </c>
      <c r="D547" s="42"/>
      <c r="E547" s="42"/>
      <c r="F547" s="2"/>
      <c r="G547" s="11" t="e">
        <f>G548</f>
        <v>#REF!</v>
      </c>
      <c r="H547" s="11" t="e">
        <f aca="true" t="shared" si="311" ref="H547:M550">H548</f>
        <v>#REF!</v>
      </c>
      <c r="I547" s="11" t="e">
        <f t="shared" si="311"/>
        <v>#REF!</v>
      </c>
      <c r="J547" s="11" t="e">
        <f t="shared" si="311"/>
        <v>#REF!</v>
      </c>
      <c r="K547" s="11" t="e">
        <f t="shared" si="311"/>
        <v>#REF!</v>
      </c>
      <c r="L547" s="11">
        <f t="shared" si="311"/>
        <v>0</v>
      </c>
      <c r="M547" s="11">
        <f t="shared" si="311"/>
        <v>0</v>
      </c>
      <c r="N547" s="7" t="e">
        <f t="shared" si="294"/>
        <v>#DIV/0!</v>
      </c>
    </row>
    <row r="548" spans="1:14" ht="15.75" customHeight="1" hidden="1">
      <c r="A548" s="26" t="s">
        <v>178</v>
      </c>
      <c r="B548" s="32" t="s">
        <v>221</v>
      </c>
      <c r="C548" s="42" t="s">
        <v>157</v>
      </c>
      <c r="D548" s="42" t="s">
        <v>179</v>
      </c>
      <c r="E548" s="42"/>
      <c r="F548" s="2"/>
      <c r="G548" s="11" t="e">
        <f>G549</f>
        <v>#REF!</v>
      </c>
      <c r="H548" s="11" t="e">
        <f t="shared" si="311"/>
        <v>#REF!</v>
      </c>
      <c r="I548" s="11" t="e">
        <f t="shared" si="311"/>
        <v>#REF!</v>
      </c>
      <c r="J548" s="11" t="e">
        <f t="shared" si="311"/>
        <v>#REF!</v>
      </c>
      <c r="K548" s="11" t="e">
        <f t="shared" si="311"/>
        <v>#REF!</v>
      </c>
      <c r="L548" s="11">
        <f t="shared" si="311"/>
        <v>0</v>
      </c>
      <c r="M548" s="11">
        <f t="shared" si="311"/>
        <v>0</v>
      </c>
      <c r="N548" s="7" t="e">
        <f t="shared" si="294"/>
        <v>#DIV/0!</v>
      </c>
    </row>
    <row r="549" spans="1:14" ht="31.5" customHeight="1" hidden="1">
      <c r="A549" s="31" t="s">
        <v>196</v>
      </c>
      <c r="B549" s="21" t="s">
        <v>222</v>
      </c>
      <c r="C549" s="42" t="s">
        <v>157</v>
      </c>
      <c r="D549" s="42" t="s">
        <v>179</v>
      </c>
      <c r="E549" s="42"/>
      <c r="F549" s="2"/>
      <c r="G549" s="11" t="e">
        <f>G550</f>
        <v>#REF!</v>
      </c>
      <c r="H549" s="11" t="e">
        <f t="shared" si="311"/>
        <v>#REF!</v>
      </c>
      <c r="I549" s="11" t="e">
        <f t="shared" si="311"/>
        <v>#REF!</v>
      </c>
      <c r="J549" s="11" t="e">
        <f t="shared" si="311"/>
        <v>#REF!</v>
      </c>
      <c r="K549" s="11" t="e">
        <f t="shared" si="311"/>
        <v>#REF!</v>
      </c>
      <c r="L549" s="11">
        <f t="shared" si="311"/>
        <v>0</v>
      </c>
      <c r="M549" s="11">
        <f t="shared" si="311"/>
        <v>0</v>
      </c>
      <c r="N549" s="7" t="e">
        <f t="shared" si="294"/>
        <v>#DIV/0!</v>
      </c>
    </row>
    <row r="550" spans="1:14" ht="31.5" customHeight="1" hidden="1">
      <c r="A550" s="31" t="s">
        <v>170</v>
      </c>
      <c r="B550" s="21" t="s">
        <v>222</v>
      </c>
      <c r="C550" s="42" t="s">
        <v>157</v>
      </c>
      <c r="D550" s="42" t="s">
        <v>179</v>
      </c>
      <c r="E550" s="42" t="s">
        <v>184</v>
      </c>
      <c r="F550" s="2"/>
      <c r="G550" s="11" t="e">
        <f>G551</f>
        <v>#REF!</v>
      </c>
      <c r="H550" s="11" t="e">
        <f t="shared" si="311"/>
        <v>#REF!</v>
      </c>
      <c r="I550" s="11" t="e">
        <f t="shared" si="311"/>
        <v>#REF!</v>
      </c>
      <c r="J550" s="11" t="e">
        <f t="shared" si="311"/>
        <v>#REF!</v>
      </c>
      <c r="K550" s="11" t="e">
        <f t="shared" si="311"/>
        <v>#REF!</v>
      </c>
      <c r="L550" s="11">
        <f t="shared" si="311"/>
        <v>0</v>
      </c>
      <c r="M550" s="11">
        <f t="shared" si="311"/>
        <v>0</v>
      </c>
      <c r="N550" s="7" t="e">
        <f t="shared" si="294"/>
        <v>#DIV/0!</v>
      </c>
    </row>
    <row r="551" spans="1:14" ht="47.25" customHeight="1" hidden="1">
      <c r="A551" s="31" t="s">
        <v>223</v>
      </c>
      <c r="B551" s="21" t="s">
        <v>222</v>
      </c>
      <c r="C551" s="42" t="s">
        <v>157</v>
      </c>
      <c r="D551" s="42" t="s">
        <v>179</v>
      </c>
      <c r="E551" s="42" t="s">
        <v>199</v>
      </c>
      <c r="F551" s="2"/>
      <c r="G551" s="11" t="e">
        <f>#REF!</f>
        <v>#REF!</v>
      </c>
      <c r="H551" s="11" t="e">
        <f>#REF!</f>
        <v>#REF!</v>
      </c>
      <c r="I551" s="11" t="e">
        <f>#REF!</f>
        <v>#REF!</v>
      </c>
      <c r="J551" s="11" t="e">
        <f>#REF!</f>
        <v>#REF!</v>
      </c>
      <c r="K551" s="11" t="e">
        <f>#REF!</f>
        <v>#REF!</v>
      </c>
      <c r="L551" s="11">
        <f>'Прил.№4 ведомств.'!G90</f>
        <v>0</v>
      </c>
      <c r="M551" s="11">
        <f>'Прил.№4 ведомств.'!H90</f>
        <v>0</v>
      </c>
      <c r="N551" s="7" t="e">
        <f t="shared" si="294"/>
        <v>#DIV/0!</v>
      </c>
    </row>
    <row r="552" spans="1:14" ht="15.75" customHeight="1" hidden="1">
      <c r="A552" s="31" t="s">
        <v>187</v>
      </c>
      <c r="B552" s="32" t="s">
        <v>221</v>
      </c>
      <c r="C552" s="42" t="s">
        <v>157</v>
      </c>
      <c r="D552" s="42" t="s">
        <v>179</v>
      </c>
      <c r="E552" s="42"/>
      <c r="F552" s="2">
        <v>902</v>
      </c>
      <c r="G552" s="11" t="e">
        <f>G546</f>
        <v>#REF!</v>
      </c>
      <c r="H552" s="11" t="e">
        <f>H546</f>
        <v>#REF!</v>
      </c>
      <c r="I552" s="11" t="e">
        <f>I546</f>
        <v>#REF!</v>
      </c>
      <c r="J552" s="11" t="e">
        <f>J546</f>
        <v>#REF!</v>
      </c>
      <c r="K552" s="11" t="e">
        <f>K546</f>
        <v>#REF!</v>
      </c>
      <c r="L552" s="11">
        <f>L547</f>
        <v>0</v>
      </c>
      <c r="M552" s="11">
        <f aca="true" t="shared" si="312" ref="M552">M547</f>
        <v>0</v>
      </c>
      <c r="N552" s="7" t="e">
        <f t="shared" si="294"/>
        <v>#DIV/0!</v>
      </c>
    </row>
    <row r="553" spans="1:14" ht="15.75">
      <c r="A553" s="31" t="s">
        <v>271</v>
      </c>
      <c r="B553" s="6" t="s">
        <v>221</v>
      </c>
      <c r="C553" s="42" t="s">
        <v>189</v>
      </c>
      <c r="D553" s="42"/>
      <c r="E553" s="42"/>
      <c r="F553" s="2"/>
      <c r="G553" s="11">
        <f>G554</f>
        <v>0</v>
      </c>
      <c r="H553" s="11">
        <f aca="true" t="shared" si="313" ref="H553:M556">H554</f>
        <v>0</v>
      </c>
      <c r="I553" s="11">
        <f t="shared" si="313"/>
        <v>100</v>
      </c>
      <c r="J553" s="11">
        <f t="shared" si="313"/>
        <v>100</v>
      </c>
      <c r="K553" s="11">
        <f t="shared" si="313"/>
        <v>100</v>
      </c>
      <c r="L553" s="11">
        <f t="shared" si="313"/>
        <v>100</v>
      </c>
      <c r="M553" s="11">
        <f t="shared" si="313"/>
        <v>42</v>
      </c>
      <c r="N553" s="7">
        <f t="shared" si="294"/>
        <v>42</v>
      </c>
    </row>
    <row r="554" spans="1:14" ht="15.75">
      <c r="A554" s="31" t="s">
        <v>272</v>
      </c>
      <c r="B554" s="32" t="s">
        <v>221</v>
      </c>
      <c r="C554" s="42" t="s">
        <v>189</v>
      </c>
      <c r="D554" s="42" t="s">
        <v>273</v>
      </c>
      <c r="E554" s="42"/>
      <c r="F554" s="2"/>
      <c r="G554" s="11">
        <f>G555</f>
        <v>0</v>
      </c>
      <c r="H554" s="11">
        <f t="shared" si="313"/>
        <v>0</v>
      </c>
      <c r="I554" s="11">
        <f t="shared" si="313"/>
        <v>100</v>
      </c>
      <c r="J554" s="11">
        <f t="shared" si="313"/>
        <v>100</v>
      </c>
      <c r="K554" s="11">
        <f t="shared" si="313"/>
        <v>100</v>
      </c>
      <c r="L554" s="11">
        <f>L555+L558</f>
        <v>100</v>
      </c>
      <c r="M554" s="11">
        <f aca="true" t="shared" si="314" ref="M554">M555+M558</f>
        <v>42</v>
      </c>
      <c r="N554" s="7">
        <f t="shared" si="294"/>
        <v>42</v>
      </c>
    </row>
    <row r="555" spans="1:14" ht="31.5">
      <c r="A555" s="31" t="s">
        <v>196</v>
      </c>
      <c r="B555" s="21" t="s">
        <v>222</v>
      </c>
      <c r="C555" s="42" t="s">
        <v>189</v>
      </c>
      <c r="D555" s="42" t="s">
        <v>273</v>
      </c>
      <c r="E555" s="42"/>
      <c r="F555" s="2"/>
      <c r="G555" s="11">
        <f>G556</f>
        <v>0</v>
      </c>
      <c r="H555" s="11">
        <f t="shared" si="313"/>
        <v>0</v>
      </c>
      <c r="I555" s="11">
        <f t="shared" si="313"/>
        <v>100</v>
      </c>
      <c r="J555" s="11">
        <f t="shared" si="313"/>
        <v>100</v>
      </c>
      <c r="K555" s="11">
        <f t="shared" si="313"/>
        <v>100</v>
      </c>
      <c r="L555" s="11">
        <f t="shared" si="313"/>
        <v>100</v>
      </c>
      <c r="M555" s="11">
        <f t="shared" si="313"/>
        <v>42</v>
      </c>
      <c r="N555" s="7">
        <f t="shared" si="294"/>
        <v>42</v>
      </c>
    </row>
    <row r="556" spans="1:14" ht="31.5">
      <c r="A556" s="31" t="s">
        <v>170</v>
      </c>
      <c r="B556" s="21" t="s">
        <v>222</v>
      </c>
      <c r="C556" s="42" t="s">
        <v>189</v>
      </c>
      <c r="D556" s="42" t="s">
        <v>273</v>
      </c>
      <c r="E556" s="42" t="s">
        <v>184</v>
      </c>
      <c r="F556" s="2"/>
      <c r="G556" s="11">
        <f>G557</f>
        <v>0</v>
      </c>
      <c r="H556" s="11">
        <f t="shared" si="313"/>
        <v>0</v>
      </c>
      <c r="I556" s="11">
        <f t="shared" si="313"/>
        <v>100</v>
      </c>
      <c r="J556" s="11">
        <f t="shared" si="313"/>
        <v>100</v>
      </c>
      <c r="K556" s="11">
        <f t="shared" si="313"/>
        <v>100</v>
      </c>
      <c r="L556" s="11">
        <f t="shared" si="313"/>
        <v>100</v>
      </c>
      <c r="M556" s="11">
        <f t="shared" si="313"/>
        <v>42</v>
      </c>
      <c r="N556" s="7">
        <f t="shared" si="294"/>
        <v>42</v>
      </c>
    </row>
    <row r="557" spans="1:14" ht="47.25">
      <c r="A557" s="31" t="s">
        <v>223</v>
      </c>
      <c r="B557" s="21" t="s">
        <v>222</v>
      </c>
      <c r="C557" s="42" t="s">
        <v>189</v>
      </c>
      <c r="D557" s="42" t="s">
        <v>273</v>
      </c>
      <c r="E557" s="42" t="s">
        <v>199</v>
      </c>
      <c r="F557" s="2"/>
      <c r="G557" s="11">
        <v>0</v>
      </c>
      <c r="H557" s="11">
        <v>0</v>
      </c>
      <c r="I557" s="11">
        <v>100</v>
      </c>
      <c r="J557" s="11">
        <v>100</v>
      </c>
      <c r="K557" s="11">
        <v>100</v>
      </c>
      <c r="L557" s="11">
        <f>'Прил.№4 ведомств.'!G193</f>
        <v>100</v>
      </c>
      <c r="M557" s="11">
        <f>'Прил.№4 ведомств.'!H193</f>
        <v>42</v>
      </c>
      <c r="N557" s="7">
        <f t="shared" si="294"/>
        <v>42</v>
      </c>
    </row>
    <row r="558" spans="1:14" ht="31.5" customHeight="1" hidden="1">
      <c r="A558" s="26" t="s">
        <v>932</v>
      </c>
      <c r="B558" s="21" t="s">
        <v>934</v>
      </c>
      <c r="C558" s="42" t="s">
        <v>189</v>
      </c>
      <c r="D558" s="42" t="s">
        <v>273</v>
      </c>
      <c r="E558" s="42"/>
      <c r="F558" s="2"/>
      <c r="G558" s="11"/>
      <c r="H558" s="11"/>
      <c r="I558" s="11"/>
      <c r="J558" s="11"/>
      <c r="K558" s="11"/>
      <c r="L558" s="11">
        <f>L559</f>
        <v>0</v>
      </c>
      <c r="M558" s="11">
        <f aca="true" t="shared" si="315" ref="M558:M559">M559</f>
        <v>0</v>
      </c>
      <c r="N558" s="7" t="e">
        <f t="shared" si="294"/>
        <v>#DIV/0!</v>
      </c>
    </row>
    <row r="559" spans="1:14" ht="15.75" customHeight="1" hidden="1">
      <c r="A559" s="31" t="s">
        <v>174</v>
      </c>
      <c r="B559" s="21" t="s">
        <v>934</v>
      </c>
      <c r="C559" s="42" t="s">
        <v>189</v>
      </c>
      <c r="D559" s="42" t="s">
        <v>273</v>
      </c>
      <c r="E559" s="42" t="s">
        <v>184</v>
      </c>
      <c r="F559" s="2"/>
      <c r="G559" s="11"/>
      <c r="H559" s="11"/>
      <c r="I559" s="11"/>
      <c r="J559" s="11"/>
      <c r="K559" s="11"/>
      <c r="L559" s="11">
        <f>L560</f>
        <v>0</v>
      </c>
      <c r="M559" s="11">
        <f t="shared" si="315"/>
        <v>0</v>
      </c>
      <c r="N559" s="7" t="e">
        <f t="shared" si="294"/>
        <v>#DIV/0!</v>
      </c>
    </row>
    <row r="560" spans="1:14" ht="47.25" customHeight="1" hidden="1">
      <c r="A560" s="31" t="s">
        <v>223</v>
      </c>
      <c r="B560" s="21" t="s">
        <v>934</v>
      </c>
      <c r="C560" s="42" t="s">
        <v>189</v>
      </c>
      <c r="D560" s="42" t="s">
        <v>273</v>
      </c>
      <c r="E560" s="42" t="s">
        <v>199</v>
      </c>
      <c r="F560" s="2"/>
      <c r="G560" s="11"/>
      <c r="H560" s="11"/>
      <c r="I560" s="11"/>
      <c r="J560" s="11"/>
      <c r="K560" s="11"/>
      <c r="L560" s="11">
        <f>'Прил.№4 ведомств.'!G196</f>
        <v>0</v>
      </c>
      <c r="M560" s="11">
        <f>'Прил.№4 ведомств.'!H196</f>
        <v>0</v>
      </c>
      <c r="N560" s="7" t="e">
        <f t="shared" si="294"/>
        <v>#DIV/0!</v>
      </c>
    </row>
    <row r="561" spans="1:14" ht="15.75">
      <c r="A561" s="31" t="s">
        <v>187</v>
      </c>
      <c r="B561" s="32" t="s">
        <v>221</v>
      </c>
      <c r="C561" s="42"/>
      <c r="D561" s="42"/>
      <c r="E561" s="42"/>
      <c r="F561" s="2">
        <v>902</v>
      </c>
      <c r="G561" s="11">
        <f aca="true" t="shared" si="316" ref="G561:L561">G553</f>
        <v>0</v>
      </c>
      <c r="H561" s="11">
        <f t="shared" si="316"/>
        <v>0</v>
      </c>
      <c r="I561" s="11">
        <f t="shared" si="316"/>
        <v>100</v>
      </c>
      <c r="J561" s="11">
        <f t="shared" si="316"/>
        <v>100</v>
      </c>
      <c r="K561" s="11">
        <f t="shared" si="316"/>
        <v>100</v>
      </c>
      <c r="L561" s="11">
        <f t="shared" si="316"/>
        <v>100</v>
      </c>
      <c r="M561" s="11">
        <f aca="true" t="shared" si="317" ref="M561">M553</f>
        <v>42</v>
      </c>
      <c r="N561" s="7">
        <f t="shared" si="294"/>
        <v>42</v>
      </c>
    </row>
    <row r="562" spans="1:14" ht="63">
      <c r="A562" s="43" t="s">
        <v>1043</v>
      </c>
      <c r="B562" s="8" t="s">
        <v>558</v>
      </c>
      <c r="C562" s="8"/>
      <c r="D562" s="8"/>
      <c r="E562" s="83"/>
      <c r="F562" s="3"/>
      <c r="G562" s="68" t="e">
        <f>G563</f>
        <v>#REF!</v>
      </c>
      <c r="H562" s="68" t="e">
        <f aca="true" t="shared" si="318" ref="H562:M563">H563</f>
        <v>#REF!</v>
      </c>
      <c r="I562" s="68" t="e">
        <f t="shared" si="318"/>
        <v>#REF!</v>
      </c>
      <c r="J562" s="68" t="e">
        <f t="shared" si="318"/>
        <v>#REF!</v>
      </c>
      <c r="K562" s="68" t="e">
        <f t="shared" si="318"/>
        <v>#REF!</v>
      </c>
      <c r="L562" s="68">
        <f t="shared" si="318"/>
        <v>7797.5</v>
      </c>
      <c r="M562" s="68">
        <f t="shared" si="318"/>
        <v>6954.7</v>
      </c>
      <c r="N562" s="4">
        <f t="shared" si="294"/>
        <v>89.19140750240462</v>
      </c>
    </row>
    <row r="563" spans="1:14" ht="15.75">
      <c r="A563" s="31" t="s">
        <v>430</v>
      </c>
      <c r="B563" s="42" t="s">
        <v>558</v>
      </c>
      <c r="C563" s="42" t="s">
        <v>273</v>
      </c>
      <c r="D563" s="42"/>
      <c r="E563" s="84"/>
      <c r="F563" s="2"/>
      <c r="G563" s="11" t="e">
        <f>G564</f>
        <v>#REF!</v>
      </c>
      <c r="H563" s="11" t="e">
        <f t="shared" si="318"/>
        <v>#REF!</v>
      </c>
      <c r="I563" s="11" t="e">
        <f t="shared" si="318"/>
        <v>#REF!</v>
      </c>
      <c r="J563" s="11" t="e">
        <f t="shared" si="318"/>
        <v>#REF!</v>
      </c>
      <c r="K563" s="11" t="e">
        <f t="shared" si="318"/>
        <v>#REF!</v>
      </c>
      <c r="L563" s="11">
        <f t="shared" si="318"/>
        <v>7797.5</v>
      </c>
      <c r="M563" s="11">
        <f t="shared" si="318"/>
        <v>6954.7</v>
      </c>
      <c r="N563" s="7">
        <f t="shared" si="294"/>
        <v>89.19140750240462</v>
      </c>
    </row>
    <row r="564" spans="1:14" ht="15.75">
      <c r="A564" s="31" t="s">
        <v>557</v>
      </c>
      <c r="B564" s="42" t="s">
        <v>558</v>
      </c>
      <c r="C564" s="42" t="s">
        <v>273</v>
      </c>
      <c r="D564" s="42" t="s">
        <v>252</v>
      </c>
      <c r="E564" s="84"/>
      <c r="F564" s="2"/>
      <c r="G564" s="11" t="e">
        <f aca="true" t="shared" si="319" ref="G564:L564">G569+G572+G577+G582+G585+G588+G591</f>
        <v>#REF!</v>
      </c>
      <c r="H564" s="11" t="e">
        <f t="shared" si="319"/>
        <v>#REF!</v>
      </c>
      <c r="I564" s="11" t="e">
        <f t="shared" si="319"/>
        <v>#REF!</v>
      </c>
      <c r="J564" s="11" t="e">
        <f t="shared" si="319"/>
        <v>#REF!</v>
      </c>
      <c r="K564" s="11" t="e">
        <f t="shared" si="319"/>
        <v>#REF!</v>
      </c>
      <c r="L564" s="11">
        <f t="shared" si="319"/>
        <v>7797.5</v>
      </c>
      <c r="M564" s="11">
        <f aca="true" t="shared" si="320" ref="M564">M569+M572+M577+M582+M585+M588+M591</f>
        <v>6954.7</v>
      </c>
      <c r="N564" s="7">
        <f t="shared" si="294"/>
        <v>89.19140750240462</v>
      </c>
    </row>
    <row r="565" spans="1:14" ht="31.5" customHeight="1" hidden="1">
      <c r="A565" s="37" t="s">
        <v>559</v>
      </c>
      <c r="B565" s="21" t="s">
        <v>560</v>
      </c>
      <c r="C565" s="42" t="s">
        <v>273</v>
      </c>
      <c r="D565" s="42" t="s">
        <v>252</v>
      </c>
      <c r="E565" s="84"/>
      <c r="F565" s="2"/>
      <c r="G565" s="11">
        <f>G566</f>
        <v>0</v>
      </c>
      <c r="H565" s="11">
        <f aca="true" t="shared" si="321" ref="H565:M566">H566</f>
        <v>0</v>
      </c>
      <c r="I565" s="11">
        <f t="shared" si="321"/>
        <v>0</v>
      </c>
      <c r="J565" s="11">
        <f t="shared" si="321"/>
        <v>0</v>
      </c>
      <c r="K565" s="11">
        <f t="shared" si="321"/>
        <v>0</v>
      </c>
      <c r="L565" s="11">
        <f t="shared" si="321"/>
        <v>0</v>
      </c>
      <c r="M565" s="11">
        <f t="shared" si="321"/>
        <v>0</v>
      </c>
      <c r="N565" s="7" t="e">
        <f t="shared" si="294"/>
        <v>#DIV/0!</v>
      </c>
    </row>
    <row r="566" spans="1:14" ht="31.5" customHeight="1" hidden="1">
      <c r="A566" s="31" t="s">
        <v>170</v>
      </c>
      <c r="B566" s="21" t="s">
        <v>560</v>
      </c>
      <c r="C566" s="42" t="s">
        <v>273</v>
      </c>
      <c r="D566" s="42" t="s">
        <v>252</v>
      </c>
      <c r="E566" s="42" t="s">
        <v>171</v>
      </c>
      <c r="F566" s="2"/>
      <c r="G566" s="11">
        <f>G567</f>
        <v>0</v>
      </c>
      <c r="H566" s="11">
        <f t="shared" si="321"/>
        <v>0</v>
      </c>
      <c r="I566" s="11">
        <f t="shared" si="321"/>
        <v>0</v>
      </c>
      <c r="J566" s="11">
        <f t="shared" si="321"/>
        <v>0</v>
      </c>
      <c r="K566" s="11">
        <f t="shared" si="321"/>
        <v>0</v>
      </c>
      <c r="L566" s="11">
        <f t="shared" si="321"/>
        <v>0</v>
      </c>
      <c r="M566" s="11">
        <f t="shared" si="321"/>
        <v>0</v>
      </c>
      <c r="N566" s="7" t="e">
        <f t="shared" si="294"/>
        <v>#DIV/0!</v>
      </c>
    </row>
    <row r="567" spans="1:14" ht="31.5" customHeight="1" hidden="1">
      <c r="A567" s="31" t="s">
        <v>172</v>
      </c>
      <c r="B567" s="21" t="s">
        <v>560</v>
      </c>
      <c r="C567" s="42" t="s">
        <v>273</v>
      </c>
      <c r="D567" s="42" t="s">
        <v>252</v>
      </c>
      <c r="E567" s="42" t="s">
        <v>173</v>
      </c>
      <c r="F567" s="2"/>
      <c r="G567" s="11"/>
      <c r="H567" s="11"/>
      <c r="I567" s="11"/>
      <c r="J567" s="11"/>
      <c r="K567" s="11"/>
      <c r="L567" s="11"/>
      <c r="M567" s="11"/>
      <c r="N567" s="7" t="e">
        <f t="shared" si="294"/>
        <v>#DIV/0!</v>
      </c>
    </row>
    <row r="568" spans="1:14" ht="31.5" customHeight="1" hidden="1">
      <c r="A568" s="47" t="s">
        <v>681</v>
      </c>
      <c r="B568" s="21" t="s">
        <v>560</v>
      </c>
      <c r="C568" s="42"/>
      <c r="D568" s="42"/>
      <c r="E568" s="42"/>
      <c r="F568" s="2">
        <v>908</v>
      </c>
      <c r="G568" s="11">
        <f aca="true" t="shared" si="322" ref="G568:L568">G565</f>
        <v>0</v>
      </c>
      <c r="H568" s="11">
        <f t="shared" si="322"/>
        <v>0</v>
      </c>
      <c r="I568" s="11">
        <f t="shared" si="322"/>
        <v>0</v>
      </c>
      <c r="J568" s="11">
        <f t="shared" si="322"/>
        <v>0</v>
      </c>
      <c r="K568" s="11">
        <f t="shared" si="322"/>
        <v>0</v>
      </c>
      <c r="L568" s="11">
        <f t="shared" si="322"/>
        <v>0</v>
      </c>
      <c r="M568" s="11">
        <f aca="true" t="shared" si="323" ref="M568">M565</f>
        <v>0</v>
      </c>
      <c r="N568" s="7" t="e">
        <f t="shared" si="294"/>
        <v>#DIV/0!</v>
      </c>
    </row>
    <row r="569" spans="1:14" ht="15.75">
      <c r="A569" s="47" t="s">
        <v>561</v>
      </c>
      <c r="B569" s="21" t="s">
        <v>562</v>
      </c>
      <c r="C569" s="42" t="s">
        <v>273</v>
      </c>
      <c r="D569" s="42" t="s">
        <v>252</v>
      </c>
      <c r="E569" s="42"/>
      <c r="F569" s="2"/>
      <c r="G569" s="11" t="e">
        <f>G570</f>
        <v>#REF!</v>
      </c>
      <c r="H569" s="11" t="e">
        <f aca="true" t="shared" si="324" ref="H569:M570">H570</f>
        <v>#REF!</v>
      </c>
      <c r="I569" s="11" t="e">
        <f t="shared" si="324"/>
        <v>#REF!</v>
      </c>
      <c r="J569" s="11" t="e">
        <f t="shared" si="324"/>
        <v>#REF!</v>
      </c>
      <c r="K569" s="11" t="e">
        <f t="shared" si="324"/>
        <v>#REF!</v>
      </c>
      <c r="L569" s="11">
        <f t="shared" si="324"/>
        <v>4377</v>
      </c>
      <c r="M569" s="11">
        <f t="shared" si="324"/>
        <v>4374.2</v>
      </c>
      <c r="N569" s="7">
        <f t="shared" si="294"/>
        <v>99.93602924377427</v>
      </c>
    </row>
    <row r="570" spans="1:14" ht="31.5">
      <c r="A570" s="33" t="s">
        <v>170</v>
      </c>
      <c r="B570" s="21" t="s">
        <v>562</v>
      </c>
      <c r="C570" s="42" t="s">
        <v>273</v>
      </c>
      <c r="D570" s="42" t="s">
        <v>252</v>
      </c>
      <c r="E570" s="42" t="s">
        <v>171</v>
      </c>
      <c r="F570" s="2"/>
      <c r="G570" s="11" t="e">
        <f>G571</f>
        <v>#REF!</v>
      </c>
      <c r="H570" s="11" t="e">
        <f t="shared" si="324"/>
        <v>#REF!</v>
      </c>
      <c r="I570" s="11" t="e">
        <f t="shared" si="324"/>
        <v>#REF!</v>
      </c>
      <c r="J570" s="11" t="e">
        <f t="shared" si="324"/>
        <v>#REF!</v>
      </c>
      <c r="K570" s="11" t="e">
        <f t="shared" si="324"/>
        <v>#REF!</v>
      </c>
      <c r="L570" s="11">
        <f t="shared" si="324"/>
        <v>4377</v>
      </c>
      <c r="M570" s="11">
        <f t="shared" si="324"/>
        <v>4374.2</v>
      </c>
      <c r="N570" s="7">
        <f t="shared" si="294"/>
        <v>99.93602924377427</v>
      </c>
    </row>
    <row r="571" spans="1:14" ht="31.5">
      <c r="A571" s="33" t="s">
        <v>172</v>
      </c>
      <c r="B571" s="21" t="s">
        <v>562</v>
      </c>
      <c r="C571" s="42" t="s">
        <v>273</v>
      </c>
      <c r="D571" s="42" t="s">
        <v>252</v>
      </c>
      <c r="E571" s="42" t="s">
        <v>173</v>
      </c>
      <c r="F571" s="2"/>
      <c r="G571" s="11" t="e">
        <f>#REF!</f>
        <v>#REF!</v>
      </c>
      <c r="H571" s="11" t="e">
        <f>#REF!</f>
        <v>#REF!</v>
      </c>
      <c r="I571" s="11" t="e">
        <f>#REF!</f>
        <v>#REF!</v>
      </c>
      <c r="J571" s="11" t="e">
        <f>#REF!</f>
        <v>#REF!</v>
      </c>
      <c r="K571" s="11" t="e">
        <f>#REF!</f>
        <v>#REF!</v>
      </c>
      <c r="L571" s="11">
        <f>'Прил.№4 ведомств.'!G1073</f>
        <v>4377</v>
      </c>
      <c r="M571" s="11">
        <f>'Прил.№4 ведомств.'!H1073</f>
        <v>4374.2</v>
      </c>
      <c r="N571" s="7">
        <f t="shared" si="294"/>
        <v>99.93602924377427</v>
      </c>
    </row>
    <row r="572" spans="1:14" ht="15.75" customHeight="1">
      <c r="A572" s="47" t="s">
        <v>563</v>
      </c>
      <c r="B572" s="21" t="s">
        <v>564</v>
      </c>
      <c r="C572" s="42" t="s">
        <v>273</v>
      </c>
      <c r="D572" s="42" t="s">
        <v>252</v>
      </c>
      <c r="E572" s="42"/>
      <c r="F572" s="2"/>
      <c r="G572" s="11" t="e">
        <f>G573</f>
        <v>#REF!</v>
      </c>
      <c r="H572" s="11" t="e">
        <f aca="true" t="shared" si="325" ref="H572:M573">H573</f>
        <v>#REF!</v>
      </c>
      <c r="I572" s="11" t="e">
        <f t="shared" si="325"/>
        <v>#REF!</v>
      </c>
      <c r="J572" s="11" t="e">
        <f t="shared" si="325"/>
        <v>#REF!</v>
      </c>
      <c r="K572" s="11" t="e">
        <f t="shared" si="325"/>
        <v>#REF!</v>
      </c>
      <c r="L572" s="11">
        <f>L573+L575</f>
        <v>400</v>
      </c>
      <c r="M572" s="11">
        <f aca="true" t="shared" si="326" ref="M572">M573+M575</f>
        <v>290</v>
      </c>
      <c r="N572" s="7">
        <f t="shared" si="294"/>
        <v>72.5</v>
      </c>
    </row>
    <row r="573" spans="1:14" ht="31.5" customHeight="1">
      <c r="A573" s="33" t="s">
        <v>170</v>
      </c>
      <c r="B573" s="21" t="s">
        <v>564</v>
      </c>
      <c r="C573" s="42" t="s">
        <v>273</v>
      </c>
      <c r="D573" s="42" t="s">
        <v>252</v>
      </c>
      <c r="E573" s="42" t="s">
        <v>171</v>
      </c>
      <c r="F573" s="2"/>
      <c r="G573" s="11" t="e">
        <f>G574</f>
        <v>#REF!</v>
      </c>
      <c r="H573" s="11" t="e">
        <f t="shared" si="325"/>
        <v>#REF!</v>
      </c>
      <c r="I573" s="11" t="e">
        <f t="shared" si="325"/>
        <v>#REF!</v>
      </c>
      <c r="J573" s="11" t="e">
        <f t="shared" si="325"/>
        <v>#REF!</v>
      </c>
      <c r="K573" s="11" t="e">
        <f t="shared" si="325"/>
        <v>#REF!</v>
      </c>
      <c r="L573" s="11">
        <f t="shared" si="325"/>
        <v>400</v>
      </c>
      <c r="M573" s="11">
        <f t="shared" si="325"/>
        <v>290</v>
      </c>
      <c r="N573" s="7">
        <f t="shared" si="294"/>
        <v>72.5</v>
      </c>
    </row>
    <row r="574" spans="1:14" ht="31.5" customHeight="1">
      <c r="A574" s="33" t="s">
        <v>172</v>
      </c>
      <c r="B574" s="21" t="s">
        <v>564</v>
      </c>
      <c r="C574" s="42" t="s">
        <v>273</v>
      </c>
      <c r="D574" s="42" t="s">
        <v>252</v>
      </c>
      <c r="E574" s="42" t="s">
        <v>173</v>
      </c>
      <c r="F574" s="2"/>
      <c r="G574" s="11" t="e">
        <f>#REF!</f>
        <v>#REF!</v>
      </c>
      <c r="H574" s="11" t="e">
        <f>#REF!</f>
        <v>#REF!</v>
      </c>
      <c r="I574" s="11" t="e">
        <f>#REF!</f>
        <v>#REF!</v>
      </c>
      <c r="J574" s="11" t="e">
        <f>#REF!</f>
        <v>#REF!</v>
      </c>
      <c r="K574" s="11" t="e">
        <f>#REF!</f>
        <v>#REF!</v>
      </c>
      <c r="L574" s="11">
        <f>'Прил.№4 ведомств.'!G1076</f>
        <v>400</v>
      </c>
      <c r="M574" s="11">
        <f>'Прил.№4 ведомств.'!H1076</f>
        <v>290</v>
      </c>
      <c r="N574" s="7">
        <f t="shared" si="294"/>
        <v>72.5</v>
      </c>
    </row>
    <row r="575" spans="1:14" ht="15.75" customHeight="1" hidden="1">
      <c r="A575" s="31" t="s">
        <v>174</v>
      </c>
      <c r="B575" s="21" t="s">
        <v>564</v>
      </c>
      <c r="C575" s="42" t="s">
        <v>273</v>
      </c>
      <c r="D575" s="42" t="s">
        <v>252</v>
      </c>
      <c r="E575" s="42" t="s">
        <v>184</v>
      </c>
      <c r="F575" s="2"/>
      <c r="G575" s="11"/>
      <c r="H575" s="11"/>
      <c r="I575" s="11"/>
      <c r="J575" s="11"/>
      <c r="K575" s="11"/>
      <c r="L575" s="11">
        <f>L576</f>
        <v>0</v>
      </c>
      <c r="M575" s="11">
        <f aca="true" t="shared" si="327" ref="M575">M576</f>
        <v>0</v>
      </c>
      <c r="N575" s="7" t="e">
        <f t="shared" si="294"/>
        <v>#DIV/0!</v>
      </c>
    </row>
    <row r="576" spans="1:14" ht="15.75" customHeight="1" hidden="1">
      <c r="A576" s="26" t="s">
        <v>185</v>
      </c>
      <c r="B576" s="21" t="s">
        <v>564</v>
      </c>
      <c r="C576" s="42" t="s">
        <v>273</v>
      </c>
      <c r="D576" s="42" t="s">
        <v>252</v>
      </c>
      <c r="E576" s="42" t="s">
        <v>186</v>
      </c>
      <c r="F576" s="2"/>
      <c r="G576" s="11"/>
      <c r="H576" s="11"/>
      <c r="I576" s="11"/>
      <c r="J576" s="11"/>
      <c r="K576" s="11"/>
      <c r="L576" s="11">
        <f>'Прил.№4 ведомств.'!G1078</f>
        <v>0</v>
      </c>
      <c r="M576" s="11">
        <f>'Прил.№4 ведомств.'!H1078</f>
        <v>0</v>
      </c>
      <c r="N576" s="7" t="e">
        <f t="shared" si="294"/>
        <v>#DIV/0!</v>
      </c>
    </row>
    <row r="577" spans="1:14" ht="15.75" customHeight="1">
      <c r="A577" s="47" t="s">
        <v>565</v>
      </c>
      <c r="B577" s="21" t="s">
        <v>566</v>
      </c>
      <c r="C577" s="42" t="s">
        <v>273</v>
      </c>
      <c r="D577" s="42" t="s">
        <v>252</v>
      </c>
      <c r="E577" s="42"/>
      <c r="F577" s="2"/>
      <c r="G577" s="11" t="e">
        <f>G578</f>
        <v>#REF!</v>
      </c>
      <c r="H577" s="11" t="e">
        <f aca="true" t="shared" si="328" ref="H577:M578">H578</f>
        <v>#REF!</v>
      </c>
      <c r="I577" s="11" t="e">
        <f t="shared" si="328"/>
        <v>#REF!</v>
      </c>
      <c r="J577" s="11" t="e">
        <f t="shared" si="328"/>
        <v>#REF!</v>
      </c>
      <c r="K577" s="11" t="e">
        <f t="shared" si="328"/>
        <v>#REF!</v>
      </c>
      <c r="L577" s="11">
        <f>L578+L580</f>
        <v>590.5</v>
      </c>
      <c r="M577" s="11">
        <f aca="true" t="shared" si="329" ref="M577">M578+M580</f>
        <v>156.8</v>
      </c>
      <c r="N577" s="7">
        <f t="shared" si="294"/>
        <v>26.553767993226078</v>
      </c>
    </row>
    <row r="578" spans="1:14" ht="31.5" customHeight="1">
      <c r="A578" s="33" t="s">
        <v>170</v>
      </c>
      <c r="B578" s="21" t="s">
        <v>566</v>
      </c>
      <c r="C578" s="42" t="s">
        <v>273</v>
      </c>
      <c r="D578" s="42" t="s">
        <v>252</v>
      </c>
      <c r="E578" s="42" t="s">
        <v>171</v>
      </c>
      <c r="F578" s="2"/>
      <c r="G578" s="11" t="e">
        <f>G579</f>
        <v>#REF!</v>
      </c>
      <c r="H578" s="11" t="e">
        <f t="shared" si="328"/>
        <v>#REF!</v>
      </c>
      <c r="I578" s="11" t="e">
        <f t="shared" si="328"/>
        <v>#REF!</v>
      </c>
      <c r="J578" s="11" t="e">
        <f t="shared" si="328"/>
        <v>#REF!</v>
      </c>
      <c r="K578" s="11" t="e">
        <f t="shared" si="328"/>
        <v>#REF!</v>
      </c>
      <c r="L578" s="11">
        <f t="shared" si="328"/>
        <v>590.5</v>
      </c>
      <c r="M578" s="11">
        <f t="shared" si="328"/>
        <v>156.8</v>
      </c>
      <c r="N578" s="7">
        <f t="shared" si="294"/>
        <v>26.553767993226078</v>
      </c>
    </row>
    <row r="579" spans="1:14" ht="31.5" customHeight="1">
      <c r="A579" s="33" t="s">
        <v>172</v>
      </c>
      <c r="B579" s="21" t="s">
        <v>566</v>
      </c>
      <c r="C579" s="42" t="s">
        <v>273</v>
      </c>
      <c r="D579" s="42" t="s">
        <v>252</v>
      </c>
      <c r="E579" s="42" t="s">
        <v>173</v>
      </c>
      <c r="F579" s="2"/>
      <c r="G579" s="11" t="e">
        <f>#REF!</f>
        <v>#REF!</v>
      </c>
      <c r="H579" s="11" t="e">
        <f>#REF!</f>
        <v>#REF!</v>
      </c>
      <c r="I579" s="11" t="e">
        <f>#REF!</f>
        <v>#REF!</v>
      </c>
      <c r="J579" s="11" t="e">
        <f>#REF!</f>
        <v>#REF!</v>
      </c>
      <c r="K579" s="11" t="e">
        <f>#REF!</f>
        <v>#REF!</v>
      </c>
      <c r="L579" s="11">
        <f>'Прил.№4 ведомств.'!G1081</f>
        <v>590.5</v>
      </c>
      <c r="M579" s="11">
        <f>'Прил.№4 ведомств.'!H1081</f>
        <v>156.8</v>
      </c>
      <c r="N579" s="7">
        <f t="shared" si="294"/>
        <v>26.553767993226078</v>
      </c>
    </row>
    <row r="580" spans="1:14" ht="15.75" customHeight="1" hidden="1">
      <c r="A580" s="31" t="s">
        <v>174</v>
      </c>
      <c r="B580" s="21" t="s">
        <v>566</v>
      </c>
      <c r="C580" s="42" t="s">
        <v>273</v>
      </c>
      <c r="D580" s="42" t="s">
        <v>252</v>
      </c>
      <c r="E580" s="42" t="s">
        <v>184</v>
      </c>
      <c r="F580" s="2"/>
      <c r="G580" s="11"/>
      <c r="H580" s="11"/>
      <c r="I580" s="11"/>
      <c r="J580" s="11"/>
      <c r="K580" s="11"/>
      <c r="L580" s="11">
        <f>L581</f>
        <v>0</v>
      </c>
      <c r="M580" s="11">
        <f aca="true" t="shared" si="330" ref="M580">M581</f>
        <v>0</v>
      </c>
      <c r="N580" s="7" t="e">
        <f t="shared" si="294"/>
        <v>#DIV/0!</v>
      </c>
    </row>
    <row r="581" spans="1:14" ht="15.75" customHeight="1" hidden="1">
      <c r="A581" s="26" t="s">
        <v>774</v>
      </c>
      <c r="B581" s="21" t="s">
        <v>566</v>
      </c>
      <c r="C581" s="42" t="s">
        <v>273</v>
      </c>
      <c r="D581" s="42" t="s">
        <v>252</v>
      </c>
      <c r="E581" s="42" t="s">
        <v>177</v>
      </c>
      <c r="F581" s="2"/>
      <c r="G581" s="11"/>
      <c r="H581" s="11"/>
      <c r="I581" s="11"/>
      <c r="J581" s="11"/>
      <c r="K581" s="11"/>
      <c r="L581" s="11">
        <f>'Прил.№4 ведомств.'!G1083</f>
        <v>0</v>
      </c>
      <c r="M581" s="11">
        <f>'Прил.№4 ведомств.'!H1083</f>
        <v>0</v>
      </c>
      <c r="N581" s="7" t="e">
        <f t="shared" si="294"/>
        <v>#DIV/0!</v>
      </c>
    </row>
    <row r="582" spans="1:14" ht="15.75">
      <c r="A582" s="47" t="s">
        <v>567</v>
      </c>
      <c r="B582" s="21" t="s">
        <v>568</v>
      </c>
      <c r="C582" s="42" t="s">
        <v>273</v>
      </c>
      <c r="D582" s="42" t="s">
        <v>252</v>
      </c>
      <c r="E582" s="42"/>
      <c r="F582" s="2"/>
      <c r="G582" s="11" t="e">
        <f>G583</f>
        <v>#REF!</v>
      </c>
      <c r="H582" s="11" t="e">
        <f aca="true" t="shared" si="331" ref="H582:M583">H583</f>
        <v>#REF!</v>
      </c>
      <c r="I582" s="11" t="e">
        <f t="shared" si="331"/>
        <v>#REF!</v>
      </c>
      <c r="J582" s="11" t="e">
        <f t="shared" si="331"/>
        <v>#REF!</v>
      </c>
      <c r="K582" s="11" t="e">
        <f t="shared" si="331"/>
        <v>#REF!</v>
      </c>
      <c r="L582" s="11">
        <f t="shared" si="331"/>
        <v>2330</v>
      </c>
      <c r="M582" s="11">
        <f t="shared" si="331"/>
        <v>2083.7</v>
      </c>
      <c r="N582" s="7">
        <f t="shared" si="294"/>
        <v>89.42918454935621</v>
      </c>
    </row>
    <row r="583" spans="1:14" ht="31.5">
      <c r="A583" s="33" t="s">
        <v>170</v>
      </c>
      <c r="B583" s="21" t="s">
        <v>568</v>
      </c>
      <c r="C583" s="42" t="s">
        <v>273</v>
      </c>
      <c r="D583" s="42" t="s">
        <v>252</v>
      </c>
      <c r="E583" s="42" t="s">
        <v>171</v>
      </c>
      <c r="F583" s="2"/>
      <c r="G583" s="11" t="e">
        <f>G584</f>
        <v>#REF!</v>
      </c>
      <c r="H583" s="11" t="e">
        <f t="shared" si="331"/>
        <v>#REF!</v>
      </c>
      <c r="I583" s="11" t="e">
        <f t="shared" si="331"/>
        <v>#REF!</v>
      </c>
      <c r="J583" s="11" t="e">
        <f t="shared" si="331"/>
        <v>#REF!</v>
      </c>
      <c r="K583" s="11" t="e">
        <f t="shared" si="331"/>
        <v>#REF!</v>
      </c>
      <c r="L583" s="11">
        <f t="shared" si="331"/>
        <v>2330</v>
      </c>
      <c r="M583" s="11">
        <f t="shared" si="331"/>
        <v>2083.7</v>
      </c>
      <c r="N583" s="7">
        <f t="shared" si="294"/>
        <v>89.42918454935621</v>
      </c>
    </row>
    <row r="584" spans="1:14" ht="31.5">
      <c r="A584" s="33" t="s">
        <v>172</v>
      </c>
      <c r="B584" s="21" t="s">
        <v>568</v>
      </c>
      <c r="C584" s="42" t="s">
        <v>273</v>
      </c>
      <c r="D584" s="42" t="s">
        <v>252</v>
      </c>
      <c r="E584" s="42" t="s">
        <v>173</v>
      </c>
      <c r="F584" s="2"/>
      <c r="G584" s="11" t="e">
        <f>#REF!</f>
        <v>#REF!</v>
      </c>
      <c r="H584" s="11" t="e">
        <f>#REF!</f>
        <v>#REF!</v>
      </c>
      <c r="I584" s="11" t="e">
        <f>#REF!</f>
        <v>#REF!</v>
      </c>
      <c r="J584" s="11" t="e">
        <f>#REF!</f>
        <v>#REF!</v>
      </c>
      <c r="K584" s="11" t="e">
        <f>#REF!</f>
        <v>#REF!</v>
      </c>
      <c r="L584" s="11">
        <f>'Прил.№4 ведомств.'!G1086</f>
        <v>2330</v>
      </c>
      <c r="M584" s="11">
        <f>'Прил.№4 ведомств.'!H1086</f>
        <v>2083.7</v>
      </c>
      <c r="N584" s="7">
        <f t="shared" si="294"/>
        <v>89.42918454935621</v>
      </c>
    </row>
    <row r="585" spans="1:14" ht="15.75" customHeight="1" hidden="1">
      <c r="A585" s="47" t="s">
        <v>569</v>
      </c>
      <c r="B585" s="21" t="s">
        <v>570</v>
      </c>
      <c r="C585" s="42" t="s">
        <v>273</v>
      </c>
      <c r="D585" s="42" t="s">
        <v>252</v>
      </c>
      <c r="E585" s="42"/>
      <c r="F585" s="2"/>
      <c r="G585" s="11" t="e">
        <f>G586</f>
        <v>#REF!</v>
      </c>
      <c r="H585" s="11" t="e">
        <f aca="true" t="shared" si="332" ref="H585:M586">H586</f>
        <v>#REF!</v>
      </c>
      <c r="I585" s="11" t="e">
        <f t="shared" si="332"/>
        <v>#REF!</v>
      </c>
      <c r="J585" s="11" t="e">
        <f t="shared" si="332"/>
        <v>#REF!</v>
      </c>
      <c r="K585" s="11" t="e">
        <f t="shared" si="332"/>
        <v>#REF!</v>
      </c>
      <c r="L585" s="11">
        <f t="shared" si="332"/>
        <v>0</v>
      </c>
      <c r="M585" s="11">
        <f t="shared" si="332"/>
        <v>0</v>
      </c>
      <c r="N585" s="7" t="e">
        <f t="shared" si="294"/>
        <v>#DIV/0!</v>
      </c>
    </row>
    <row r="586" spans="1:14" ht="31.5" customHeight="1" hidden="1">
      <c r="A586" s="33" t="s">
        <v>170</v>
      </c>
      <c r="B586" s="21" t="s">
        <v>570</v>
      </c>
      <c r="C586" s="42" t="s">
        <v>273</v>
      </c>
      <c r="D586" s="42" t="s">
        <v>252</v>
      </c>
      <c r="E586" s="42" t="s">
        <v>171</v>
      </c>
      <c r="F586" s="2"/>
      <c r="G586" s="11" t="e">
        <f>G587</f>
        <v>#REF!</v>
      </c>
      <c r="H586" s="11" t="e">
        <f t="shared" si="332"/>
        <v>#REF!</v>
      </c>
      <c r="I586" s="11" t="e">
        <f t="shared" si="332"/>
        <v>#REF!</v>
      </c>
      <c r="J586" s="11" t="e">
        <f t="shared" si="332"/>
        <v>#REF!</v>
      </c>
      <c r="K586" s="11" t="e">
        <f t="shared" si="332"/>
        <v>#REF!</v>
      </c>
      <c r="L586" s="11">
        <f t="shared" si="332"/>
        <v>0</v>
      </c>
      <c r="M586" s="11">
        <f t="shared" si="332"/>
        <v>0</v>
      </c>
      <c r="N586" s="7" t="e">
        <f t="shared" si="294"/>
        <v>#DIV/0!</v>
      </c>
    </row>
    <row r="587" spans="1:14" ht="31.5" customHeight="1" hidden="1">
      <c r="A587" s="33" t="s">
        <v>172</v>
      </c>
      <c r="B587" s="21" t="s">
        <v>570</v>
      </c>
      <c r="C587" s="42" t="s">
        <v>273</v>
      </c>
      <c r="D587" s="42" t="s">
        <v>252</v>
      </c>
      <c r="E587" s="42" t="s">
        <v>173</v>
      </c>
      <c r="F587" s="2"/>
      <c r="G587" s="11" t="e">
        <f>#REF!</f>
        <v>#REF!</v>
      </c>
      <c r="H587" s="11" t="e">
        <f>#REF!</f>
        <v>#REF!</v>
      </c>
      <c r="I587" s="11" t="e">
        <f>#REF!</f>
        <v>#REF!</v>
      </c>
      <c r="J587" s="11" t="e">
        <f>#REF!</f>
        <v>#REF!</v>
      </c>
      <c r="K587" s="11" t="e">
        <f>#REF!</f>
        <v>#REF!</v>
      </c>
      <c r="L587" s="11">
        <f>'Прил.№4 ведомств.'!G1089</f>
        <v>0</v>
      </c>
      <c r="M587" s="11">
        <f>'Прил.№4 ведомств.'!H1089</f>
        <v>0</v>
      </c>
      <c r="N587" s="7" t="e">
        <f t="shared" si="294"/>
        <v>#DIV/0!</v>
      </c>
    </row>
    <row r="588" spans="1:14" ht="31.5" customHeight="1" hidden="1">
      <c r="A588" s="196" t="s">
        <v>571</v>
      </c>
      <c r="B588" s="21" t="s">
        <v>572</v>
      </c>
      <c r="C588" s="42" t="s">
        <v>273</v>
      </c>
      <c r="D588" s="42" t="s">
        <v>252</v>
      </c>
      <c r="E588" s="42"/>
      <c r="F588" s="2"/>
      <c r="G588" s="11">
        <f>G589</f>
        <v>0</v>
      </c>
      <c r="H588" s="11">
        <f aca="true" t="shared" si="333" ref="H588:M589">H589</f>
        <v>0</v>
      </c>
      <c r="I588" s="11">
        <f t="shared" si="333"/>
        <v>0</v>
      </c>
      <c r="J588" s="11">
        <f t="shared" si="333"/>
        <v>0</v>
      </c>
      <c r="K588" s="11">
        <f t="shared" si="333"/>
        <v>0</v>
      </c>
      <c r="L588" s="11">
        <f t="shared" si="333"/>
        <v>0</v>
      </c>
      <c r="M588" s="11">
        <f t="shared" si="333"/>
        <v>0</v>
      </c>
      <c r="N588" s="7" t="e">
        <f t="shared" si="294"/>
        <v>#DIV/0!</v>
      </c>
    </row>
    <row r="589" spans="1:14" ht="31.5" customHeight="1" hidden="1">
      <c r="A589" s="33" t="s">
        <v>170</v>
      </c>
      <c r="B589" s="21" t="s">
        <v>572</v>
      </c>
      <c r="C589" s="42" t="s">
        <v>273</v>
      </c>
      <c r="D589" s="42" t="s">
        <v>252</v>
      </c>
      <c r="E589" s="42"/>
      <c r="F589" s="2"/>
      <c r="G589" s="11">
        <f>G590</f>
        <v>0</v>
      </c>
      <c r="H589" s="11">
        <f t="shared" si="333"/>
        <v>0</v>
      </c>
      <c r="I589" s="11">
        <f t="shared" si="333"/>
        <v>0</v>
      </c>
      <c r="J589" s="11">
        <f t="shared" si="333"/>
        <v>0</v>
      </c>
      <c r="K589" s="11">
        <f t="shared" si="333"/>
        <v>0</v>
      </c>
      <c r="L589" s="11">
        <f t="shared" si="333"/>
        <v>0</v>
      </c>
      <c r="M589" s="11">
        <f t="shared" si="333"/>
        <v>0</v>
      </c>
      <c r="N589" s="7" t="e">
        <f aca="true" t="shared" si="334" ref="N589:N652">M589/L589*100</f>
        <v>#DIV/0!</v>
      </c>
    </row>
    <row r="590" spans="1:14" ht="31.5" customHeight="1" hidden="1">
      <c r="A590" s="33" t="s">
        <v>172</v>
      </c>
      <c r="B590" s="21" t="s">
        <v>572</v>
      </c>
      <c r="C590" s="42" t="s">
        <v>273</v>
      </c>
      <c r="D590" s="42" t="s">
        <v>252</v>
      </c>
      <c r="E590" s="42"/>
      <c r="F590" s="2"/>
      <c r="G590" s="11"/>
      <c r="H590" s="11"/>
      <c r="I590" s="11"/>
      <c r="J590" s="11"/>
      <c r="K590" s="11"/>
      <c r="L590" s="11"/>
      <c r="M590" s="11"/>
      <c r="N590" s="7" t="e">
        <f t="shared" si="334"/>
        <v>#DIV/0!</v>
      </c>
    </row>
    <row r="591" spans="1:14" ht="15.75">
      <c r="A591" s="196" t="s">
        <v>573</v>
      </c>
      <c r="B591" s="21" t="s">
        <v>574</v>
      </c>
      <c r="C591" s="42" t="s">
        <v>273</v>
      </c>
      <c r="D591" s="42" t="s">
        <v>252</v>
      </c>
      <c r="E591" s="42"/>
      <c r="F591" s="2"/>
      <c r="G591" s="11" t="e">
        <f>G592</f>
        <v>#REF!</v>
      </c>
      <c r="H591" s="11" t="e">
        <f aca="true" t="shared" si="335" ref="H591:M592">H592</f>
        <v>#REF!</v>
      </c>
      <c r="I591" s="11" t="e">
        <f t="shared" si="335"/>
        <v>#REF!</v>
      </c>
      <c r="J591" s="11" t="e">
        <f t="shared" si="335"/>
        <v>#REF!</v>
      </c>
      <c r="K591" s="11" t="e">
        <f t="shared" si="335"/>
        <v>#REF!</v>
      </c>
      <c r="L591" s="11">
        <f t="shared" si="335"/>
        <v>100</v>
      </c>
      <c r="M591" s="11">
        <f t="shared" si="335"/>
        <v>50</v>
      </c>
      <c r="N591" s="7">
        <f t="shared" si="334"/>
        <v>50</v>
      </c>
    </row>
    <row r="592" spans="1:14" ht="31.5">
      <c r="A592" s="26" t="s">
        <v>170</v>
      </c>
      <c r="B592" s="21" t="s">
        <v>574</v>
      </c>
      <c r="C592" s="42" t="s">
        <v>273</v>
      </c>
      <c r="D592" s="42" t="s">
        <v>252</v>
      </c>
      <c r="E592" s="2">
        <v>200</v>
      </c>
      <c r="F592" s="88"/>
      <c r="G592" s="7" t="e">
        <f>G593</f>
        <v>#REF!</v>
      </c>
      <c r="H592" s="7" t="e">
        <f t="shared" si="335"/>
        <v>#REF!</v>
      </c>
      <c r="I592" s="7" t="e">
        <f t="shared" si="335"/>
        <v>#REF!</v>
      </c>
      <c r="J592" s="7" t="e">
        <f t="shared" si="335"/>
        <v>#REF!</v>
      </c>
      <c r="K592" s="7" t="e">
        <f t="shared" si="335"/>
        <v>#REF!</v>
      </c>
      <c r="L592" s="7">
        <f t="shared" si="335"/>
        <v>100</v>
      </c>
      <c r="M592" s="7">
        <f t="shared" si="335"/>
        <v>50</v>
      </c>
      <c r="N592" s="7">
        <f t="shared" si="334"/>
        <v>50</v>
      </c>
    </row>
    <row r="593" spans="1:14" ht="31.5">
      <c r="A593" s="26" t="s">
        <v>172</v>
      </c>
      <c r="B593" s="21" t="s">
        <v>574</v>
      </c>
      <c r="C593" s="42" t="s">
        <v>273</v>
      </c>
      <c r="D593" s="42" t="s">
        <v>252</v>
      </c>
      <c r="E593" s="2">
        <v>240</v>
      </c>
      <c r="F593" s="88"/>
      <c r="G593" s="7" t="e">
        <f>#REF!</f>
        <v>#REF!</v>
      </c>
      <c r="H593" s="7" t="e">
        <f>#REF!</f>
        <v>#REF!</v>
      </c>
      <c r="I593" s="7" t="e">
        <f>#REF!</f>
        <v>#REF!</v>
      </c>
      <c r="J593" s="7" t="e">
        <f>#REF!</f>
        <v>#REF!</v>
      </c>
      <c r="K593" s="7" t="e">
        <f>#REF!</f>
        <v>#REF!</v>
      </c>
      <c r="L593" s="7">
        <f>'Прил.№4 ведомств.'!G1095</f>
        <v>100</v>
      </c>
      <c r="M593" s="7">
        <f>'Прил.№4 ведомств.'!H1095</f>
        <v>50</v>
      </c>
      <c r="N593" s="7">
        <f t="shared" si="334"/>
        <v>50</v>
      </c>
    </row>
    <row r="594" spans="1:14" ht="31.5">
      <c r="A594" s="47" t="s">
        <v>681</v>
      </c>
      <c r="B594" s="21" t="s">
        <v>558</v>
      </c>
      <c r="C594" s="42"/>
      <c r="D594" s="42"/>
      <c r="E594" s="2"/>
      <c r="F594" s="2">
        <v>908</v>
      </c>
      <c r="G594" s="7" t="e">
        <f aca="true" t="shared" si="336" ref="G594:L594">G562</f>
        <v>#REF!</v>
      </c>
      <c r="H594" s="7" t="e">
        <f t="shared" si="336"/>
        <v>#REF!</v>
      </c>
      <c r="I594" s="7" t="e">
        <f t="shared" si="336"/>
        <v>#REF!</v>
      </c>
      <c r="J594" s="7" t="e">
        <f t="shared" si="336"/>
        <v>#REF!</v>
      </c>
      <c r="K594" s="7" t="e">
        <f t="shared" si="336"/>
        <v>#REF!</v>
      </c>
      <c r="L594" s="7">
        <f t="shared" si="336"/>
        <v>7797.5</v>
      </c>
      <c r="M594" s="7">
        <f aca="true" t="shared" si="337" ref="M594">M562</f>
        <v>6954.7</v>
      </c>
      <c r="N594" s="7">
        <f t="shared" si="334"/>
        <v>89.19140750240462</v>
      </c>
    </row>
    <row r="595" spans="1:14" ht="47.25">
      <c r="A595" s="24" t="s">
        <v>373</v>
      </c>
      <c r="B595" s="25" t="s">
        <v>374</v>
      </c>
      <c r="C595" s="8"/>
      <c r="D595" s="8"/>
      <c r="E595" s="3"/>
      <c r="F595" s="3"/>
      <c r="G595" s="4" t="e">
        <f aca="true" t="shared" si="338" ref="G595:M595">G596</f>
        <v>#REF!</v>
      </c>
      <c r="H595" s="4" t="e">
        <f t="shared" si="338"/>
        <v>#REF!</v>
      </c>
      <c r="I595" s="4" t="e">
        <f t="shared" si="338"/>
        <v>#REF!</v>
      </c>
      <c r="J595" s="4" t="e">
        <f t="shared" si="338"/>
        <v>#REF!</v>
      </c>
      <c r="K595" s="4" t="e">
        <f t="shared" si="338"/>
        <v>#REF!</v>
      </c>
      <c r="L595" s="4">
        <f t="shared" si="338"/>
        <v>175</v>
      </c>
      <c r="M595" s="4">
        <f t="shared" si="338"/>
        <v>0</v>
      </c>
      <c r="N595" s="4">
        <f t="shared" si="334"/>
        <v>0</v>
      </c>
    </row>
    <row r="596" spans="1:14" ht="15.75">
      <c r="A596" s="31" t="s">
        <v>156</v>
      </c>
      <c r="B596" s="21" t="s">
        <v>374</v>
      </c>
      <c r="C596" s="42" t="s">
        <v>157</v>
      </c>
      <c r="D596" s="42"/>
      <c r="E596" s="2"/>
      <c r="F596" s="2"/>
      <c r="G596" s="7" t="e">
        <f aca="true" t="shared" si="339" ref="G596:L596">G597+G637</f>
        <v>#REF!</v>
      </c>
      <c r="H596" s="7" t="e">
        <f t="shared" si="339"/>
        <v>#REF!</v>
      </c>
      <c r="I596" s="7" t="e">
        <f t="shared" si="339"/>
        <v>#REF!</v>
      </c>
      <c r="J596" s="7" t="e">
        <f t="shared" si="339"/>
        <v>#REF!</v>
      </c>
      <c r="K596" s="7" t="e">
        <f t="shared" si="339"/>
        <v>#REF!</v>
      </c>
      <c r="L596" s="7">
        <f t="shared" si="339"/>
        <v>175</v>
      </c>
      <c r="M596" s="7">
        <f aca="true" t="shared" si="340" ref="M596">M597+M637</f>
        <v>0</v>
      </c>
      <c r="N596" s="7">
        <f t="shared" si="334"/>
        <v>0</v>
      </c>
    </row>
    <row r="597" spans="1:14" ht="15.75">
      <c r="A597" s="31" t="s">
        <v>178</v>
      </c>
      <c r="B597" s="21" t="s">
        <v>374</v>
      </c>
      <c r="C597" s="42" t="s">
        <v>157</v>
      </c>
      <c r="D597" s="42" t="s">
        <v>179</v>
      </c>
      <c r="E597" s="2"/>
      <c r="F597" s="2"/>
      <c r="G597" s="7" t="e">
        <f aca="true" t="shared" si="341" ref="G597:L597">G598+G601+G606+G609+G612+G615</f>
        <v>#REF!</v>
      </c>
      <c r="H597" s="7" t="e">
        <f t="shared" si="341"/>
        <v>#REF!</v>
      </c>
      <c r="I597" s="7" t="e">
        <f t="shared" si="341"/>
        <v>#REF!</v>
      </c>
      <c r="J597" s="7" t="e">
        <f t="shared" si="341"/>
        <v>#REF!</v>
      </c>
      <c r="K597" s="7" t="e">
        <f t="shared" si="341"/>
        <v>#REF!</v>
      </c>
      <c r="L597" s="7">
        <f t="shared" si="341"/>
        <v>155</v>
      </c>
      <c r="M597" s="7">
        <f aca="true" t="shared" si="342" ref="M597">M598+M601+M606+M609+M612+M615</f>
        <v>0</v>
      </c>
      <c r="N597" s="7">
        <f t="shared" si="334"/>
        <v>0</v>
      </c>
    </row>
    <row r="598" spans="1:14" ht="31.5">
      <c r="A598" s="26" t="s">
        <v>375</v>
      </c>
      <c r="B598" s="21" t="s">
        <v>376</v>
      </c>
      <c r="C598" s="42" t="s">
        <v>157</v>
      </c>
      <c r="D598" s="42" t="s">
        <v>179</v>
      </c>
      <c r="E598" s="2"/>
      <c r="F598" s="2"/>
      <c r="G598" s="7" t="e">
        <f>G599</f>
        <v>#REF!</v>
      </c>
      <c r="H598" s="7" t="e">
        <f aca="true" t="shared" si="343" ref="H598:M599">H599</f>
        <v>#REF!</v>
      </c>
      <c r="I598" s="7" t="e">
        <f t="shared" si="343"/>
        <v>#REF!</v>
      </c>
      <c r="J598" s="7" t="e">
        <f t="shared" si="343"/>
        <v>#REF!</v>
      </c>
      <c r="K598" s="7" t="e">
        <f t="shared" si="343"/>
        <v>#REF!</v>
      </c>
      <c r="L598" s="7">
        <f t="shared" si="343"/>
        <v>90</v>
      </c>
      <c r="M598" s="7">
        <f t="shared" si="343"/>
        <v>0</v>
      </c>
      <c r="N598" s="7">
        <f t="shared" si="334"/>
        <v>0</v>
      </c>
    </row>
    <row r="599" spans="1:14" ht="31.5">
      <c r="A599" s="26" t="s">
        <v>170</v>
      </c>
      <c r="B599" s="21" t="s">
        <v>376</v>
      </c>
      <c r="C599" s="42" t="s">
        <v>157</v>
      </c>
      <c r="D599" s="42" t="s">
        <v>179</v>
      </c>
      <c r="E599" s="2">
        <v>200</v>
      </c>
      <c r="F599" s="2"/>
      <c r="G599" s="7" t="e">
        <f>G600</f>
        <v>#REF!</v>
      </c>
      <c r="H599" s="7" t="e">
        <f t="shared" si="343"/>
        <v>#REF!</v>
      </c>
      <c r="I599" s="7" t="e">
        <f t="shared" si="343"/>
        <v>#REF!</v>
      </c>
      <c r="J599" s="7" t="e">
        <f t="shared" si="343"/>
        <v>#REF!</v>
      </c>
      <c r="K599" s="7" t="e">
        <f t="shared" si="343"/>
        <v>#REF!</v>
      </c>
      <c r="L599" s="7">
        <f t="shared" si="343"/>
        <v>90</v>
      </c>
      <c r="M599" s="7">
        <f t="shared" si="343"/>
        <v>0</v>
      </c>
      <c r="N599" s="7">
        <f t="shared" si="334"/>
        <v>0</v>
      </c>
    </row>
    <row r="600" spans="1:14" ht="31.5">
      <c r="A600" s="26" t="s">
        <v>172</v>
      </c>
      <c r="B600" s="21" t="s">
        <v>376</v>
      </c>
      <c r="C600" s="42" t="s">
        <v>157</v>
      </c>
      <c r="D600" s="42" t="s">
        <v>179</v>
      </c>
      <c r="E600" s="2">
        <v>240</v>
      </c>
      <c r="F600" s="2"/>
      <c r="G600" s="7" t="e">
        <f>#REF!</f>
        <v>#REF!</v>
      </c>
      <c r="H600" s="7" t="e">
        <f>#REF!</f>
        <v>#REF!</v>
      </c>
      <c r="I600" s="7" t="e">
        <f>#REF!</f>
        <v>#REF!</v>
      </c>
      <c r="J600" s="7" t="e">
        <f>#REF!</f>
        <v>#REF!</v>
      </c>
      <c r="K600" s="7" t="e">
        <f>#REF!</f>
        <v>#REF!</v>
      </c>
      <c r="L600" s="7">
        <f>'Прил.№4 ведомств.'!G256</f>
        <v>90</v>
      </c>
      <c r="M600" s="7">
        <f>'Прил.№4 ведомств.'!H256</f>
        <v>0</v>
      </c>
      <c r="N600" s="7">
        <f t="shared" si="334"/>
        <v>0</v>
      </c>
    </row>
    <row r="601" spans="1:14" ht="47.25" customHeight="1" hidden="1">
      <c r="A601" s="26" t="s">
        <v>516</v>
      </c>
      <c r="B601" s="21" t="s">
        <v>517</v>
      </c>
      <c r="C601" s="42" t="s">
        <v>157</v>
      </c>
      <c r="D601" s="42" t="s">
        <v>179</v>
      </c>
      <c r="E601" s="2"/>
      <c r="F601" s="2"/>
      <c r="G601" s="7">
        <f aca="true" t="shared" si="344" ref="G601:L601">G602+G604</f>
        <v>0</v>
      </c>
      <c r="H601" s="7">
        <f t="shared" si="344"/>
        <v>0</v>
      </c>
      <c r="I601" s="7" t="e">
        <f t="shared" si="344"/>
        <v>#REF!</v>
      </c>
      <c r="J601" s="7" t="e">
        <f t="shared" si="344"/>
        <v>#REF!</v>
      </c>
      <c r="K601" s="7" t="e">
        <f t="shared" si="344"/>
        <v>#REF!</v>
      </c>
      <c r="L601" s="7">
        <f t="shared" si="344"/>
        <v>0</v>
      </c>
      <c r="M601" s="7">
        <f aca="true" t="shared" si="345" ref="M601">M602+M604</f>
        <v>0</v>
      </c>
      <c r="N601" s="7" t="e">
        <f t="shared" si="334"/>
        <v>#DIV/0!</v>
      </c>
    </row>
    <row r="602" spans="1:14" ht="78.75" customHeight="1" hidden="1">
      <c r="A602" s="26" t="s">
        <v>166</v>
      </c>
      <c r="B602" s="21" t="s">
        <v>517</v>
      </c>
      <c r="C602" s="42" t="s">
        <v>157</v>
      </c>
      <c r="D602" s="42" t="s">
        <v>179</v>
      </c>
      <c r="E602" s="2">
        <v>100</v>
      </c>
      <c r="F602" s="2"/>
      <c r="G602" s="7">
        <f aca="true" t="shared" si="346" ref="G602:M602">G603</f>
        <v>0</v>
      </c>
      <c r="H602" s="7">
        <f t="shared" si="346"/>
        <v>0</v>
      </c>
      <c r="I602" s="7">
        <f t="shared" si="346"/>
        <v>0</v>
      </c>
      <c r="J602" s="7" t="e">
        <f t="shared" si="346"/>
        <v>#REF!</v>
      </c>
      <c r="K602" s="7" t="e">
        <f t="shared" si="346"/>
        <v>#REF!</v>
      </c>
      <c r="L602" s="7">
        <f t="shared" si="346"/>
        <v>0</v>
      </c>
      <c r="M602" s="7">
        <f t="shared" si="346"/>
        <v>0</v>
      </c>
      <c r="N602" s="7" t="e">
        <f t="shared" si="334"/>
        <v>#DIV/0!</v>
      </c>
    </row>
    <row r="603" spans="1:14" ht="15.75" customHeight="1" hidden="1">
      <c r="A603" s="26" t="s">
        <v>381</v>
      </c>
      <c r="B603" s="21" t="s">
        <v>517</v>
      </c>
      <c r="C603" s="42" t="s">
        <v>157</v>
      </c>
      <c r="D603" s="42" t="s">
        <v>179</v>
      </c>
      <c r="E603" s="2">
        <v>110</v>
      </c>
      <c r="F603" s="2"/>
      <c r="G603" s="7">
        <v>0</v>
      </c>
      <c r="H603" s="7">
        <v>0</v>
      </c>
      <c r="I603" s="7">
        <v>0</v>
      </c>
      <c r="J603" s="7" t="e">
        <f>#REF!</f>
        <v>#REF!</v>
      </c>
      <c r="K603" s="7" t="e">
        <f>#REF!</f>
        <v>#REF!</v>
      </c>
      <c r="L603" s="7">
        <f>'Прил.№4 ведомств.'!G872</f>
        <v>0</v>
      </c>
      <c r="M603" s="7">
        <f>'Прил.№4 ведомств.'!H872</f>
        <v>0</v>
      </c>
      <c r="N603" s="7" t="e">
        <f t="shared" si="334"/>
        <v>#DIV/0!</v>
      </c>
    </row>
    <row r="604" spans="1:14" ht="31.5" customHeight="1" hidden="1">
      <c r="A604" s="26" t="s">
        <v>170</v>
      </c>
      <c r="B604" s="21" t="s">
        <v>517</v>
      </c>
      <c r="C604" s="42" t="s">
        <v>157</v>
      </c>
      <c r="D604" s="42" t="s">
        <v>179</v>
      </c>
      <c r="E604" s="2">
        <v>200</v>
      </c>
      <c r="F604" s="2"/>
      <c r="G604" s="7">
        <f aca="true" t="shared" si="347" ref="G604:M604">G605</f>
        <v>0</v>
      </c>
      <c r="H604" s="7">
        <f t="shared" si="347"/>
        <v>0</v>
      </c>
      <c r="I604" s="7" t="e">
        <f t="shared" si="347"/>
        <v>#REF!</v>
      </c>
      <c r="J604" s="7" t="e">
        <f t="shared" si="347"/>
        <v>#REF!</v>
      </c>
      <c r="K604" s="7" t="e">
        <f t="shared" si="347"/>
        <v>#REF!</v>
      </c>
      <c r="L604" s="7">
        <f t="shared" si="347"/>
        <v>0</v>
      </c>
      <c r="M604" s="7">
        <f t="shared" si="347"/>
        <v>0</v>
      </c>
      <c r="N604" s="7" t="e">
        <f t="shared" si="334"/>
        <v>#DIV/0!</v>
      </c>
    </row>
    <row r="605" spans="1:14" ht="31.5" customHeight="1" hidden="1">
      <c r="A605" s="26" t="s">
        <v>172</v>
      </c>
      <c r="B605" s="21" t="s">
        <v>517</v>
      </c>
      <c r="C605" s="42" t="s">
        <v>157</v>
      </c>
      <c r="D605" s="42" t="s">
        <v>179</v>
      </c>
      <c r="E605" s="2">
        <v>240</v>
      </c>
      <c r="F605" s="2"/>
      <c r="G605" s="7">
        <v>0</v>
      </c>
      <c r="H605" s="7">
        <v>0</v>
      </c>
      <c r="I605" s="7" t="e">
        <f>#REF!</f>
        <v>#REF!</v>
      </c>
      <c r="J605" s="7" t="e">
        <f>#REF!</f>
        <v>#REF!</v>
      </c>
      <c r="K605" s="7" t="e">
        <f>#REF!</f>
        <v>#REF!</v>
      </c>
      <c r="L605" s="7">
        <v>0</v>
      </c>
      <c r="M605" s="7">
        <v>0</v>
      </c>
      <c r="N605" s="7" t="e">
        <f t="shared" si="334"/>
        <v>#DIV/0!</v>
      </c>
    </row>
    <row r="606" spans="1:14" ht="23.25" customHeight="1">
      <c r="A606" s="26" t="s">
        <v>377</v>
      </c>
      <c r="B606" s="21" t="s">
        <v>378</v>
      </c>
      <c r="C606" s="42" t="s">
        <v>157</v>
      </c>
      <c r="D606" s="42" t="s">
        <v>179</v>
      </c>
      <c r="E606" s="2"/>
      <c r="F606" s="2"/>
      <c r="G606" s="7">
        <f>G607</f>
        <v>20</v>
      </c>
      <c r="H606" s="7">
        <f aca="true" t="shared" si="348" ref="H606:M607">H607</f>
        <v>20</v>
      </c>
      <c r="I606" s="7" t="e">
        <f t="shared" si="348"/>
        <v>#REF!</v>
      </c>
      <c r="J606" s="7" t="e">
        <f t="shared" si="348"/>
        <v>#REF!</v>
      </c>
      <c r="K606" s="7" t="e">
        <f t="shared" si="348"/>
        <v>#REF!</v>
      </c>
      <c r="L606" s="7">
        <f t="shared" si="348"/>
        <v>25</v>
      </c>
      <c r="M606" s="7">
        <f t="shared" si="348"/>
        <v>0</v>
      </c>
      <c r="N606" s="7">
        <f t="shared" si="334"/>
        <v>0</v>
      </c>
    </row>
    <row r="607" spans="1:14" ht="31.5">
      <c r="A607" s="26" t="s">
        <v>170</v>
      </c>
      <c r="B607" s="21" t="s">
        <v>378</v>
      </c>
      <c r="C607" s="42" t="s">
        <v>157</v>
      </c>
      <c r="D607" s="42" t="s">
        <v>179</v>
      </c>
      <c r="E607" s="2">
        <v>200</v>
      </c>
      <c r="F607" s="2"/>
      <c r="G607" s="7">
        <f>G608</f>
        <v>20</v>
      </c>
      <c r="H607" s="7">
        <f t="shared" si="348"/>
        <v>20</v>
      </c>
      <c r="I607" s="7" t="e">
        <f t="shared" si="348"/>
        <v>#REF!</v>
      </c>
      <c r="J607" s="7" t="e">
        <f t="shared" si="348"/>
        <v>#REF!</v>
      </c>
      <c r="K607" s="7" t="e">
        <f t="shared" si="348"/>
        <v>#REF!</v>
      </c>
      <c r="L607" s="7">
        <f t="shared" si="348"/>
        <v>25</v>
      </c>
      <c r="M607" s="7">
        <f t="shared" si="348"/>
        <v>0</v>
      </c>
      <c r="N607" s="7">
        <f t="shared" si="334"/>
        <v>0</v>
      </c>
    </row>
    <row r="608" spans="1:14" ht="31.5">
      <c r="A608" s="26" t="s">
        <v>172</v>
      </c>
      <c r="B608" s="21" t="s">
        <v>378</v>
      </c>
      <c r="C608" s="42" t="s">
        <v>157</v>
      </c>
      <c r="D608" s="42" t="s">
        <v>179</v>
      </c>
      <c r="E608" s="2">
        <v>240</v>
      </c>
      <c r="F608" s="2"/>
      <c r="G608" s="7">
        <v>20</v>
      </c>
      <c r="H608" s="7">
        <v>20</v>
      </c>
      <c r="I608" s="7" t="e">
        <f>#REF!</f>
        <v>#REF!</v>
      </c>
      <c r="J608" s="7" t="e">
        <f>#REF!</f>
        <v>#REF!</v>
      </c>
      <c r="K608" s="7" t="e">
        <f>#REF!</f>
        <v>#REF!</v>
      </c>
      <c r="L608" s="7">
        <f>'Прил.№4 ведомств.'!G259</f>
        <v>25</v>
      </c>
      <c r="M608" s="7">
        <f>'Прил.№4 ведомств.'!H259</f>
        <v>0</v>
      </c>
      <c r="N608" s="7">
        <f t="shared" si="334"/>
        <v>0</v>
      </c>
    </row>
    <row r="609" spans="1:14" ht="47.25">
      <c r="A609" s="33" t="s">
        <v>898</v>
      </c>
      <c r="B609" s="21" t="s">
        <v>895</v>
      </c>
      <c r="C609" s="42" t="s">
        <v>157</v>
      </c>
      <c r="D609" s="42" t="s">
        <v>179</v>
      </c>
      <c r="E609" s="2"/>
      <c r="F609" s="2"/>
      <c r="G609" s="7">
        <f>G610</f>
        <v>0</v>
      </c>
      <c r="H609" s="7">
        <f aca="true" t="shared" si="349" ref="H609:M610">H610</f>
        <v>0</v>
      </c>
      <c r="I609" s="7" t="e">
        <f t="shared" si="349"/>
        <v>#REF!</v>
      </c>
      <c r="J609" s="7" t="e">
        <f t="shared" si="349"/>
        <v>#REF!</v>
      </c>
      <c r="K609" s="7" t="e">
        <f t="shared" si="349"/>
        <v>#REF!</v>
      </c>
      <c r="L609" s="7">
        <f t="shared" si="349"/>
        <v>10</v>
      </c>
      <c r="M609" s="7">
        <f t="shared" si="349"/>
        <v>0</v>
      </c>
      <c r="N609" s="7">
        <f t="shared" si="334"/>
        <v>0</v>
      </c>
    </row>
    <row r="610" spans="1:14" ht="31.5">
      <c r="A610" s="26" t="s">
        <v>170</v>
      </c>
      <c r="B610" s="21" t="s">
        <v>895</v>
      </c>
      <c r="C610" s="21" t="s">
        <v>157</v>
      </c>
      <c r="D610" s="21" t="s">
        <v>179</v>
      </c>
      <c r="E610" s="21" t="s">
        <v>171</v>
      </c>
      <c r="F610" s="203"/>
      <c r="G610" s="7">
        <f>G611</f>
        <v>0</v>
      </c>
      <c r="H610" s="7">
        <f t="shared" si="349"/>
        <v>0</v>
      </c>
      <c r="I610" s="7" t="e">
        <f t="shared" si="349"/>
        <v>#REF!</v>
      </c>
      <c r="J610" s="7" t="e">
        <f t="shared" si="349"/>
        <v>#REF!</v>
      </c>
      <c r="K610" s="7" t="e">
        <f t="shared" si="349"/>
        <v>#REF!</v>
      </c>
      <c r="L610" s="7">
        <f t="shared" si="349"/>
        <v>10</v>
      </c>
      <c r="M610" s="7">
        <f t="shared" si="349"/>
        <v>0</v>
      </c>
      <c r="N610" s="7">
        <f t="shared" si="334"/>
        <v>0</v>
      </c>
    </row>
    <row r="611" spans="1:14" ht="31.5">
      <c r="A611" s="26" t="s">
        <v>172</v>
      </c>
      <c r="B611" s="21" t="s">
        <v>895</v>
      </c>
      <c r="C611" s="21" t="s">
        <v>157</v>
      </c>
      <c r="D611" s="21" t="s">
        <v>179</v>
      </c>
      <c r="E611" s="21" t="s">
        <v>173</v>
      </c>
      <c r="F611" s="203"/>
      <c r="G611" s="7">
        <v>0</v>
      </c>
      <c r="H611" s="7">
        <v>0</v>
      </c>
      <c r="I611" s="7" t="e">
        <f>#REF!</f>
        <v>#REF!</v>
      </c>
      <c r="J611" s="7" t="e">
        <f>#REF!</f>
        <v>#REF!</v>
      </c>
      <c r="K611" s="7" t="e">
        <f>#REF!</f>
        <v>#REF!</v>
      </c>
      <c r="L611" s="7">
        <f>'Прил.№4 ведомств.'!G262</f>
        <v>10</v>
      </c>
      <c r="M611" s="7">
        <f>'Прил.№4 ведомств.'!H262</f>
        <v>0</v>
      </c>
      <c r="N611" s="7">
        <f t="shared" si="334"/>
        <v>0</v>
      </c>
    </row>
    <row r="612" spans="1:14" ht="31.5">
      <c r="A612" s="26" t="s">
        <v>740</v>
      </c>
      <c r="B612" s="21" t="s">
        <v>900</v>
      </c>
      <c r="C612" s="42" t="s">
        <v>157</v>
      </c>
      <c r="D612" s="42" t="s">
        <v>179</v>
      </c>
      <c r="E612" s="2"/>
      <c r="F612" s="203"/>
      <c r="G612" s="7">
        <f>G613</f>
        <v>105</v>
      </c>
      <c r="H612" s="7">
        <f aca="true" t="shared" si="350" ref="H612:M613">H613</f>
        <v>105</v>
      </c>
      <c r="I612" s="7">
        <f t="shared" si="350"/>
        <v>0</v>
      </c>
      <c r="J612" s="7">
        <f t="shared" si="350"/>
        <v>0</v>
      </c>
      <c r="K612" s="7">
        <f t="shared" si="350"/>
        <v>0</v>
      </c>
      <c r="L612" s="7">
        <f t="shared" si="350"/>
        <v>30</v>
      </c>
      <c r="M612" s="7">
        <f t="shared" si="350"/>
        <v>0</v>
      </c>
      <c r="N612" s="7">
        <f t="shared" si="334"/>
        <v>0</v>
      </c>
    </row>
    <row r="613" spans="1:14" ht="31.5">
      <c r="A613" s="26" t="s">
        <v>170</v>
      </c>
      <c r="B613" s="21" t="s">
        <v>900</v>
      </c>
      <c r="C613" s="42" t="s">
        <v>157</v>
      </c>
      <c r="D613" s="42" t="s">
        <v>179</v>
      </c>
      <c r="E613" s="2">
        <v>200</v>
      </c>
      <c r="F613" s="203"/>
      <c r="G613" s="7">
        <f>G614</f>
        <v>105</v>
      </c>
      <c r="H613" s="7">
        <f t="shared" si="350"/>
        <v>105</v>
      </c>
      <c r="I613" s="7">
        <f t="shared" si="350"/>
        <v>0</v>
      </c>
      <c r="J613" s="7">
        <f t="shared" si="350"/>
        <v>0</v>
      </c>
      <c r="K613" s="7">
        <f t="shared" si="350"/>
        <v>0</v>
      </c>
      <c r="L613" s="7">
        <f t="shared" si="350"/>
        <v>30</v>
      </c>
      <c r="M613" s="7">
        <f t="shared" si="350"/>
        <v>0</v>
      </c>
      <c r="N613" s="7">
        <f t="shared" si="334"/>
        <v>0</v>
      </c>
    </row>
    <row r="614" spans="1:14" ht="31.5">
      <c r="A614" s="26" t="s">
        <v>172</v>
      </c>
      <c r="B614" s="21" t="s">
        <v>900</v>
      </c>
      <c r="C614" s="42" t="s">
        <v>157</v>
      </c>
      <c r="D614" s="42" t="s">
        <v>179</v>
      </c>
      <c r="E614" s="2">
        <v>240</v>
      </c>
      <c r="F614" s="203"/>
      <c r="G614" s="7">
        <v>105</v>
      </c>
      <c r="H614" s="7">
        <v>105</v>
      </c>
      <c r="I614" s="7">
        <v>0</v>
      </c>
      <c r="J614" s="7">
        <v>0</v>
      </c>
      <c r="K614" s="7">
        <v>0</v>
      </c>
      <c r="L614" s="7">
        <f>'Прил.№4 ведомств.'!G265</f>
        <v>30</v>
      </c>
      <c r="M614" s="7">
        <f>'Прил.№4 ведомств.'!H265</f>
        <v>0</v>
      </c>
      <c r="N614" s="7">
        <f t="shared" si="334"/>
        <v>0</v>
      </c>
    </row>
    <row r="615" spans="1:14" ht="31.5" customHeight="1" hidden="1">
      <c r="A615" s="33" t="s">
        <v>899</v>
      </c>
      <c r="B615" s="21" t="s">
        <v>896</v>
      </c>
      <c r="C615" s="21" t="s">
        <v>157</v>
      </c>
      <c r="D615" s="21" t="s">
        <v>179</v>
      </c>
      <c r="E615" s="21"/>
      <c r="F615" s="203"/>
      <c r="G615" s="7">
        <f>G616</f>
        <v>0</v>
      </c>
      <c r="H615" s="7">
        <f aca="true" t="shared" si="351" ref="H615:M616">H616</f>
        <v>0</v>
      </c>
      <c r="I615" s="7" t="e">
        <f t="shared" si="351"/>
        <v>#REF!</v>
      </c>
      <c r="J615" s="7" t="e">
        <f t="shared" si="351"/>
        <v>#REF!</v>
      </c>
      <c r="K615" s="7" t="e">
        <f t="shared" si="351"/>
        <v>#REF!</v>
      </c>
      <c r="L615" s="7">
        <f t="shared" si="351"/>
        <v>0</v>
      </c>
      <c r="M615" s="7">
        <f t="shared" si="351"/>
        <v>0</v>
      </c>
      <c r="N615" s="7" t="e">
        <f t="shared" si="334"/>
        <v>#DIV/0!</v>
      </c>
    </row>
    <row r="616" spans="1:14" ht="31.5" customHeight="1" hidden="1">
      <c r="A616" s="26" t="s">
        <v>170</v>
      </c>
      <c r="B616" s="21" t="s">
        <v>896</v>
      </c>
      <c r="C616" s="21" t="s">
        <v>157</v>
      </c>
      <c r="D616" s="21" t="s">
        <v>179</v>
      </c>
      <c r="E616" s="21" t="s">
        <v>171</v>
      </c>
      <c r="F616" s="203"/>
      <c r="G616" s="7">
        <f>G617</f>
        <v>0</v>
      </c>
      <c r="H616" s="7">
        <f t="shared" si="351"/>
        <v>0</v>
      </c>
      <c r="I616" s="7" t="e">
        <f t="shared" si="351"/>
        <v>#REF!</v>
      </c>
      <c r="J616" s="7" t="e">
        <f t="shared" si="351"/>
        <v>#REF!</v>
      </c>
      <c r="K616" s="7" t="e">
        <f t="shared" si="351"/>
        <v>#REF!</v>
      </c>
      <c r="L616" s="7">
        <f t="shared" si="351"/>
        <v>0</v>
      </c>
      <c r="M616" s="7">
        <f t="shared" si="351"/>
        <v>0</v>
      </c>
      <c r="N616" s="7" t="e">
        <f t="shared" si="334"/>
        <v>#DIV/0!</v>
      </c>
    </row>
    <row r="617" spans="1:14" ht="31.5" customHeight="1" hidden="1">
      <c r="A617" s="26" t="s">
        <v>172</v>
      </c>
      <c r="B617" s="21" t="s">
        <v>896</v>
      </c>
      <c r="C617" s="21" t="s">
        <v>157</v>
      </c>
      <c r="D617" s="21" t="s">
        <v>179</v>
      </c>
      <c r="E617" s="21" t="s">
        <v>173</v>
      </c>
      <c r="F617" s="203"/>
      <c r="G617" s="7">
        <v>0</v>
      </c>
      <c r="H617" s="7">
        <v>0</v>
      </c>
      <c r="I617" s="7" t="e">
        <f>#REF!</f>
        <v>#REF!</v>
      </c>
      <c r="J617" s="7" t="e">
        <f>#REF!</f>
        <v>#REF!</v>
      </c>
      <c r="K617" s="7" t="e">
        <f>#REF!</f>
        <v>#REF!</v>
      </c>
      <c r="L617" s="7">
        <f>'Прил.№4 ведомств.'!G268</f>
        <v>0</v>
      </c>
      <c r="M617" s="7">
        <f>'Прил.№4 ведомств.'!H268</f>
        <v>0</v>
      </c>
      <c r="N617" s="7" t="e">
        <f t="shared" si="334"/>
        <v>#DIV/0!</v>
      </c>
    </row>
    <row r="618" spans="1:14" ht="47.25">
      <c r="A618" s="47" t="s">
        <v>300</v>
      </c>
      <c r="B618" s="21" t="s">
        <v>374</v>
      </c>
      <c r="C618" s="42"/>
      <c r="D618" s="42"/>
      <c r="E618" s="2"/>
      <c r="F618" s="2">
        <v>903</v>
      </c>
      <c r="G618" s="7" t="e">
        <f aca="true" t="shared" si="352" ref="G618:L618">G598+G606+G609+G612+G615</f>
        <v>#REF!</v>
      </c>
      <c r="H618" s="7" t="e">
        <f t="shared" si="352"/>
        <v>#REF!</v>
      </c>
      <c r="I618" s="7" t="e">
        <f t="shared" si="352"/>
        <v>#REF!</v>
      </c>
      <c r="J618" s="7" t="e">
        <f t="shared" si="352"/>
        <v>#REF!</v>
      </c>
      <c r="K618" s="7" t="e">
        <f t="shared" si="352"/>
        <v>#REF!</v>
      </c>
      <c r="L618" s="7">
        <f t="shared" si="352"/>
        <v>155</v>
      </c>
      <c r="M618" s="7">
        <f aca="true" t="shared" si="353" ref="M618">M598+M606+M609+M612+M615</f>
        <v>0</v>
      </c>
      <c r="N618" s="7">
        <f t="shared" si="334"/>
        <v>0</v>
      </c>
    </row>
    <row r="619" spans="1:14" ht="15.75">
      <c r="A619" s="31" t="s">
        <v>178</v>
      </c>
      <c r="B619" s="21" t="s">
        <v>374</v>
      </c>
      <c r="C619" s="42" t="s">
        <v>157</v>
      </c>
      <c r="D619" s="42" t="s">
        <v>179</v>
      </c>
      <c r="E619" s="2"/>
      <c r="F619" s="2"/>
      <c r="G619" s="7">
        <f>G623+G628+G631</f>
        <v>20</v>
      </c>
      <c r="H619" s="7">
        <f>H623+H628+H631</f>
        <v>20</v>
      </c>
      <c r="I619" s="7" t="e">
        <f>I623+I628+I631</f>
        <v>#REF!</v>
      </c>
      <c r="J619" s="7" t="e">
        <f>J623+J628+J631</f>
        <v>#REF!</v>
      </c>
      <c r="K619" s="7" t="e">
        <f>K623+K628+K631</f>
        <v>#REF!</v>
      </c>
      <c r="L619" s="7">
        <f>L623+L628+L631+L620+L634</f>
        <v>20</v>
      </c>
      <c r="M619" s="7">
        <f aca="true" t="shared" si="354" ref="M619">M623+M628+M631+M620+M634</f>
        <v>0</v>
      </c>
      <c r="N619" s="7">
        <f t="shared" si="334"/>
        <v>0</v>
      </c>
    </row>
    <row r="620" spans="1:14" ht="31.5" customHeight="1" hidden="1">
      <c r="A620" s="26" t="s">
        <v>375</v>
      </c>
      <c r="B620" s="21" t="s">
        <v>376</v>
      </c>
      <c r="C620" s="42" t="s">
        <v>157</v>
      </c>
      <c r="D620" s="42" t="s">
        <v>179</v>
      </c>
      <c r="E620" s="2"/>
      <c r="F620" s="2"/>
      <c r="G620" s="7">
        <f>G621</f>
        <v>0</v>
      </c>
      <c r="H620" s="7">
        <f aca="true" t="shared" si="355" ref="H620:M621">H621</f>
        <v>0</v>
      </c>
      <c r="I620" s="7" t="e">
        <f t="shared" si="355"/>
        <v>#REF!</v>
      </c>
      <c r="J620" s="7" t="e">
        <f t="shared" si="355"/>
        <v>#REF!</v>
      </c>
      <c r="K620" s="7" t="e">
        <f t="shared" si="355"/>
        <v>#REF!</v>
      </c>
      <c r="L620" s="7">
        <f t="shared" si="355"/>
        <v>0</v>
      </c>
      <c r="M620" s="7">
        <f t="shared" si="355"/>
        <v>0</v>
      </c>
      <c r="N620" s="7" t="e">
        <f t="shared" si="334"/>
        <v>#DIV/0!</v>
      </c>
    </row>
    <row r="621" spans="1:14" ht="31.5" customHeight="1" hidden="1">
      <c r="A621" s="26" t="s">
        <v>170</v>
      </c>
      <c r="B621" s="21" t="s">
        <v>376</v>
      </c>
      <c r="C621" s="42" t="s">
        <v>157</v>
      </c>
      <c r="D621" s="42" t="s">
        <v>179</v>
      </c>
      <c r="E621" s="2">
        <v>200</v>
      </c>
      <c r="F621" s="2"/>
      <c r="G621" s="7">
        <f>G622</f>
        <v>0</v>
      </c>
      <c r="H621" s="7">
        <f t="shared" si="355"/>
        <v>0</v>
      </c>
      <c r="I621" s="7" t="e">
        <f t="shared" si="355"/>
        <v>#REF!</v>
      </c>
      <c r="J621" s="7" t="e">
        <f t="shared" si="355"/>
        <v>#REF!</v>
      </c>
      <c r="K621" s="7" t="e">
        <f t="shared" si="355"/>
        <v>#REF!</v>
      </c>
      <c r="L621" s="7">
        <f t="shared" si="355"/>
        <v>0</v>
      </c>
      <c r="M621" s="7">
        <f t="shared" si="355"/>
        <v>0</v>
      </c>
      <c r="N621" s="7" t="e">
        <f t="shared" si="334"/>
        <v>#DIV/0!</v>
      </c>
    </row>
    <row r="622" spans="1:14" ht="31.5" customHeight="1" hidden="1">
      <c r="A622" s="26" t="s">
        <v>172</v>
      </c>
      <c r="B622" s="21" t="s">
        <v>376</v>
      </c>
      <c r="C622" s="42" t="s">
        <v>157</v>
      </c>
      <c r="D622" s="42" t="s">
        <v>179</v>
      </c>
      <c r="E622" s="2">
        <v>240</v>
      </c>
      <c r="F622" s="2"/>
      <c r="G622" s="7">
        <v>0</v>
      </c>
      <c r="H622" s="7">
        <v>0</v>
      </c>
      <c r="I622" s="7" t="e">
        <f>#REF!</f>
        <v>#REF!</v>
      </c>
      <c r="J622" s="7" t="e">
        <f>#REF!</f>
        <v>#REF!</v>
      </c>
      <c r="K622" s="7" t="e">
        <f>#REF!</f>
        <v>#REF!</v>
      </c>
      <c r="L622" s="7">
        <f>'Прил.№4 ведомств.'!G669</f>
        <v>0</v>
      </c>
      <c r="M622" s="7">
        <f>'Прил.№4 ведомств.'!H669</f>
        <v>0</v>
      </c>
      <c r="N622" s="7" t="e">
        <f t="shared" si="334"/>
        <v>#DIV/0!</v>
      </c>
    </row>
    <row r="623" spans="1:14" ht="31.5">
      <c r="A623" s="26" t="s">
        <v>375</v>
      </c>
      <c r="B623" s="21" t="s">
        <v>517</v>
      </c>
      <c r="C623" s="42" t="s">
        <v>157</v>
      </c>
      <c r="D623" s="42" t="s">
        <v>179</v>
      </c>
      <c r="E623" s="2"/>
      <c r="F623" s="2"/>
      <c r="G623" s="7">
        <f aca="true" t="shared" si="356" ref="G623:L623">G626+G624</f>
        <v>20</v>
      </c>
      <c r="H623" s="7">
        <f t="shared" si="356"/>
        <v>20</v>
      </c>
      <c r="I623" s="7" t="e">
        <f t="shared" si="356"/>
        <v>#REF!</v>
      </c>
      <c r="J623" s="7" t="e">
        <f t="shared" si="356"/>
        <v>#REF!</v>
      </c>
      <c r="K623" s="7" t="e">
        <f t="shared" si="356"/>
        <v>#REF!</v>
      </c>
      <c r="L623" s="7">
        <f t="shared" si="356"/>
        <v>20</v>
      </c>
      <c r="M623" s="7">
        <f aca="true" t="shared" si="357" ref="M623">M626+M624</f>
        <v>0</v>
      </c>
      <c r="N623" s="7">
        <f t="shared" si="334"/>
        <v>0</v>
      </c>
    </row>
    <row r="624" spans="1:14" ht="78.75" customHeight="1" hidden="1">
      <c r="A624" s="26" t="s">
        <v>166</v>
      </c>
      <c r="B624" s="21" t="s">
        <v>517</v>
      </c>
      <c r="C624" s="42" t="s">
        <v>157</v>
      </c>
      <c r="D624" s="42" t="s">
        <v>179</v>
      </c>
      <c r="E624" s="2">
        <v>100</v>
      </c>
      <c r="F624" s="2"/>
      <c r="G624" s="7">
        <f aca="true" t="shared" si="358" ref="G624:M624">G625</f>
        <v>5</v>
      </c>
      <c r="H624" s="7">
        <f t="shared" si="358"/>
        <v>5</v>
      </c>
      <c r="I624" s="7">
        <f t="shared" si="358"/>
        <v>0</v>
      </c>
      <c r="J624" s="7">
        <f t="shared" si="358"/>
        <v>0</v>
      </c>
      <c r="K624" s="7">
        <f t="shared" si="358"/>
        <v>0</v>
      </c>
      <c r="L624" s="7">
        <f t="shared" si="358"/>
        <v>0</v>
      </c>
      <c r="M624" s="7">
        <f t="shared" si="358"/>
        <v>0</v>
      </c>
      <c r="N624" s="7" t="e">
        <f t="shared" si="334"/>
        <v>#DIV/0!</v>
      </c>
    </row>
    <row r="625" spans="1:14" ht="15.75" customHeight="1" hidden="1">
      <c r="A625" s="26" t="s">
        <v>381</v>
      </c>
      <c r="B625" s="21" t="s">
        <v>517</v>
      </c>
      <c r="C625" s="42" t="s">
        <v>157</v>
      </c>
      <c r="D625" s="42" t="s">
        <v>179</v>
      </c>
      <c r="E625" s="2">
        <v>110</v>
      </c>
      <c r="F625" s="2"/>
      <c r="G625" s="7">
        <v>5</v>
      </c>
      <c r="H625" s="7">
        <v>5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 t="e">
        <f t="shared" si="334"/>
        <v>#DIV/0!</v>
      </c>
    </row>
    <row r="626" spans="1:14" ht="31.5">
      <c r="A626" s="26" t="s">
        <v>170</v>
      </c>
      <c r="B626" s="21" t="s">
        <v>517</v>
      </c>
      <c r="C626" s="42" t="s">
        <v>157</v>
      </c>
      <c r="D626" s="42" t="s">
        <v>179</v>
      </c>
      <c r="E626" s="2">
        <v>200</v>
      </c>
      <c r="F626" s="2"/>
      <c r="G626" s="7">
        <f aca="true" t="shared" si="359" ref="G626:M626">G627</f>
        <v>15</v>
      </c>
      <c r="H626" s="7">
        <f t="shared" si="359"/>
        <v>15</v>
      </c>
      <c r="I626" s="7" t="e">
        <f t="shared" si="359"/>
        <v>#REF!</v>
      </c>
      <c r="J626" s="7" t="e">
        <f t="shared" si="359"/>
        <v>#REF!</v>
      </c>
      <c r="K626" s="7" t="e">
        <f t="shared" si="359"/>
        <v>#REF!</v>
      </c>
      <c r="L626" s="7">
        <f t="shared" si="359"/>
        <v>20</v>
      </c>
      <c r="M626" s="7">
        <f t="shared" si="359"/>
        <v>0</v>
      </c>
      <c r="N626" s="7">
        <f t="shared" si="334"/>
        <v>0</v>
      </c>
    </row>
    <row r="627" spans="1:14" ht="31.5">
      <c r="A627" s="26" t="s">
        <v>172</v>
      </c>
      <c r="B627" s="21" t="s">
        <v>517</v>
      </c>
      <c r="C627" s="42" t="s">
        <v>157</v>
      </c>
      <c r="D627" s="42" t="s">
        <v>179</v>
      </c>
      <c r="E627" s="2">
        <v>240</v>
      </c>
      <c r="F627" s="2"/>
      <c r="G627" s="7">
        <v>15</v>
      </c>
      <c r="H627" s="7">
        <v>15</v>
      </c>
      <c r="I627" s="7" t="e">
        <f>#REF!</f>
        <v>#REF!</v>
      </c>
      <c r="J627" s="7" t="e">
        <f>#REF!</f>
        <v>#REF!</v>
      </c>
      <c r="K627" s="7" t="e">
        <f>#REF!</f>
        <v>#REF!</v>
      </c>
      <c r="L627" s="7">
        <f>'Прил.№4 ведомств.'!G672</f>
        <v>20</v>
      </c>
      <c r="M627" s="7">
        <f>'Прил.№4 ведомств.'!H672</f>
        <v>0</v>
      </c>
      <c r="N627" s="7">
        <f t="shared" si="334"/>
        <v>0</v>
      </c>
    </row>
    <row r="628" spans="1:14" ht="31.5" customHeight="1" hidden="1">
      <c r="A628" s="26" t="s">
        <v>377</v>
      </c>
      <c r="B628" s="21" t="s">
        <v>378</v>
      </c>
      <c r="C628" s="42" t="s">
        <v>157</v>
      </c>
      <c r="D628" s="42" t="s">
        <v>179</v>
      </c>
      <c r="E628" s="2"/>
      <c r="F628" s="2"/>
      <c r="G628" s="7">
        <f>G629</f>
        <v>0</v>
      </c>
      <c r="H628" s="7">
        <f aca="true" t="shared" si="360" ref="H628:M629">H629</f>
        <v>0</v>
      </c>
      <c r="I628" s="7" t="e">
        <f t="shared" si="360"/>
        <v>#REF!</v>
      </c>
      <c r="J628" s="7" t="e">
        <f t="shared" si="360"/>
        <v>#REF!</v>
      </c>
      <c r="K628" s="7" t="e">
        <f t="shared" si="360"/>
        <v>#REF!</v>
      </c>
      <c r="L628" s="7">
        <f t="shared" si="360"/>
        <v>0</v>
      </c>
      <c r="M628" s="7">
        <f t="shared" si="360"/>
        <v>0</v>
      </c>
      <c r="N628" s="7" t="e">
        <f t="shared" si="334"/>
        <v>#DIV/0!</v>
      </c>
    </row>
    <row r="629" spans="1:14" ht="31.5" customHeight="1" hidden="1">
      <c r="A629" s="26" t="s">
        <v>170</v>
      </c>
      <c r="B629" s="21" t="s">
        <v>378</v>
      </c>
      <c r="C629" s="42" t="s">
        <v>157</v>
      </c>
      <c r="D629" s="42" t="s">
        <v>179</v>
      </c>
      <c r="E629" s="2">
        <v>200</v>
      </c>
      <c r="F629" s="2"/>
      <c r="G629" s="7">
        <f>G630</f>
        <v>0</v>
      </c>
      <c r="H629" s="7">
        <f t="shared" si="360"/>
        <v>0</v>
      </c>
      <c r="I629" s="7" t="e">
        <f t="shared" si="360"/>
        <v>#REF!</v>
      </c>
      <c r="J629" s="7" t="e">
        <f t="shared" si="360"/>
        <v>#REF!</v>
      </c>
      <c r="K629" s="7" t="e">
        <f t="shared" si="360"/>
        <v>#REF!</v>
      </c>
      <c r="L629" s="7">
        <f t="shared" si="360"/>
        <v>0</v>
      </c>
      <c r="M629" s="7">
        <f t="shared" si="360"/>
        <v>0</v>
      </c>
      <c r="N629" s="7" t="e">
        <f t="shared" si="334"/>
        <v>#DIV/0!</v>
      </c>
    </row>
    <row r="630" spans="1:14" ht="31.5" customHeight="1" hidden="1">
      <c r="A630" s="26" t="s">
        <v>172</v>
      </c>
      <c r="B630" s="21" t="s">
        <v>378</v>
      </c>
      <c r="C630" s="42" t="s">
        <v>157</v>
      </c>
      <c r="D630" s="42" t="s">
        <v>179</v>
      </c>
      <c r="E630" s="2">
        <v>240</v>
      </c>
      <c r="F630" s="2"/>
      <c r="G630" s="7">
        <v>0</v>
      </c>
      <c r="H630" s="7">
        <v>0</v>
      </c>
      <c r="I630" s="7" t="e">
        <f>#REF!</f>
        <v>#REF!</v>
      </c>
      <c r="J630" s="7" t="e">
        <f>#REF!</f>
        <v>#REF!</v>
      </c>
      <c r="K630" s="7" t="e">
        <f>#REF!</f>
        <v>#REF!</v>
      </c>
      <c r="L630" s="7">
        <f>'Прил.№4 ведомств.'!G502</f>
        <v>0</v>
      </c>
      <c r="M630" s="7">
        <f>'Прил.№4 ведомств.'!H502</f>
        <v>0</v>
      </c>
      <c r="N630" s="7" t="e">
        <f t="shared" si="334"/>
        <v>#DIV/0!</v>
      </c>
    </row>
    <row r="631" spans="1:14" ht="31.5" customHeight="1" hidden="1">
      <c r="A631" s="26" t="s">
        <v>740</v>
      </c>
      <c r="B631" s="21" t="s">
        <v>741</v>
      </c>
      <c r="C631" s="42" t="s">
        <v>157</v>
      </c>
      <c r="D631" s="42" t="s">
        <v>179</v>
      </c>
      <c r="E631" s="2"/>
      <c r="F631" s="2"/>
      <c r="G631" s="7">
        <f>G632</f>
        <v>0</v>
      </c>
      <c r="H631" s="7">
        <f aca="true" t="shared" si="361" ref="H631:M632">H632</f>
        <v>0</v>
      </c>
      <c r="I631" s="7" t="e">
        <f t="shared" si="361"/>
        <v>#REF!</v>
      </c>
      <c r="J631" s="7" t="e">
        <f t="shared" si="361"/>
        <v>#REF!</v>
      </c>
      <c r="K631" s="7" t="e">
        <f t="shared" si="361"/>
        <v>#REF!</v>
      </c>
      <c r="L631" s="7">
        <f t="shared" si="361"/>
        <v>0</v>
      </c>
      <c r="M631" s="7">
        <f t="shared" si="361"/>
        <v>0</v>
      </c>
      <c r="N631" s="7" t="e">
        <f t="shared" si="334"/>
        <v>#DIV/0!</v>
      </c>
    </row>
    <row r="632" spans="1:14" ht="31.5" customHeight="1" hidden="1">
      <c r="A632" s="26" t="s">
        <v>170</v>
      </c>
      <c r="B632" s="21" t="s">
        <v>741</v>
      </c>
      <c r="C632" s="42" t="s">
        <v>157</v>
      </c>
      <c r="D632" s="42" t="s">
        <v>179</v>
      </c>
      <c r="E632" s="2">
        <v>200</v>
      </c>
      <c r="F632" s="2"/>
      <c r="G632" s="7">
        <f>G633</f>
        <v>0</v>
      </c>
      <c r="H632" s="7">
        <f t="shared" si="361"/>
        <v>0</v>
      </c>
      <c r="I632" s="7" t="e">
        <f t="shared" si="361"/>
        <v>#REF!</v>
      </c>
      <c r="J632" s="7" t="e">
        <f t="shared" si="361"/>
        <v>#REF!</v>
      </c>
      <c r="K632" s="7" t="e">
        <f t="shared" si="361"/>
        <v>#REF!</v>
      </c>
      <c r="L632" s="7">
        <f t="shared" si="361"/>
        <v>0</v>
      </c>
      <c r="M632" s="7">
        <f t="shared" si="361"/>
        <v>0</v>
      </c>
      <c r="N632" s="7" t="e">
        <f t="shared" si="334"/>
        <v>#DIV/0!</v>
      </c>
    </row>
    <row r="633" spans="1:14" ht="31.5" customHeight="1" hidden="1">
      <c r="A633" s="26" t="s">
        <v>172</v>
      </c>
      <c r="B633" s="21" t="s">
        <v>741</v>
      </c>
      <c r="C633" s="42" t="s">
        <v>157</v>
      </c>
      <c r="D633" s="42" t="s">
        <v>179</v>
      </c>
      <c r="E633" s="2">
        <v>240</v>
      </c>
      <c r="F633" s="2"/>
      <c r="G633" s="7">
        <v>0</v>
      </c>
      <c r="H633" s="7">
        <v>0</v>
      </c>
      <c r="I633" s="7" t="e">
        <f>#REF!</f>
        <v>#REF!</v>
      </c>
      <c r="J633" s="7" t="e">
        <f>#REF!</f>
        <v>#REF!</v>
      </c>
      <c r="K633" s="7" t="e">
        <f>#REF!</f>
        <v>#REF!</v>
      </c>
      <c r="L633" s="7">
        <f>'Прил.№4 ведомств.'!G508</f>
        <v>0</v>
      </c>
      <c r="M633" s="7">
        <f>'Прил.№4 ведомств.'!H508</f>
        <v>0</v>
      </c>
      <c r="N633" s="7" t="e">
        <f t="shared" si="334"/>
        <v>#DIV/0!</v>
      </c>
    </row>
    <row r="634" spans="1:14" ht="15.75" customHeight="1" hidden="1">
      <c r="A634" s="33" t="s">
        <v>902</v>
      </c>
      <c r="B634" s="21" t="s">
        <v>901</v>
      </c>
      <c r="C634" s="42" t="s">
        <v>157</v>
      </c>
      <c r="D634" s="42" t="s">
        <v>179</v>
      </c>
      <c r="E634" s="2"/>
      <c r="F634" s="2"/>
      <c r="G634" s="7">
        <f>G635</f>
        <v>0</v>
      </c>
      <c r="H634" s="7">
        <f aca="true" t="shared" si="362" ref="H634:M635">H635</f>
        <v>0</v>
      </c>
      <c r="I634" s="7" t="e">
        <f t="shared" si="362"/>
        <v>#REF!</v>
      </c>
      <c r="J634" s="7" t="e">
        <f t="shared" si="362"/>
        <v>#REF!</v>
      </c>
      <c r="K634" s="7" t="e">
        <f t="shared" si="362"/>
        <v>#REF!</v>
      </c>
      <c r="L634" s="7">
        <f t="shared" si="362"/>
        <v>0</v>
      </c>
      <c r="M634" s="7">
        <f t="shared" si="362"/>
        <v>0</v>
      </c>
      <c r="N634" s="7" t="e">
        <f t="shared" si="334"/>
        <v>#DIV/0!</v>
      </c>
    </row>
    <row r="635" spans="1:14" ht="31.5" customHeight="1" hidden="1">
      <c r="A635" s="26" t="s">
        <v>170</v>
      </c>
      <c r="B635" s="21" t="s">
        <v>901</v>
      </c>
      <c r="C635" s="42" t="s">
        <v>157</v>
      </c>
      <c r="D635" s="42" t="s">
        <v>179</v>
      </c>
      <c r="E635" s="2">
        <v>200</v>
      </c>
      <c r="F635" s="2"/>
      <c r="G635" s="7">
        <f>G636</f>
        <v>0</v>
      </c>
      <c r="H635" s="7">
        <f t="shared" si="362"/>
        <v>0</v>
      </c>
      <c r="I635" s="7" t="e">
        <f t="shared" si="362"/>
        <v>#REF!</v>
      </c>
      <c r="J635" s="7" t="e">
        <f t="shared" si="362"/>
        <v>#REF!</v>
      </c>
      <c r="K635" s="7" t="e">
        <f t="shared" si="362"/>
        <v>#REF!</v>
      </c>
      <c r="L635" s="7">
        <f t="shared" si="362"/>
        <v>0</v>
      </c>
      <c r="M635" s="7">
        <f t="shared" si="362"/>
        <v>0</v>
      </c>
      <c r="N635" s="7" t="e">
        <f t="shared" si="334"/>
        <v>#DIV/0!</v>
      </c>
    </row>
    <row r="636" spans="1:14" ht="31.5" customHeight="1" hidden="1">
      <c r="A636" s="26" t="s">
        <v>172</v>
      </c>
      <c r="B636" s="21" t="s">
        <v>901</v>
      </c>
      <c r="C636" s="42" t="s">
        <v>157</v>
      </c>
      <c r="D636" s="42" t="s">
        <v>179</v>
      </c>
      <c r="E636" s="2">
        <v>240</v>
      </c>
      <c r="F636" s="2"/>
      <c r="G636" s="7">
        <v>0</v>
      </c>
      <c r="H636" s="7">
        <v>0</v>
      </c>
      <c r="I636" s="7" t="e">
        <f>#REF!</f>
        <v>#REF!</v>
      </c>
      <c r="J636" s="7" t="e">
        <f>#REF!</f>
        <v>#REF!</v>
      </c>
      <c r="K636" s="7" t="e">
        <f>#REF!</f>
        <v>#REF!</v>
      </c>
      <c r="L636" s="7">
        <f>'Прил.№4 ведомств.'!G675</f>
        <v>0</v>
      </c>
      <c r="M636" s="7">
        <f>'Прил.№4 ведомств.'!H675</f>
        <v>0</v>
      </c>
      <c r="N636" s="7" t="e">
        <f t="shared" si="334"/>
        <v>#DIV/0!</v>
      </c>
    </row>
    <row r="637" spans="1:14" ht="31.5">
      <c r="A637" s="47" t="s">
        <v>443</v>
      </c>
      <c r="B637" s="21" t="s">
        <v>374</v>
      </c>
      <c r="C637" s="42"/>
      <c r="D637" s="42"/>
      <c r="E637" s="2"/>
      <c r="F637" s="2">
        <v>906</v>
      </c>
      <c r="G637" s="7">
        <f>G623+G628+G631+G620+G634</f>
        <v>20</v>
      </c>
      <c r="H637" s="7">
        <f>H623+H628+H631+H620+H634</f>
        <v>20</v>
      </c>
      <c r="I637" s="7" t="e">
        <f>I623+I628+I631+I620+I634</f>
        <v>#REF!</v>
      </c>
      <c r="J637" s="7" t="e">
        <f>J623+J628+J631+J620+J634</f>
        <v>#REF!</v>
      </c>
      <c r="K637" s="7" t="e">
        <f>K623+K628+K631+K620+K634</f>
        <v>#REF!</v>
      </c>
      <c r="L637" s="7">
        <f>L619</f>
        <v>20</v>
      </c>
      <c r="M637" s="7">
        <f aca="true" t="shared" si="363" ref="M637">M619</f>
        <v>0</v>
      </c>
      <c r="N637" s="7">
        <f t="shared" si="334"/>
        <v>0</v>
      </c>
    </row>
    <row r="638" spans="1:14" ht="63">
      <c r="A638" s="43" t="s">
        <v>777</v>
      </c>
      <c r="B638" s="25" t="s">
        <v>775</v>
      </c>
      <c r="C638" s="8"/>
      <c r="D638" s="8"/>
      <c r="E638" s="3"/>
      <c r="F638" s="3"/>
      <c r="G638" s="4" t="e">
        <f>G639+#REF!</f>
        <v>#REF!</v>
      </c>
      <c r="H638" s="4" t="e">
        <f>H639+#REF!</f>
        <v>#REF!</v>
      </c>
      <c r="I638" s="4" t="e">
        <f>I639+#REF!</f>
        <v>#REF!</v>
      </c>
      <c r="J638" s="4" t="e">
        <f>J639+#REF!</f>
        <v>#REF!</v>
      </c>
      <c r="K638" s="4" t="e">
        <f>K639+#REF!</f>
        <v>#REF!</v>
      </c>
      <c r="L638" s="4">
        <f>L647+L657+L678+L667+L674</f>
        <v>3292.6</v>
      </c>
      <c r="M638" s="4">
        <f aca="true" t="shared" si="364" ref="M638">M647+M657+M678+M667+M674</f>
        <v>2417.3</v>
      </c>
      <c r="N638" s="4">
        <f t="shared" si="334"/>
        <v>73.41614529551114</v>
      </c>
    </row>
    <row r="639" spans="1:14" s="142" customFormat="1" ht="15.75">
      <c r="A639" s="31" t="s">
        <v>156</v>
      </c>
      <c r="B639" s="21" t="s">
        <v>775</v>
      </c>
      <c r="C639" s="42" t="s">
        <v>157</v>
      </c>
      <c r="D639" s="42"/>
      <c r="E639" s="2"/>
      <c r="F639" s="2"/>
      <c r="G639" s="7" t="e">
        <f aca="true" t="shared" si="365" ref="G639:M639">G640</f>
        <v>#REF!</v>
      </c>
      <c r="H639" s="7" t="e">
        <f t="shared" si="365"/>
        <v>#REF!</v>
      </c>
      <c r="I639" s="7" t="e">
        <f t="shared" si="365"/>
        <v>#REF!</v>
      </c>
      <c r="J639" s="7" t="e">
        <f t="shared" si="365"/>
        <v>#REF!</v>
      </c>
      <c r="K639" s="7" t="e">
        <f t="shared" si="365"/>
        <v>#REF!</v>
      </c>
      <c r="L639" s="7">
        <f t="shared" si="365"/>
        <v>40</v>
      </c>
      <c r="M639" s="7">
        <f t="shared" si="365"/>
        <v>15</v>
      </c>
      <c r="N639" s="7">
        <f t="shared" si="334"/>
        <v>37.5</v>
      </c>
    </row>
    <row r="640" spans="1:14" s="142" customFormat="1" ht="15.75">
      <c r="A640" s="31" t="s">
        <v>178</v>
      </c>
      <c r="B640" s="21" t="s">
        <v>775</v>
      </c>
      <c r="C640" s="42" t="s">
        <v>157</v>
      </c>
      <c r="D640" s="42" t="s">
        <v>179</v>
      </c>
      <c r="E640" s="2"/>
      <c r="F640" s="2"/>
      <c r="G640" s="7" t="e">
        <f>G641+#REF!</f>
        <v>#REF!</v>
      </c>
      <c r="H640" s="7" t="e">
        <f>H641+#REF!</f>
        <v>#REF!</v>
      </c>
      <c r="I640" s="7" t="e">
        <f>I641+#REF!</f>
        <v>#REF!</v>
      </c>
      <c r="J640" s="7" t="e">
        <f>J641+#REF!</f>
        <v>#REF!</v>
      </c>
      <c r="K640" s="7" t="e">
        <f>K641+#REF!</f>
        <v>#REF!</v>
      </c>
      <c r="L640" s="7">
        <f>L641+L644</f>
        <v>40</v>
      </c>
      <c r="M640" s="7">
        <f aca="true" t="shared" si="366" ref="M640">M641+M644</f>
        <v>15</v>
      </c>
      <c r="N640" s="7">
        <f t="shared" si="334"/>
        <v>37.5</v>
      </c>
    </row>
    <row r="641" spans="1:14" ht="31.5">
      <c r="A641" s="33" t="s">
        <v>196</v>
      </c>
      <c r="B641" s="21" t="s">
        <v>905</v>
      </c>
      <c r="C641" s="42" t="s">
        <v>157</v>
      </c>
      <c r="D641" s="42" t="s">
        <v>179</v>
      </c>
      <c r="E641" s="2"/>
      <c r="F641" s="2"/>
      <c r="G641" s="7" t="e">
        <f>G642</f>
        <v>#REF!</v>
      </c>
      <c r="H641" s="7" t="e">
        <f aca="true" t="shared" si="367" ref="H641:M642">H642</f>
        <v>#REF!</v>
      </c>
      <c r="I641" s="7" t="e">
        <f t="shared" si="367"/>
        <v>#REF!</v>
      </c>
      <c r="J641" s="7" t="e">
        <f t="shared" si="367"/>
        <v>#REF!</v>
      </c>
      <c r="K641" s="7" t="e">
        <f t="shared" si="367"/>
        <v>#REF!</v>
      </c>
      <c r="L641" s="7">
        <f t="shared" si="367"/>
        <v>25</v>
      </c>
      <c r="M641" s="7">
        <f t="shared" si="367"/>
        <v>0</v>
      </c>
      <c r="N641" s="7">
        <f t="shared" si="334"/>
        <v>0</v>
      </c>
    </row>
    <row r="642" spans="1:14" ht="31.5">
      <c r="A642" s="26" t="s">
        <v>170</v>
      </c>
      <c r="B642" s="21" t="s">
        <v>905</v>
      </c>
      <c r="C642" s="42" t="s">
        <v>157</v>
      </c>
      <c r="D642" s="42" t="s">
        <v>179</v>
      </c>
      <c r="E642" s="2">
        <v>200</v>
      </c>
      <c r="F642" s="2"/>
      <c r="G642" s="7" t="e">
        <f>G643</f>
        <v>#REF!</v>
      </c>
      <c r="H642" s="7" t="e">
        <f t="shared" si="367"/>
        <v>#REF!</v>
      </c>
      <c r="I642" s="7" t="e">
        <f t="shared" si="367"/>
        <v>#REF!</v>
      </c>
      <c r="J642" s="7" t="e">
        <f t="shared" si="367"/>
        <v>#REF!</v>
      </c>
      <c r="K642" s="7" t="e">
        <f t="shared" si="367"/>
        <v>#REF!</v>
      </c>
      <c r="L642" s="7">
        <f t="shared" si="367"/>
        <v>25</v>
      </c>
      <c r="M642" s="7">
        <f t="shared" si="367"/>
        <v>0</v>
      </c>
      <c r="N642" s="7">
        <f t="shared" si="334"/>
        <v>0</v>
      </c>
    </row>
    <row r="643" spans="1:14" ht="31.5">
      <c r="A643" s="26" t="s">
        <v>172</v>
      </c>
      <c r="B643" s="21" t="s">
        <v>905</v>
      </c>
      <c r="C643" s="42" t="s">
        <v>157</v>
      </c>
      <c r="D643" s="42" t="s">
        <v>179</v>
      </c>
      <c r="E643" s="2">
        <v>240</v>
      </c>
      <c r="F643" s="2"/>
      <c r="G643" s="7" t="e">
        <f>#REF!</f>
        <v>#REF!</v>
      </c>
      <c r="H643" s="7" t="e">
        <f>#REF!</f>
        <v>#REF!</v>
      </c>
      <c r="I643" s="7" t="e">
        <f>#REF!</f>
        <v>#REF!</v>
      </c>
      <c r="J643" s="7" t="e">
        <f>#REF!</f>
        <v>#REF!</v>
      </c>
      <c r="K643" s="7" t="e">
        <f>#REF!</f>
        <v>#REF!</v>
      </c>
      <c r="L643" s="7">
        <f>'Прил.№4 ведомств.'!G94</f>
        <v>25</v>
      </c>
      <c r="M643" s="7">
        <f>'Прил.№4 ведомств.'!H94</f>
        <v>0</v>
      </c>
      <c r="N643" s="7">
        <f t="shared" si="334"/>
        <v>0</v>
      </c>
    </row>
    <row r="644" spans="1:14" ht="31.5">
      <c r="A644" s="269" t="s">
        <v>908</v>
      </c>
      <c r="B644" s="21" t="s">
        <v>907</v>
      </c>
      <c r="C644" s="42" t="s">
        <v>157</v>
      </c>
      <c r="D644" s="42" t="s">
        <v>179</v>
      </c>
      <c r="E644" s="2"/>
      <c r="F644" s="2"/>
      <c r="G644" s="7" t="e">
        <f>G645</f>
        <v>#REF!</v>
      </c>
      <c r="H644" s="7" t="e">
        <f aca="true" t="shared" si="368" ref="H644:M645">H645</f>
        <v>#REF!</v>
      </c>
      <c r="I644" s="7" t="e">
        <f t="shared" si="368"/>
        <v>#REF!</v>
      </c>
      <c r="J644" s="7" t="e">
        <f t="shared" si="368"/>
        <v>#REF!</v>
      </c>
      <c r="K644" s="7" t="e">
        <f t="shared" si="368"/>
        <v>#REF!</v>
      </c>
      <c r="L644" s="7">
        <f t="shared" si="368"/>
        <v>15</v>
      </c>
      <c r="M644" s="7">
        <f t="shared" si="368"/>
        <v>15</v>
      </c>
      <c r="N644" s="7">
        <f t="shared" si="334"/>
        <v>100</v>
      </c>
    </row>
    <row r="645" spans="1:14" ht="31.5">
      <c r="A645" s="26" t="s">
        <v>170</v>
      </c>
      <c r="B645" s="21" t="s">
        <v>907</v>
      </c>
      <c r="C645" s="42" t="s">
        <v>157</v>
      </c>
      <c r="D645" s="42" t="s">
        <v>179</v>
      </c>
      <c r="E645" s="2">
        <v>200</v>
      </c>
      <c r="F645" s="2"/>
      <c r="G645" s="7" t="e">
        <f>G646</f>
        <v>#REF!</v>
      </c>
      <c r="H645" s="7" t="e">
        <f t="shared" si="368"/>
        <v>#REF!</v>
      </c>
      <c r="I645" s="7" t="e">
        <f t="shared" si="368"/>
        <v>#REF!</v>
      </c>
      <c r="J645" s="7" t="e">
        <f t="shared" si="368"/>
        <v>#REF!</v>
      </c>
      <c r="K645" s="7" t="e">
        <f t="shared" si="368"/>
        <v>#REF!</v>
      </c>
      <c r="L645" s="7">
        <f t="shared" si="368"/>
        <v>15</v>
      </c>
      <c r="M645" s="7">
        <f t="shared" si="368"/>
        <v>15</v>
      </c>
      <c r="N645" s="7">
        <f t="shared" si="334"/>
        <v>100</v>
      </c>
    </row>
    <row r="646" spans="1:14" ht="31.5">
      <c r="A646" s="26" t="s">
        <v>172</v>
      </c>
      <c r="B646" s="21" t="s">
        <v>907</v>
      </c>
      <c r="C646" s="42" t="s">
        <v>157</v>
      </c>
      <c r="D646" s="42" t="s">
        <v>179</v>
      </c>
      <c r="E646" s="2">
        <v>240</v>
      </c>
      <c r="F646" s="2"/>
      <c r="G646" s="7" t="e">
        <f>#REF!</f>
        <v>#REF!</v>
      </c>
      <c r="H646" s="7" t="e">
        <f>#REF!</f>
        <v>#REF!</v>
      </c>
      <c r="I646" s="7" t="e">
        <f>#REF!</f>
        <v>#REF!</v>
      </c>
      <c r="J646" s="7" t="e">
        <f>#REF!</f>
        <v>#REF!</v>
      </c>
      <c r="K646" s="7" t="e">
        <f>#REF!</f>
        <v>#REF!</v>
      </c>
      <c r="L646" s="7">
        <f>'Прил.№4 ведомств.'!G100</f>
        <v>15</v>
      </c>
      <c r="M646" s="7">
        <f>'Прил.№4 ведомств.'!H100</f>
        <v>15</v>
      </c>
      <c r="N646" s="7">
        <f t="shared" si="334"/>
        <v>100</v>
      </c>
    </row>
    <row r="647" spans="1:14" ht="15.75">
      <c r="A647" s="31" t="s">
        <v>187</v>
      </c>
      <c r="B647" s="21" t="s">
        <v>775</v>
      </c>
      <c r="C647" s="42"/>
      <c r="D647" s="42"/>
      <c r="E647" s="2"/>
      <c r="F647" s="2">
        <v>902</v>
      </c>
      <c r="G647" s="7" t="e">
        <f>G639</f>
        <v>#REF!</v>
      </c>
      <c r="H647" s="7" t="e">
        <f>H639</f>
        <v>#REF!</v>
      </c>
      <c r="I647" s="7" t="e">
        <f>I639</f>
        <v>#REF!</v>
      </c>
      <c r="J647" s="7" t="e">
        <f>J639</f>
        <v>#REF!</v>
      </c>
      <c r="K647" s="7" t="e">
        <f>K639</f>
        <v>#REF!</v>
      </c>
      <c r="L647" s="7">
        <f>L641+L644</f>
        <v>40</v>
      </c>
      <c r="M647" s="7">
        <f aca="true" t="shared" si="369" ref="M647">M641+M644</f>
        <v>15</v>
      </c>
      <c r="N647" s="7">
        <f t="shared" si="334"/>
        <v>37.5</v>
      </c>
    </row>
    <row r="648" spans="1:14" ht="31.5">
      <c r="A648" s="33" t="s">
        <v>196</v>
      </c>
      <c r="B648" s="21" t="s">
        <v>905</v>
      </c>
      <c r="C648" s="42" t="s">
        <v>157</v>
      </c>
      <c r="D648" s="42" t="s">
        <v>179</v>
      </c>
      <c r="E648" s="2"/>
      <c r="F648" s="2"/>
      <c r="G648" s="7"/>
      <c r="H648" s="7"/>
      <c r="I648" s="7"/>
      <c r="J648" s="7"/>
      <c r="K648" s="7"/>
      <c r="L648" s="7">
        <f>L649</f>
        <v>5</v>
      </c>
      <c r="M648" s="7">
        <f aca="true" t="shared" si="370" ref="M648:M649">M649</f>
        <v>0</v>
      </c>
      <c r="N648" s="7">
        <f t="shared" si="334"/>
        <v>0</v>
      </c>
    </row>
    <row r="649" spans="1:14" ht="31.5">
      <c r="A649" s="26" t="s">
        <v>170</v>
      </c>
      <c r="B649" s="21" t="s">
        <v>905</v>
      </c>
      <c r="C649" s="42" t="s">
        <v>157</v>
      </c>
      <c r="D649" s="42" t="s">
        <v>179</v>
      </c>
      <c r="E649" s="2">
        <v>200</v>
      </c>
      <c r="F649" s="2"/>
      <c r="G649" s="7"/>
      <c r="H649" s="7"/>
      <c r="I649" s="7"/>
      <c r="J649" s="7"/>
      <c r="K649" s="7"/>
      <c r="L649" s="7">
        <f>L650</f>
        <v>5</v>
      </c>
      <c r="M649" s="7">
        <f t="shared" si="370"/>
        <v>0</v>
      </c>
      <c r="N649" s="7">
        <f t="shared" si="334"/>
        <v>0</v>
      </c>
    </row>
    <row r="650" spans="1:14" ht="31.5">
      <c r="A650" s="26" t="s">
        <v>172</v>
      </c>
      <c r="B650" s="21" t="s">
        <v>905</v>
      </c>
      <c r="C650" s="42" t="s">
        <v>157</v>
      </c>
      <c r="D650" s="42" t="s">
        <v>179</v>
      </c>
      <c r="E650" s="2">
        <v>240</v>
      </c>
      <c r="F650" s="2"/>
      <c r="G650" s="7"/>
      <c r="H650" s="7"/>
      <c r="I650" s="7"/>
      <c r="J650" s="7"/>
      <c r="K650" s="7"/>
      <c r="L650" s="7">
        <f>'Прил.№4 ведомств.'!G281</f>
        <v>5</v>
      </c>
      <c r="M650" s="7">
        <f>'Прил.№4 ведомств.'!H281</f>
        <v>0</v>
      </c>
      <c r="N650" s="7">
        <f t="shared" si="334"/>
        <v>0</v>
      </c>
    </row>
    <row r="651" spans="1:14" ht="31.5">
      <c r="A651" s="47" t="s">
        <v>909</v>
      </c>
      <c r="B651" s="21" t="s">
        <v>910</v>
      </c>
      <c r="C651" s="42" t="s">
        <v>303</v>
      </c>
      <c r="D651" s="42" t="s">
        <v>254</v>
      </c>
      <c r="E651" s="2"/>
      <c r="F651" s="2"/>
      <c r="G651" s="7"/>
      <c r="H651" s="7"/>
      <c r="I651" s="7"/>
      <c r="J651" s="7"/>
      <c r="K651" s="7"/>
      <c r="L651" s="7">
        <f>L652</f>
        <v>221</v>
      </c>
      <c r="M651" s="7">
        <f aca="true" t="shared" si="371" ref="M651:M652">M652</f>
        <v>136.2</v>
      </c>
      <c r="N651" s="7">
        <f t="shared" si="334"/>
        <v>61.628959276018094</v>
      </c>
    </row>
    <row r="652" spans="1:14" ht="31.5">
      <c r="A652" s="26" t="s">
        <v>170</v>
      </c>
      <c r="B652" s="21" t="s">
        <v>910</v>
      </c>
      <c r="C652" s="42" t="s">
        <v>303</v>
      </c>
      <c r="D652" s="42" t="s">
        <v>254</v>
      </c>
      <c r="E652" s="2">
        <v>200</v>
      </c>
      <c r="F652" s="2"/>
      <c r="G652" s="7"/>
      <c r="H652" s="7"/>
      <c r="I652" s="7"/>
      <c r="J652" s="7"/>
      <c r="K652" s="7"/>
      <c r="L652" s="7">
        <f>L653</f>
        <v>221</v>
      </c>
      <c r="M652" s="7">
        <f t="shared" si="371"/>
        <v>136.2</v>
      </c>
      <c r="N652" s="7">
        <f t="shared" si="334"/>
        <v>61.628959276018094</v>
      </c>
    </row>
    <row r="653" spans="1:14" ht="31.5">
      <c r="A653" s="26" t="s">
        <v>172</v>
      </c>
      <c r="B653" s="21" t="s">
        <v>910</v>
      </c>
      <c r="C653" s="42" t="s">
        <v>303</v>
      </c>
      <c r="D653" s="42" t="s">
        <v>254</v>
      </c>
      <c r="E653" s="2">
        <v>240</v>
      </c>
      <c r="F653" s="2"/>
      <c r="G653" s="7"/>
      <c r="H653" s="7"/>
      <c r="I653" s="7"/>
      <c r="J653" s="7"/>
      <c r="K653" s="7"/>
      <c r="L653" s="7">
        <f>'Прил.№4 ведомств.'!G341</f>
        <v>221</v>
      </c>
      <c r="M653" s="7">
        <f>'Прил.№4 ведомств.'!H341</f>
        <v>136.2</v>
      </c>
      <c r="N653" s="7">
        <f aca="true" t="shared" si="372" ref="N653:N707">M653/L653*100</f>
        <v>61.628959276018094</v>
      </c>
    </row>
    <row r="654" spans="1:14" ht="31.5">
      <c r="A654" s="47" t="s">
        <v>909</v>
      </c>
      <c r="B654" s="21" t="s">
        <v>910</v>
      </c>
      <c r="C654" s="42" t="s">
        <v>338</v>
      </c>
      <c r="D654" s="42" t="s">
        <v>157</v>
      </c>
      <c r="E654" s="2"/>
      <c r="F654" s="2"/>
      <c r="G654" s="7"/>
      <c r="H654" s="7"/>
      <c r="I654" s="7"/>
      <c r="J654" s="7"/>
      <c r="K654" s="7"/>
      <c r="L654" s="7">
        <f>L655</f>
        <v>793.2</v>
      </c>
      <c r="M654" s="7">
        <f aca="true" t="shared" si="373" ref="M654:M655">M655</f>
        <v>534.5</v>
      </c>
      <c r="N654" s="7">
        <f t="shared" si="372"/>
        <v>67.3852748361069</v>
      </c>
    </row>
    <row r="655" spans="1:14" ht="31.5">
      <c r="A655" s="26" t="s">
        <v>170</v>
      </c>
      <c r="B655" s="21" t="s">
        <v>910</v>
      </c>
      <c r="C655" s="42" t="s">
        <v>338</v>
      </c>
      <c r="D655" s="42" t="s">
        <v>157</v>
      </c>
      <c r="E655" s="2">
        <v>200</v>
      </c>
      <c r="F655" s="2"/>
      <c r="G655" s="7"/>
      <c r="H655" s="7"/>
      <c r="I655" s="7"/>
      <c r="J655" s="7"/>
      <c r="K655" s="7"/>
      <c r="L655" s="7">
        <f>L656</f>
        <v>793.2</v>
      </c>
      <c r="M655" s="7">
        <f t="shared" si="373"/>
        <v>534.5</v>
      </c>
      <c r="N655" s="7">
        <f t="shared" si="372"/>
        <v>67.3852748361069</v>
      </c>
    </row>
    <row r="656" spans="1:14" ht="31.5">
      <c r="A656" s="26" t="s">
        <v>172</v>
      </c>
      <c r="B656" s="21" t="s">
        <v>910</v>
      </c>
      <c r="C656" s="42" t="s">
        <v>338</v>
      </c>
      <c r="D656" s="42" t="s">
        <v>157</v>
      </c>
      <c r="E656" s="2">
        <v>240</v>
      </c>
      <c r="F656" s="2"/>
      <c r="G656" s="7"/>
      <c r="H656" s="7"/>
      <c r="I656" s="7"/>
      <c r="J656" s="7"/>
      <c r="K656" s="7"/>
      <c r="L656" s="7">
        <f>'Прил.№4 ведомств.'!G470</f>
        <v>793.2</v>
      </c>
      <c r="M656" s="7">
        <f>'Прил.№4 ведомств.'!H470</f>
        <v>534.5</v>
      </c>
      <c r="N656" s="7">
        <f t="shared" si="372"/>
        <v>67.3852748361069</v>
      </c>
    </row>
    <row r="657" spans="1:14" ht="47.25">
      <c r="A657" s="26" t="s">
        <v>300</v>
      </c>
      <c r="B657" s="21" t="s">
        <v>775</v>
      </c>
      <c r="C657" s="42"/>
      <c r="D657" s="42"/>
      <c r="E657" s="2"/>
      <c r="F657" s="2">
        <v>903</v>
      </c>
      <c r="G657" s="7"/>
      <c r="H657" s="7"/>
      <c r="I657" s="7"/>
      <c r="J657" s="7"/>
      <c r="K657" s="7"/>
      <c r="L657" s="7">
        <f>L648+L654+L651</f>
        <v>1019.2</v>
      </c>
      <c r="M657" s="7">
        <f aca="true" t="shared" si="374" ref="M657">M648+M654+M651</f>
        <v>670.7</v>
      </c>
      <c r="N657" s="7">
        <f t="shared" si="372"/>
        <v>65.80651491365778</v>
      </c>
    </row>
    <row r="658" spans="1:14" ht="47.25">
      <c r="A658" s="47" t="s">
        <v>915</v>
      </c>
      <c r="B658" s="21" t="s">
        <v>916</v>
      </c>
      <c r="C658" s="42" t="s">
        <v>303</v>
      </c>
      <c r="D658" s="42" t="s">
        <v>157</v>
      </c>
      <c r="E658" s="2"/>
      <c r="F658" s="2"/>
      <c r="G658" s="7"/>
      <c r="H658" s="7"/>
      <c r="I658" s="7"/>
      <c r="J658" s="7"/>
      <c r="K658" s="7"/>
      <c r="L658" s="7">
        <f>L659</f>
        <v>464.3</v>
      </c>
      <c r="M658" s="7">
        <f aca="true" t="shared" si="375" ref="M658:M659">M659</f>
        <v>315.9</v>
      </c>
      <c r="N658" s="7">
        <f t="shared" si="372"/>
        <v>68.03790652595303</v>
      </c>
    </row>
    <row r="659" spans="1:14" ht="31.5">
      <c r="A659" s="31" t="s">
        <v>311</v>
      </c>
      <c r="B659" s="21" t="s">
        <v>916</v>
      </c>
      <c r="C659" s="42" t="s">
        <v>303</v>
      </c>
      <c r="D659" s="42" t="s">
        <v>157</v>
      </c>
      <c r="E659" s="2">
        <v>600</v>
      </c>
      <c r="F659" s="2"/>
      <c r="G659" s="7"/>
      <c r="H659" s="7"/>
      <c r="I659" s="7"/>
      <c r="J659" s="7"/>
      <c r="K659" s="7"/>
      <c r="L659" s="7">
        <f>L660</f>
        <v>464.3</v>
      </c>
      <c r="M659" s="7">
        <f t="shared" si="375"/>
        <v>315.9</v>
      </c>
      <c r="N659" s="7">
        <f t="shared" si="372"/>
        <v>68.03790652595303</v>
      </c>
    </row>
    <row r="660" spans="1:14" ht="15.75">
      <c r="A660" s="242" t="s">
        <v>313</v>
      </c>
      <c r="B660" s="21" t="s">
        <v>916</v>
      </c>
      <c r="C660" s="42" t="s">
        <v>303</v>
      </c>
      <c r="D660" s="42" t="s">
        <v>157</v>
      </c>
      <c r="E660" s="2">
        <v>610</v>
      </c>
      <c r="F660" s="2"/>
      <c r="G660" s="7"/>
      <c r="H660" s="7"/>
      <c r="I660" s="7"/>
      <c r="J660" s="7"/>
      <c r="K660" s="7"/>
      <c r="L660" s="7">
        <f>'Прил.№4 ведомств.'!G721</f>
        <v>464.3</v>
      </c>
      <c r="M660" s="7">
        <f>'Прил.№4 ведомств.'!H721</f>
        <v>315.9</v>
      </c>
      <c r="N660" s="7">
        <f t="shared" si="372"/>
        <v>68.03790652595303</v>
      </c>
    </row>
    <row r="661" spans="1:14" ht="47.25">
      <c r="A661" s="47" t="s">
        <v>915</v>
      </c>
      <c r="B661" s="21" t="s">
        <v>916</v>
      </c>
      <c r="C661" s="42" t="s">
        <v>303</v>
      </c>
      <c r="D661" s="42" t="s">
        <v>252</v>
      </c>
      <c r="E661" s="2"/>
      <c r="F661" s="2"/>
      <c r="G661" s="7"/>
      <c r="H661" s="7"/>
      <c r="I661" s="7"/>
      <c r="J661" s="7"/>
      <c r="K661" s="7"/>
      <c r="L661" s="7">
        <f>L662</f>
        <v>723.3</v>
      </c>
      <c r="M661" s="7">
        <f aca="true" t="shared" si="376" ref="M661:M662">M662</f>
        <v>605.3</v>
      </c>
      <c r="N661" s="7">
        <f t="shared" si="372"/>
        <v>83.68588414212637</v>
      </c>
    </row>
    <row r="662" spans="1:14" ht="31.5">
      <c r="A662" s="31" t="s">
        <v>311</v>
      </c>
      <c r="B662" s="21" t="s">
        <v>916</v>
      </c>
      <c r="C662" s="42" t="s">
        <v>303</v>
      </c>
      <c r="D662" s="42" t="s">
        <v>252</v>
      </c>
      <c r="E662" s="2">
        <v>600</v>
      </c>
      <c r="F662" s="2"/>
      <c r="G662" s="7"/>
      <c r="H662" s="7"/>
      <c r="I662" s="7"/>
      <c r="J662" s="7"/>
      <c r="K662" s="7"/>
      <c r="L662" s="7">
        <f>L663</f>
        <v>723.3</v>
      </c>
      <c r="M662" s="7">
        <f t="shared" si="376"/>
        <v>605.3</v>
      </c>
      <c r="N662" s="7">
        <f t="shared" si="372"/>
        <v>83.68588414212637</v>
      </c>
    </row>
    <row r="663" spans="1:14" ht="15.75">
      <c r="A663" s="242" t="s">
        <v>313</v>
      </c>
      <c r="B663" s="21" t="s">
        <v>916</v>
      </c>
      <c r="C663" s="42" t="s">
        <v>303</v>
      </c>
      <c r="D663" s="42" t="s">
        <v>252</v>
      </c>
      <c r="E663" s="2">
        <v>610</v>
      </c>
      <c r="F663" s="2"/>
      <c r="G663" s="7"/>
      <c r="H663" s="7"/>
      <c r="I663" s="7"/>
      <c r="J663" s="7"/>
      <c r="K663" s="7"/>
      <c r="L663" s="7">
        <f>'Прил.№4 ведомств.'!G792</f>
        <v>723.3</v>
      </c>
      <c r="M663" s="7">
        <f>'Прил.№4 ведомств.'!H792</f>
        <v>605.3</v>
      </c>
      <c r="N663" s="7">
        <f t="shared" si="372"/>
        <v>83.68588414212637</v>
      </c>
    </row>
    <row r="664" spans="1:14" ht="47.25">
      <c r="A664" s="47" t="s">
        <v>915</v>
      </c>
      <c r="B664" s="21" t="s">
        <v>916</v>
      </c>
      <c r="C664" s="42" t="s">
        <v>303</v>
      </c>
      <c r="D664" s="42" t="s">
        <v>254</v>
      </c>
      <c r="E664" s="2"/>
      <c r="F664" s="2"/>
      <c r="G664" s="7"/>
      <c r="H664" s="7"/>
      <c r="I664" s="7"/>
      <c r="J664" s="7"/>
      <c r="K664" s="7"/>
      <c r="L664" s="7">
        <f>L665</f>
        <v>300.7</v>
      </c>
      <c r="M664" s="7">
        <f aca="true" t="shared" si="377" ref="M664:M665">M665</f>
        <v>213.9</v>
      </c>
      <c r="N664" s="7">
        <f t="shared" si="372"/>
        <v>71.1340206185567</v>
      </c>
    </row>
    <row r="665" spans="1:14" ht="31.5">
      <c r="A665" s="31" t="s">
        <v>311</v>
      </c>
      <c r="B665" s="21" t="s">
        <v>916</v>
      </c>
      <c r="C665" s="42" t="s">
        <v>303</v>
      </c>
      <c r="D665" s="42" t="s">
        <v>254</v>
      </c>
      <c r="E665" s="2">
        <v>600</v>
      </c>
      <c r="F665" s="2"/>
      <c r="G665" s="7"/>
      <c r="H665" s="7"/>
      <c r="I665" s="7"/>
      <c r="J665" s="7"/>
      <c r="K665" s="7"/>
      <c r="L665" s="7">
        <f>L666</f>
        <v>300.7</v>
      </c>
      <c r="M665" s="7">
        <f t="shared" si="377"/>
        <v>213.9</v>
      </c>
      <c r="N665" s="7">
        <f t="shared" si="372"/>
        <v>71.1340206185567</v>
      </c>
    </row>
    <row r="666" spans="1:14" ht="15.75">
      <c r="A666" s="242" t="s">
        <v>313</v>
      </c>
      <c r="B666" s="21" t="s">
        <v>916</v>
      </c>
      <c r="C666" s="42" t="s">
        <v>303</v>
      </c>
      <c r="D666" s="42" t="s">
        <v>254</v>
      </c>
      <c r="E666" s="2">
        <v>610</v>
      </c>
      <c r="F666" s="2"/>
      <c r="G666" s="7"/>
      <c r="H666" s="7"/>
      <c r="I666" s="7"/>
      <c r="J666" s="7"/>
      <c r="K666" s="7"/>
      <c r="L666" s="7">
        <f>'Прил.№4 ведомств.'!G841</f>
        <v>300.7</v>
      </c>
      <c r="M666" s="7">
        <f>'Прил.№4 ведомств.'!H841</f>
        <v>213.9</v>
      </c>
      <c r="N666" s="7">
        <f t="shared" si="372"/>
        <v>71.1340206185567</v>
      </c>
    </row>
    <row r="667" spans="1:14" ht="31.5">
      <c r="A667" s="47" t="s">
        <v>443</v>
      </c>
      <c r="B667" s="21" t="s">
        <v>916</v>
      </c>
      <c r="C667" s="42"/>
      <c r="D667" s="42"/>
      <c r="E667" s="2"/>
      <c r="F667" s="2">
        <v>906</v>
      </c>
      <c r="G667" s="7"/>
      <c r="H667" s="7"/>
      <c r="I667" s="7"/>
      <c r="J667" s="7"/>
      <c r="K667" s="7"/>
      <c r="L667" s="7">
        <f>L658+L661+L664</f>
        <v>1488.3</v>
      </c>
      <c r="M667" s="7">
        <f aca="true" t="shared" si="378" ref="M667">M658+M661+M664</f>
        <v>1135.1</v>
      </c>
      <c r="N667" s="7">
        <f t="shared" si="372"/>
        <v>76.26822549217226</v>
      </c>
    </row>
    <row r="668" spans="1:14" ht="47.25" customHeight="1" hidden="1">
      <c r="A668" s="47" t="s">
        <v>915</v>
      </c>
      <c r="B668" s="21" t="s">
        <v>916</v>
      </c>
      <c r="C668" s="42" t="s">
        <v>303</v>
      </c>
      <c r="D668" s="42" t="s">
        <v>254</v>
      </c>
      <c r="E668" s="2"/>
      <c r="F668" s="2"/>
      <c r="G668" s="7"/>
      <c r="H668" s="7"/>
      <c r="I668" s="7"/>
      <c r="J668" s="7"/>
      <c r="K668" s="7"/>
      <c r="L668" s="7">
        <f>L669</f>
        <v>0</v>
      </c>
      <c r="M668" s="7">
        <f aca="true" t="shared" si="379" ref="M668:M669">M669</f>
        <v>0</v>
      </c>
      <c r="N668" s="7" t="e">
        <f t="shared" si="372"/>
        <v>#DIV/0!</v>
      </c>
    </row>
    <row r="669" spans="1:14" ht="31.5" customHeight="1" hidden="1">
      <c r="A669" s="31" t="s">
        <v>311</v>
      </c>
      <c r="B669" s="21" t="s">
        <v>916</v>
      </c>
      <c r="C669" s="42" t="s">
        <v>303</v>
      </c>
      <c r="D669" s="42" t="s">
        <v>254</v>
      </c>
      <c r="E669" s="2">
        <v>600</v>
      </c>
      <c r="F669" s="2"/>
      <c r="G669" s="7"/>
      <c r="H669" s="7"/>
      <c r="I669" s="7"/>
      <c r="J669" s="7"/>
      <c r="K669" s="7"/>
      <c r="L669" s="7">
        <f>L670</f>
        <v>0</v>
      </c>
      <c r="M669" s="7">
        <f t="shared" si="379"/>
        <v>0</v>
      </c>
      <c r="N669" s="7" t="e">
        <f t="shared" si="372"/>
        <v>#DIV/0!</v>
      </c>
    </row>
    <row r="670" spans="1:14" ht="15.75" customHeight="1" hidden="1">
      <c r="A670" s="242" t="s">
        <v>313</v>
      </c>
      <c r="B670" s="21" t="s">
        <v>916</v>
      </c>
      <c r="C670" s="42" t="s">
        <v>303</v>
      </c>
      <c r="D670" s="42" t="s">
        <v>254</v>
      </c>
      <c r="E670" s="2">
        <v>610</v>
      </c>
      <c r="F670" s="2"/>
      <c r="G670" s="7"/>
      <c r="H670" s="7"/>
      <c r="I670" s="7"/>
      <c r="J670" s="7"/>
      <c r="K670" s="7"/>
      <c r="L670" s="7">
        <f>'Прил.№4 ведомств.'!G925</f>
        <v>0</v>
      </c>
      <c r="M670" s="7">
        <f>'Прил.№4 ведомств.'!H925</f>
        <v>0</v>
      </c>
      <c r="N670" s="7" t="e">
        <f t="shared" si="372"/>
        <v>#DIV/0!</v>
      </c>
    </row>
    <row r="671" spans="1:14" ht="47.25">
      <c r="A671" s="47" t="s">
        <v>915</v>
      </c>
      <c r="B671" s="21" t="s">
        <v>916</v>
      </c>
      <c r="C671" s="42" t="s">
        <v>531</v>
      </c>
      <c r="D671" s="42" t="s">
        <v>157</v>
      </c>
      <c r="E671" s="2"/>
      <c r="F671" s="2"/>
      <c r="G671" s="7"/>
      <c r="H671" s="7"/>
      <c r="I671" s="7"/>
      <c r="J671" s="7"/>
      <c r="K671" s="7"/>
      <c r="L671" s="7">
        <f>L672</f>
        <v>540.1</v>
      </c>
      <c r="M671" s="7">
        <f aca="true" t="shared" si="380" ref="M671:M672">M672</f>
        <v>411.5</v>
      </c>
      <c r="N671" s="7">
        <f t="shared" si="372"/>
        <v>76.18959451953341</v>
      </c>
    </row>
    <row r="672" spans="1:14" ht="31.5">
      <c r="A672" s="31" t="s">
        <v>311</v>
      </c>
      <c r="B672" s="21" t="s">
        <v>916</v>
      </c>
      <c r="C672" s="42" t="s">
        <v>531</v>
      </c>
      <c r="D672" s="42" t="s">
        <v>157</v>
      </c>
      <c r="E672" s="2">
        <v>600</v>
      </c>
      <c r="F672" s="2"/>
      <c r="G672" s="7"/>
      <c r="H672" s="7"/>
      <c r="I672" s="7"/>
      <c r="J672" s="7"/>
      <c r="K672" s="7"/>
      <c r="L672" s="7">
        <f>L673</f>
        <v>540.1</v>
      </c>
      <c r="M672" s="7">
        <f t="shared" si="380"/>
        <v>411.5</v>
      </c>
      <c r="N672" s="7">
        <f t="shared" si="372"/>
        <v>76.18959451953341</v>
      </c>
    </row>
    <row r="673" spans="1:14" ht="15.75">
      <c r="A673" s="242" t="s">
        <v>313</v>
      </c>
      <c r="B673" s="21" t="s">
        <v>916</v>
      </c>
      <c r="C673" s="42" t="s">
        <v>531</v>
      </c>
      <c r="D673" s="42" t="s">
        <v>157</v>
      </c>
      <c r="E673" s="2">
        <v>610</v>
      </c>
      <c r="F673" s="2"/>
      <c r="G673" s="7"/>
      <c r="H673" s="7"/>
      <c r="I673" s="7"/>
      <c r="J673" s="7"/>
      <c r="K673" s="7"/>
      <c r="L673" s="7">
        <f>'Прил.№4 ведомств.'!G978</f>
        <v>540.1</v>
      </c>
      <c r="M673" s="7">
        <f>'Прил.№4 ведомств.'!H978</f>
        <v>411.5</v>
      </c>
      <c r="N673" s="7">
        <f t="shared" si="372"/>
        <v>76.18959451953341</v>
      </c>
    </row>
    <row r="674" spans="1:14" ht="31.5">
      <c r="A674" s="47" t="s">
        <v>520</v>
      </c>
      <c r="B674" s="21" t="s">
        <v>916</v>
      </c>
      <c r="C674" s="42"/>
      <c r="D674" s="42"/>
      <c r="E674" s="2"/>
      <c r="F674" s="2">
        <v>907</v>
      </c>
      <c r="G674" s="7"/>
      <c r="H674" s="7"/>
      <c r="I674" s="7"/>
      <c r="J674" s="7"/>
      <c r="K674" s="7"/>
      <c r="L674" s="7">
        <f>L668+L671</f>
        <v>540.1</v>
      </c>
      <c r="M674" s="7">
        <f aca="true" t="shared" si="381" ref="M674">M668+M671</f>
        <v>411.5</v>
      </c>
      <c r="N674" s="7">
        <f t="shared" si="372"/>
        <v>76.18959451953341</v>
      </c>
    </row>
    <row r="675" spans="1:14" ht="31.5">
      <c r="A675" s="47" t="s">
        <v>909</v>
      </c>
      <c r="B675" s="21" t="s">
        <v>910</v>
      </c>
      <c r="C675" s="42" t="s">
        <v>277</v>
      </c>
      <c r="D675" s="42" t="s">
        <v>252</v>
      </c>
      <c r="E675" s="2"/>
      <c r="F675" s="2"/>
      <c r="G675" s="7"/>
      <c r="H675" s="7"/>
      <c r="I675" s="7"/>
      <c r="J675" s="7"/>
      <c r="K675" s="7"/>
      <c r="L675" s="7">
        <f>L676</f>
        <v>205</v>
      </c>
      <c r="M675" s="7">
        <f aca="true" t="shared" si="382" ref="M675:M676">M676</f>
        <v>185</v>
      </c>
      <c r="N675" s="7">
        <f t="shared" si="372"/>
        <v>90.2439024390244</v>
      </c>
    </row>
    <row r="676" spans="1:14" ht="31.5">
      <c r="A676" s="26" t="s">
        <v>170</v>
      </c>
      <c r="B676" s="21" t="s">
        <v>910</v>
      </c>
      <c r="C676" s="42" t="s">
        <v>277</v>
      </c>
      <c r="D676" s="42" t="s">
        <v>252</v>
      </c>
      <c r="E676" s="2">
        <v>200</v>
      </c>
      <c r="F676" s="2"/>
      <c r="G676" s="7"/>
      <c r="H676" s="7"/>
      <c r="I676" s="7"/>
      <c r="J676" s="7"/>
      <c r="K676" s="7"/>
      <c r="L676" s="7">
        <f>L677</f>
        <v>205</v>
      </c>
      <c r="M676" s="7">
        <f t="shared" si="382"/>
        <v>185</v>
      </c>
      <c r="N676" s="7">
        <f t="shared" si="372"/>
        <v>90.2439024390244</v>
      </c>
    </row>
    <row r="677" spans="1:14" ht="31.5">
      <c r="A677" s="26" t="s">
        <v>172</v>
      </c>
      <c r="B677" s="21" t="s">
        <v>910</v>
      </c>
      <c r="C677" s="42" t="s">
        <v>277</v>
      </c>
      <c r="D677" s="42" t="s">
        <v>252</v>
      </c>
      <c r="E677" s="2">
        <v>240</v>
      </c>
      <c r="F677" s="2"/>
      <c r="G677" s="7"/>
      <c r="H677" s="7"/>
      <c r="I677" s="7"/>
      <c r="J677" s="7"/>
      <c r="K677" s="7"/>
      <c r="L677" s="7">
        <f>'Прил.№4 ведомств.'!G1280</f>
        <v>205</v>
      </c>
      <c r="M677" s="7">
        <f>'Прил.№4 ведомств.'!H1280</f>
        <v>185</v>
      </c>
      <c r="N677" s="7">
        <f t="shared" si="372"/>
        <v>90.2439024390244</v>
      </c>
    </row>
    <row r="678" spans="1:14" ht="15.75">
      <c r="A678" s="47" t="s">
        <v>621</v>
      </c>
      <c r="B678" s="21" t="s">
        <v>775</v>
      </c>
      <c r="C678" s="42"/>
      <c r="D678" s="42"/>
      <c r="E678" s="2"/>
      <c r="F678" s="2">
        <v>913</v>
      </c>
      <c r="G678" s="7"/>
      <c r="H678" s="7"/>
      <c r="I678" s="7"/>
      <c r="J678" s="7"/>
      <c r="K678" s="7"/>
      <c r="L678" s="7">
        <f>L675</f>
        <v>205</v>
      </c>
      <c r="M678" s="7">
        <f aca="true" t="shared" si="383" ref="M678">M675</f>
        <v>185</v>
      </c>
      <c r="N678" s="7">
        <f t="shared" si="372"/>
        <v>90.2439024390244</v>
      </c>
    </row>
    <row r="679" spans="1:14" ht="63">
      <c r="A679" s="24" t="s">
        <v>962</v>
      </c>
      <c r="B679" s="25" t="s">
        <v>781</v>
      </c>
      <c r="C679" s="8"/>
      <c r="D679" s="8"/>
      <c r="E679" s="3"/>
      <c r="F679" s="3"/>
      <c r="G679" s="4" t="e">
        <f>G680</f>
        <v>#REF!</v>
      </c>
      <c r="H679" s="4" t="e">
        <f aca="true" t="shared" si="384" ref="H679:M683">H680</f>
        <v>#REF!</v>
      </c>
      <c r="I679" s="4" t="e">
        <f t="shared" si="384"/>
        <v>#REF!</v>
      </c>
      <c r="J679" s="4" t="e">
        <f t="shared" si="384"/>
        <v>#REF!</v>
      </c>
      <c r="K679" s="4" t="e">
        <f t="shared" si="384"/>
        <v>#REF!</v>
      </c>
      <c r="L679" s="4">
        <f t="shared" si="384"/>
        <v>2614.5200000000004</v>
      </c>
      <c r="M679" s="4">
        <f t="shared" si="384"/>
        <v>2499</v>
      </c>
      <c r="N679" s="4">
        <f t="shared" si="372"/>
        <v>95.58159815185961</v>
      </c>
    </row>
    <row r="680" spans="1:14" ht="15.75">
      <c r="A680" s="26" t="s">
        <v>430</v>
      </c>
      <c r="B680" s="21" t="s">
        <v>781</v>
      </c>
      <c r="C680" s="42" t="s">
        <v>273</v>
      </c>
      <c r="D680" s="42"/>
      <c r="E680" s="2"/>
      <c r="F680" s="2"/>
      <c r="G680" s="7" t="e">
        <f>G681</f>
        <v>#REF!</v>
      </c>
      <c r="H680" s="7" t="e">
        <f t="shared" si="384"/>
        <v>#REF!</v>
      </c>
      <c r="I680" s="7" t="e">
        <f t="shared" si="384"/>
        <v>#REF!</v>
      </c>
      <c r="J680" s="7" t="e">
        <f t="shared" si="384"/>
        <v>#REF!</v>
      </c>
      <c r="K680" s="7" t="e">
        <f t="shared" si="384"/>
        <v>#REF!</v>
      </c>
      <c r="L680" s="7">
        <f t="shared" si="384"/>
        <v>2614.5200000000004</v>
      </c>
      <c r="M680" s="7">
        <f t="shared" si="384"/>
        <v>2499</v>
      </c>
      <c r="N680" s="7">
        <f t="shared" si="372"/>
        <v>95.58159815185961</v>
      </c>
    </row>
    <row r="681" spans="1:14" ht="15.75">
      <c r="A681" s="26" t="s">
        <v>581</v>
      </c>
      <c r="B681" s="21" t="s">
        <v>781</v>
      </c>
      <c r="C681" s="42" t="s">
        <v>273</v>
      </c>
      <c r="D681" s="42" t="s">
        <v>254</v>
      </c>
      <c r="E681" s="2"/>
      <c r="F681" s="2"/>
      <c r="G681" s="7" t="e">
        <f>G682</f>
        <v>#REF!</v>
      </c>
      <c r="H681" s="7" t="e">
        <f t="shared" si="384"/>
        <v>#REF!</v>
      </c>
      <c r="I681" s="7" t="e">
        <f t="shared" si="384"/>
        <v>#REF!</v>
      </c>
      <c r="J681" s="7" t="e">
        <f t="shared" si="384"/>
        <v>#REF!</v>
      </c>
      <c r="K681" s="7" t="e">
        <f t="shared" si="384"/>
        <v>#REF!</v>
      </c>
      <c r="L681" s="7">
        <f t="shared" si="384"/>
        <v>2614.5200000000004</v>
      </c>
      <c r="M681" s="7">
        <f t="shared" si="384"/>
        <v>2499</v>
      </c>
      <c r="N681" s="7">
        <f t="shared" si="372"/>
        <v>95.58159815185961</v>
      </c>
    </row>
    <row r="682" spans="1:14" ht="47.25">
      <c r="A682" s="94" t="s">
        <v>754</v>
      </c>
      <c r="B682" s="21" t="s">
        <v>1033</v>
      </c>
      <c r="C682" s="42" t="s">
        <v>273</v>
      </c>
      <c r="D682" s="42" t="s">
        <v>254</v>
      </c>
      <c r="E682" s="2"/>
      <c r="F682" s="2"/>
      <c r="G682" s="7" t="e">
        <f>G683</f>
        <v>#REF!</v>
      </c>
      <c r="H682" s="7" t="e">
        <f t="shared" si="384"/>
        <v>#REF!</v>
      </c>
      <c r="I682" s="7" t="e">
        <f t="shared" si="384"/>
        <v>#REF!</v>
      </c>
      <c r="J682" s="7" t="e">
        <f t="shared" si="384"/>
        <v>#REF!</v>
      </c>
      <c r="K682" s="7" t="e">
        <f t="shared" si="384"/>
        <v>#REF!</v>
      </c>
      <c r="L682" s="7">
        <f t="shared" si="384"/>
        <v>2614.5200000000004</v>
      </c>
      <c r="M682" s="7">
        <f t="shared" si="384"/>
        <v>2499</v>
      </c>
      <c r="N682" s="7">
        <f t="shared" si="372"/>
        <v>95.58159815185961</v>
      </c>
    </row>
    <row r="683" spans="1:14" ht="31.5">
      <c r="A683" s="26" t="s">
        <v>170</v>
      </c>
      <c r="B683" s="21" t="s">
        <v>1033</v>
      </c>
      <c r="C683" s="42" t="s">
        <v>273</v>
      </c>
      <c r="D683" s="42" t="s">
        <v>254</v>
      </c>
      <c r="E683" s="2">
        <v>200</v>
      </c>
      <c r="F683" s="2"/>
      <c r="G683" s="7" t="e">
        <f>G684</f>
        <v>#REF!</v>
      </c>
      <c r="H683" s="7" t="e">
        <f t="shared" si="384"/>
        <v>#REF!</v>
      </c>
      <c r="I683" s="7" t="e">
        <f t="shared" si="384"/>
        <v>#REF!</v>
      </c>
      <c r="J683" s="7" t="e">
        <f t="shared" si="384"/>
        <v>#REF!</v>
      </c>
      <c r="K683" s="7" t="e">
        <f t="shared" si="384"/>
        <v>#REF!</v>
      </c>
      <c r="L683" s="7">
        <f t="shared" si="384"/>
        <v>2614.5200000000004</v>
      </c>
      <c r="M683" s="7">
        <f t="shared" si="384"/>
        <v>2499</v>
      </c>
      <c r="N683" s="7">
        <f t="shared" si="372"/>
        <v>95.58159815185961</v>
      </c>
    </row>
    <row r="684" spans="1:14" ht="31.5">
      <c r="A684" s="26" t="s">
        <v>172</v>
      </c>
      <c r="B684" s="21" t="s">
        <v>1033</v>
      </c>
      <c r="C684" s="42" t="s">
        <v>273</v>
      </c>
      <c r="D684" s="42" t="s">
        <v>254</v>
      </c>
      <c r="E684" s="2">
        <v>240</v>
      </c>
      <c r="F684" s="2"/>
      <c r="G684" s="7" t="e">
        <f>#REF!</f>
        <v>#REF!</v>
      </c>
      <c r="H684" s="7" t="e">
        <f>#REF!</f>
        <v>#REF!</v>
      </c>
      <c r="I684" s="7" t="e">
        <f>#REF!</f>
        <v>#REF!</v>
      </c>
      <c r="J684" s="7" t="e">
        <f>#REF!</f>
        <v>#REF!</v>
      </c>
      <c r="K684" s="7" t="e">
        <f>#REF!</f>
        <v>#REF!</v>
      </c>
      <c r="L684" s="7">
        <f>'Прил.№4 ведомств.'!G1172</f>
        <v>2614.5200000000004</v>
      </c>
      <c r="M684" s="7">
        <f>'Прил.№4 ведомств.'!H1172</f>
        <v>2499</v>
      </c>
      <c r="N684" s="7">
        <f t="shared" si="372"/>
        <v>95.58159815185961</v>
      </c>
    </row>
    <row r="685" spans="1:14" ht="31.5">
      <c r="A685" s="47" t="s">
        <v>681</v>
      </c>
      <c r="B685" s="21" t="s">
        <v>781</v>
      </c>
      <c r="C685" s="42" t="s">
        <v>273</v>
      </c>
      <c r="D685" s="42" t="s">
        <v>254</v>
      </c>
      <c r="E685" s="2"/>
      <c r="F685" s="2">
        <v>908</v>
      </c>
      <c r="G685" s="7" t="e">
        <f aca="true" t="shared" si="385" ref="G685:L685">G679</f>
        <v>#REF!</v>
      </c>
      <c r="H685" s="7" t="e">
        <f t="shared" si="385"/>
        <v>#REF!</v>
      </c>
      <c r="I685" s="7" t="e">
        <f t="shared" si="385"/>
        <v>#REF!</v>
      </c>
      <c r="J685" s="7" t="e">
        <f t="shared" si="385"/>
        <v>#REF!</v>
      </c>
      <c r="K685" s="7" t="e">
        <f t="shared" si="385"/>
        <v>#REF!</v>
      </c>
      <c r="L685" s="7">
        <f t="shared" si="385"/>
        <v>2614.5200000000004</v>
      </c>
      <c r="M685" s="7">
        <f aca="true" t="shared" si="386" ref="M685">M679</f>
        <v>2499</v>
      </c>
      <c r="N685" s="7">
        <f t="shared" si="372"/>
        <v>95.58159815185961</v>
      </c>
    </row>
    <row r="686" spans="1:14" s="252" customFormat="1" ht="63">
      <c r="A686" s="64" t="s">
        <v>917</v>
      </c>
      <c r="B686" s="25" t="s">
        <v>921</v>
      </c>
      <c r="C686" s="8"/>
      <c r="D686" s="8"/>
      <c r="E686" s="3"/>
      <c r="F686" s="3"/>
      <c r="G686" s="4"/>
      <c r="H686" s="4"/>
      <c r="I686" s="4"/>
      <c r="J686" s="4"/>
      <c r="K686" s="4"/>
      <c r="L686" s="4">
        <f>L687</f>
        <v>4932.3</v>
      </c>
      <c r="M686" s="4">
        <f aca="true" t="shared" si="387" ref="M686:M690">M687</f>
        <v>0</v>
      </c>
      <c r="N686" s="4">
        <f t="shared" si="372"/>
        <v>0</v>
      </c>
    </row>
    <row r="687" spans="1:14" ht="15.75">
      <c r="A687" s="47" t="s">
        <v>156</v>
      </c>
      <c r="B687" s="21" t="s">
        <v>921</v>
      </c>
      <c r="C687" s="42" t="s">
        <v>157</v>
      </c>
      <c r="D687" s="42"/>
      <c r="E687" s="2"/>
      <c r="F687" s="2"/>
      <c r="G687" s="7"/>
      <c r="H687" s="7"/>
      <c r="I687" s="7"/>
      <c r="J687" s="7"/>
      <c r="K687" s="7"/>
      <c r="L687" s="7">
        <f>L688</f>
        <v>4932.3</v>
      </c>
      <c r="M687" s="7">
        <f t="shared" si="387"/>
        <v>0</v>
      </c>
      <c r="N687" s="7">
        <f t="shared" si="372"/>
        <v>0</v>
      </c>
    </row>
    <row r="688" spans="1:14" ht="15.75">
      <c r="A688" s="47" t="s">
        <v>178</v>
      </c>
      <c r="B688" s="21" t="s">
        <v>921</v>
      </c>
      <c r="C688" s="42" t="s">
        <v>157</v>
      </c>
      <c r="D688" s="42" t="s">
        <v>179</v>
      </c>
      <c r="E688" s="2"/>
      <c r="F688" s="2"/>
      <c r="G688" s="7"/>
      <c r="H688" s="7"/>
      <c r="I688" s="7"/>
      <c r="J688" s="7"/>
      <c r="K688" s="7"/>
      <c r="L688" s="7">
        <f>L689</f>
        <v>4932.3</v>
      </c>
      <c r="M688" s="7">
        <f t="shared" si="387"/>
        <v>0</v>
      </c>
      <c r="N688" s="7">
        <f t="shared" si="372"/>
        <v>0</v>
      </c>
    </row>
    <row r="689" spans="1:14" ht="31.5">
      <c r="A689" s="47" t="s">
        <v>947</v>
      </c>
      <c r="B689" s="21" t="s">
        <v>1073</v>
      </c>
      <c r="C689" s="42" t="s">
        <v>157</v>
      </c>
      <c r="D689" s="42" t="s">
        <v>179</v>
      </c>
      <c r="E689" s="2"/>
      <c r="F689" s="2"/>
      <c r="G689" s="7"/>
      <c r="H689" s="7"/>
      <c r="I689" s="7"/>
      <c r="J689" s="7"/>
      <c r="K689" s="7"/>
      <c r="L689" s="7">
        <f>L690</f>
        <v>4932.3</v>
      </c>
      <c r="M689" s="7">
        <f t="shared" si="387"/>
        <v>0</v>
      </c>
      <c r="N689" s="7">
        <f t="shared" si="372"/>
        <v>0</v>
      </c>
    </row>
    <row r="690" spans="1:14" ht="31.5">
      <c r="A690" s="47" t="s">
        <v>170</v>
      </c>
      <c r="B690" s="21" t="s">
        <v>1073</v>
      </c>
      <c r="C690" s="42" t="s">
        <v>157</v>
      </c>
      <c r="D690" s="42" t="s">
        <v>179</v>
      </c>
      <c r="E690" s="2">
        <v>200</v>
      </c>
      <c r="F690" s="2"/>
      <c r="G690" s="7"/>
      <c r="H690" s="7"/>
      <c r="I690" s="7"/>
      <c r="J690" s="7"/>
      <c r="K690" s="7"/>
      <c r="L690" s="7">
        <f>L691</f>
        <v>4932.3</v>
      </c>
      <c r="M690" s="7">
        <f t="shared" si="387"/>
        <v>0</v>
      </c>
      <c r="N690" s="7">
        <f t="shared" si="372"/>
        <v>0</v>
      </c>
    </row>
    <row r="691" spans="1:14" ht="31.5">
      <c r="A691" s="47" t="s">
        <v>172</v>
      </c>
      <c r="B691" s="21" t="s">
        <v>1073</v>
      </c>
      <c r="C691" s="42" t="s">
        <v>157</v>
      </c>
      <c r="D691" s="42" t="s">
        <v>179</v>
      </c>
      <c r="E691" s="2">
        <v>240</v>
      </c>
      <c r="F691" s="2"/>
      <c r="G691" s="7"/>
      <c r="H691" s="7"/>
      <c r="I691" s="7"/>
      <c r="J691" s="7"/>
      <c r="K691" s="7"/>
      <c r="L691" s="7">
        <f>'Прил.№4 ведомств.'!G626</f>
        <v>4932.3</v>
      </c>
      <c r="M691" s="7">
        <f>'Прил.№4 ведомств.'!H626</f>
        <v>0</v>
      </c>
      <c r="N691" s="7">
        <f t="shared" si="372"/>
        <v>0</v>
      </c>
    </row>
    <row r="692" spans="1:14" ht="31.5">
      <c r="A692" s="47" t="s">
        <v>427</v>
      </c>
      <c r="B692" s="21" t="s">
        <v>921</v>
      </c>
      <c r="C692" s="42" t="s">
        <v>157</v>
      </c>
      <c r="D692" s="42" t="s">
        <v>179</v>
      </c>
      <c r="E692" s="2"/>
      <c r="F692" s="2">
        <v>905</v>
      </c>
      <c r="G692" s="7"/>
      <c r="H692" s="7"/>
      <c r="I692" s="7"/>
      <c r="J692" s="7"/>
      <c r="K692" s="7"/>
      <c r="L692" s="7">
        <f>L686</f>
        <v>4932.3</v>
      </c>
      <c r="M692" s="7">
        <f aca="true" t="shared" si="388" ref="M692">M686</f>
        <v>0</v>
      </c>
      <c r="N692" s="7">
        <f t="shared" si="372"/>
        <v>0</v>
      </c>
    </row>
    <row r="693" spans="1:14" ht="78.75">
      <c r="A693" s="43" t="s">
        <v>1030</v>
      </c>
      <c r="B693" s="25" t="s">
        <v>1027</v>
      </c>
      <c r="C693" s="8"/>
      <c r="D693" s="8"/>
      <c r="E693" s="3"/>
      <c r="F693" s="3"/>
      <c r="G693" s="4"/>
      <c r="H693" s="4"/>
      <c r="I693" s="4"/>
      <c r="J693" s="4"/>
      <c r="K693" s="4"/>
      <c r="L693" s="4">
        <f>L694</f>
        <v>20</v>
      </c>
      <c r="M693" s="4">
        <f aca="true" t="shared" si="389" ref="M693:M697">M694</f>
        <v>0</v>
      </c>
      <c r="N693" s="4">
        <f t="shared" si="372"/>
        <v>0</v>
      </c>
    </row>
    <row r="694" spans="1:14" ht="15.75">
      <c r="A694" s="47" t="s">
        <v>156</v>
      </c>
      <c r="B694" s="21" t="s">
        <v>1027</v>
      </c>
      <c r="C694" s="42" t="s">
        <v>157</v>
      </c>
      <c r="D694" s="42"/>
      <c r="E694" s="2"/>
      <c r="F694" s="2"/>
      <c r="G694" s="7"/>
      <c r="H694" s="7"/>
      <c r="I694" s="7"/>
      <c r="J694" s="7"/>
      <c r="K694" s="7"/>
      <c r="L694" s="7">
        <f>L695</f>
        <v>20</v>
      </c>
      <c r="M694" s="7">
        <f t="shared" si="389"/>
        <v>0</v>
      </c>
      <c r="N694" s="7">
        <f t="shared" si="372"/>
        <v>0</v>
      </c>
    </row>
    <row r="695" spans="1:14" ht="15.75">
      <c r="A695" s="47" t="s">
        <v>178</v>
      </c>
      <c r="B695" s="21" t="s">
        <v>1027</v>
      </c>
      <c r="C695" s="42" t="s">
        <v>157</v>
      </c>
      <c r="D695" s="42" t="s">
        <v>179</v>
      </c>
      <c r="E695" s="2"/>
      <c r="F695" s="2"/>
      <c r="G695" s="7"/>
      <c r="H695" s="7"/>
      <c r="I695" s="7"/>
      <c r="J695" s="7"/>
      <c r="K695" s="7"/>
      <c r="L695" s="7">
        <f>L696</f>
        <v>20</v>
      </c>
      <c r="M695" s="7">
        <f t="shared" si="389"/>
        <v>0</v>
      </c>
      <c r="N695" s="7">
        <f t="shared" si="372"/>
        <v>0</v>
      </c>
    </row>
    <row r="696" spans="1:14" ht="31.5">
      <c r="A696" s="117" t="s">
        <v>210</v>
      </c>
      <c r="B696" s="21" t="s">
        <v>1031</v>
      </c>
      <c r="C696" s="42" t="s">
        <v>157</v>
      </c>
      <c r="D696" s="42" t="s">
        <v>179</v>
      </c>
      <c r="E696" s="2"/>
      <c r="F696" s="2"/>
      <c r="G696" s="7"/>
      <c r="H696" s="7"/>
      <c r="I696" s="7"/>
      <c r="J696" s="7"/>
      <c r="K696" s="7"/>
      <c r="L696" s="7">
        <f>L697</f>
        <v>20</v>
      </c>
      <c r="M696" s="7">
        <f t="shared" si="389"/>
        <v>0</v>
      </c>
      <c r="N696" s="7">
        <f t="shared" si="372"/>
        <v>0</v>
      </c>
    </row>
    <row r="697" spans="1:14" ht="31.5">
      <c r="A697" s="47" t="s">
        <v>170</v>
      </c>
      <c r="B697" s="21" t="s">
        <v>1031</v>
      </c>
      <c r="C697" s="42" t="s">
        <v>157</v>
      </c>
      <c r="D697" s="42" t="s">
        <v>179</v>
      </c>
      <c r="E697" s="2">
        <v>200</v>
      </c>
      <c r="F697" s="2"/>
      <c r="G697" s="7"/>
      <c r="H697" s="7"/>
      <c r="I697" s="7"/>
      <c r="J697" s="7"/>
      <c r="K697" s="7"/>
      <c r="L697" s="7">
        <f>L698</f>
        <v>20</v>
      </c>
      <c r="M697" s="7">
        <f t="shared" si="389"/>
        <v>0</v>
      </c>
      <c r="N697" s="7">
        <f t="shared" si="372"/>
        <v>0</v>
      </c>
    </row>
    <row r="698" spans="1:14" ht="31.5">
      <c r="A698" s="47" t="s">
        <v>172</v>
      </c>
      <c r="B698" s="21" t="s">
        <v>1031</v>
      </c>
      <c r="C698" s="42" t="s">
        <v>157</v>
      </c>
      <c r="D698" s="42" t="s">
        <v>179</v>
      </c>
      <c r="E698" s="2">
        <v>240</v>
      </c>
      <c r="F698" s="2"/>
      <c r="G698" s="7"/>
      <c r="H698" s="7"/>
      <c r="I698" s="7"/>
      <c r="J698" s="7"/>
      <c r="K698" s="7"/>
      <c r="L698" s="7">
        <f>'Прил.№4 ведомств.'!G104</f>
        <v>20</v>
      </c>
      <c r="M698" s="7">
        <f>'Прил.№4 ведомств.'!H104</f>
        <v>0</v>
      </c>
      <c r="N698" s="7">
        <f t="shared" si="372"/>
        <v>0</v>
      </c>
    </row>
    <row r="699" spans="1:14" ht="15.75">
      <c r="A699" s="31" t="s">
        <v>187</v>
      </c>
      <c r="B699" s="21" t="s">
        <v>1027</v>
      </c>
      <c r="C699" s="42" t="s">
        <v>157</v>
      </c>
      <c r="D699" s="42" t="s">
        <v>179</v>
      </c>
      <c r="E699" s="2"/>
      <c r="F699" s="2">
        <v>902</v>
      </c>
      <c r="G699" s="7"/>
      <c r="H699" s="7"/>
      <c r="I699" s="7"/>
      <c r="J699" s="7"/>
      <c r="K699" s="7"/>
      <c r="L699" s="7">
        <f>L693</f>
        <v>20</v>
      </c>
      <c r="M699" s="7">
        <f aca="true" t="shared" si="390" ref="M699">M693</f>
        <v>0</v>
      </c>
      <c r="N699" s="7">
        <f t="shared" si="372"/>
        <v>0</v>
      </c>
    </row>
    <row r="700" spans="1:14" ht="63">
      <c r="A700" s="43" t="s">
        <v>1029</v>
      </c>
      <c r="B700" s="25" t="s">
        <v>1028</v>
      </c>
      <c r="C700" s="8"/>
      <c r="D700" s="8"/>
      <c r="E700" s="3"/>
      <c r="F700" s="3"/>
      <c r="G700" s="4"/>
      <c r="H700" s="4"/>
      <c r="I700" s="4"/>
      <c r="J700" s="4"/>
      <c r="K700" s="4"/>
      <c r="L700" s="4">
        <f>L701</f>
        <v>60</v>
      </c>
      <c r="M700" s="4">
        <f aca="true" t="shared" si="391" ref="M700:M704">M701</f>
        <v>5</v>
      </c>
      <c r="N700" s="4">
        <f t="shared" si="372"/>
        <v>8.333333333333332</v>
      </c>
    </row>
    <row r="701" spans="1:14" ht="15.75">
      <c r="A701" s="47" t="s">
        <v>156</v>
      </c>
      <c r="B701" s="21" t="s">
        <v>1028</v>
      </c>
      <c r="C701" s="42" t="s">
        <v>157</v>
      </c>
      <c r="D701" s="42"/>
      <c r="E701" s="2"/>
      <c r="F701" s="2"/>
      <c r="G701" s="7"/>
      <c r="H701" s="7"/>
      <c r="I701" s="7"/>
      <c r="J701" s="7"/>
      <c r="K701" s="7"/>
      <c r="L701" s="7">
        <f>L702</f>
        <v>60</v>
      </c>
      <c r="M701" s="7">
        <f t="shared" si="391"/>
        <v>5</v>
      </c>
      <c r="N701" s="7">
        <f t="shared" si="372"/>
        <v>8.333333333333332</v>
      </c>
    </row>
    <row r="702" spans="1:14" ht="15.75">
      <c r="A702" s="47" t="s">
        <v>178</v>
      </c>
      <c r="B702" s="21" t="s">
        <v>1028</v>
      </c>
      <c r="C702" s="42" t="s">
        <v>157</v>
      </c>
      <c r="D702" s="42" t="s">
        <v>179</v>
      </c>
      <c r="E702" s="2"/>
      <c r="F702" s="2"/>
      <c r="G702" s="7"/>
      <c r="H702" s="7"/>
      <c r="I702" s="7"/>
      <c r="J702" s="7"/>
      <c r="K702" s="7"/>
      <c r="L702" s="7">
        <f>L703</f>
        <v>60</v>
      </c>
      <c r="M702" s="7">
        <f t="shared" si="391"/>
        <v>5</v>
      </c>
      <c r="N702" s="7">
        <f t="shared" si="372"/>
        <v>8.333333333333332</v>
      </c>
    </row>
    <row r="703" spans="1:14" ht="15.75">
      <c r="A703" s="47" t="s">
        <v>214</v>
      </c>
      <c r="B703" s="21" t="s">
        <v>1032</v>
      </c>
      <c r="C703" s="42" t="s">
        <v>157</v>
      </c>
      <c r="D703" s="42" t="s">
        <v>179</v>
      </c>
      <c r="E703" s="2"/>
      <c r="F703" s="2"/>
      <c r="G703" s="7"/>
      <c r="H703" s="7"/>
      <c r="I703" s="7"/>
      <c r="J703" s="7"/>
      <c r="K703" s="7"/>
      <c r="L703" s="7">
        <f>L704</f>
        <v>60</v>
      </c>
      <c r="M703" s="7">
        <f t="shared" si="391"/>
        <v>5</v>
      </c>
      <c r="N703" s="7">
        <f t="shared" si="372"/>
        <v>8.333333333333332</v>
      </c>
    </row>
    <row r="704" spans="1:14" ht="31.5">
      <c r="A704" s="47" t="s">
        <v>170</v>
      </c>
      <c r="B704" s="21" t="s">
        <v>1032</v>
      </c>
      <c r="C704" s="42" t="s">
        <v>157</v>
      </c>
      <c r="D704" s="42" t="s">
        <v>179</v>
      </c>
      <c r="E704" s="2">
        <v>200</v>
      </c>
      <c r="F704" s="2"/>
      <c r="G704" s="7"/>
      <c r="H704" s="7"/>
      <c r="I704" s="7"/>
      <c r="J704" s="7"/>
      <c r="K704" s="7"/>
      <c r="L704" s="7">
        <f>L705</f>
        <v>60</v>
      </c>
      <c r="M704" s="7">
        <f t="shared" si="391"/>
        <v>5</v>
      </c>
      <c r="N704" s="7">
        <f t="shared" si="372"/>
        <v>8.333333333333332</v>
      </c>
    </row>
    <row r="705" spans="1:14" ht="31.5">
      <c r="A705" s="47" t="s">
        <v>172</v>
      </c>
      <c r="B705" s="21" t="s">
        <v>1032</v>
      </c>
      <c r="C705" s="42" t="s">
        <v>157</v>
      </c>
      <c r="D705" s="42" t="s">
        <v>179</v>
      </c>
      <c r="E705" s="2">
        <v>240</v>
      </c>
      <c r="F705" s="2"/>
      <c r="G705" s="7"/>
      <c r="H705" s="7"/>
      <c r="I705" s="7"/>
      <c r="J705" s="7"/>
      <c r="K705" s="7"/>
      <c r="L705" s="7">
        <f>'Прил.№4 ведомств.'!G169</f>
        <v>60</v>
      </c>
      <c r="M705" s="7">
        <f>'Прил.№4 ведомств.'!H169</f>
        <v>5</v>
      </c>
      <c r="N705" s="7">
        <f t="shared" si="372"/>
        <v>8.333333333333332</v>
      </c>
    </row>
    <row r="706" spans="1:14" ht="15.75">
      <c r="A706" s="31" t="s">
        <v>187</v>
      </c>
      <c r="B706" s="21" t="s">
        <v>1028</v>
      </c>
      <c r="C706" s="42" t="s">
        <v>157</v>
      </c>
      <c r="D706" s="42" t="s">
        <v>179</v>
      </c>
      <c r="E706" s="2"/>
      <c r="F706" s="2">
        <v>902</v>
      </c>
      <c r="G706" s="7"/>
      <c r="H706" s="7"/>
      <c r="I706" s="7"/>
      <c r="J706" s="7"/>
      <c r="K706" s="7"/>
      <c r="L706" s="7">
        <f>L700</f>
        <v>60</v>
      </c>
      <c r="M706" s="7">
        <f aca="true" t="shared" si="392" ref="M706">M700</f>
        <v>5</v>
      </c>
      <c r="N706" s="7">
        <f t="shared" si="372"/>
        <v>8.333333333333332</v>
      </c>
    </row>
    <row r="707" spans="1:14" ht="15.75">
      <c r="A707" s="83" t="s">
        <v>715</v>
      </c>
      <c r="B707" s="83"/>
      <c r="C707" s="83"/>
      <c r="D707" s="89"/>
      <c r="E707" s="89"/>
      <c r="F707" s="83"/>
      <c r="G707" s="141" t="e">
        <f>G11+G20+G106+G241+G254+G273+#REF!+G280+G352+G490+G507+G546+G562+G595+G638+G679</f>
        <v>#REF!</v>
      </c>
      <c r="H707" s="141" t="e">
        <f>H11+H20+H106+H241+H254+H273+#REF!+H280+H352+H490+H507+H546+H562+H595+H638+H679</f>
        <v>#REF!</v>
      </c>
      <c r="I707" s="141" t="e">
        <f>I11+I20+I106+I241+I254+I273+#REF!+I280+I352+I490+I507+I546+I562+I595+I638+I679</f>
        <v>#REF!</v>
      </c>
      <c r="J707" s="141" t="e">
        <f>J11+J20+J106+J241+J254+J273+#REF!+J280+J352+J490+J507+J546+J562+J595+J638+J679</f>
        <v>#REF!</v>
      </c>
      <c r="K707" s="141" t="e">
        <f>K11+K20+K106+K241+K254+K273+#REF!+K280+K352+K490+K507+K546+K562+K595+K638+K679</f>
        <v>#REF!</v>
      </c>
      <c r="L707" s="141">
        <f>L700+L693+L686+L679+L638+L595+L546+L507+L490+L352+L280+L273+L254+L241+L106+L20+L11+L562</f>
        <v>236699.59</v>
      </c>
      <c r="M707" s="141">
        <f aca="true" t="shared" si="393" ref="M707">M700+M693+M686+M679+M638+M595+M546+M507+M490+M352+M280+M273+M254+M241+M106+M20+M11+M562</f>
        <v>164863.30000000002</v>
      </c>
      <c r="N707" s="4">
        <f t="shared" si="372"/>
        <v>69.65085997825345</v>
      </c>
    </row>
  </sheetData>
  <mergeCells count="3">
    <mergeCell ref="L1:M1"/>
    <mergeCell ref="M5:N5"/>
    <mergeCell ref="A7:N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workbookViewId="0" topLeftCell="A527">
      <selection activeCell="I531" sqref="I531"/>
    </sheetView>
  </sheetViews>
  <sheetFormatPr defaultColWidth="9.140625" defaultRowHeight="15"/>
  <cols>
    <col min="1" max="1" width="38.00390625" style="1" customWidth="1"/>
    <col min="2" max="2" width="17.421875" style="1" customWidth="1"/>
    <col min="3" max="3" width="8.28125" style="1" customWidth="1"/>
    <col min="4" max="4" width="7.28125" style="0" customWidth="1"/>
    <col min="5" max="5" width="8.7109375" style="0" customWidth="1"/>
    <col min="7" max="7" width="15.421875" style="1" customWidth="1"/>
    <col min="9" max="9" width="9.140625" style="127" customWidth="1"/>
  </cols>
  <sheetData>
    <row r="1" spans="4:6" ht="15.75">
      <c r="D1" s="1"/>
      <c r="F1" s="59" t="s">
        <v>674</v>
      </c>
    </row>
    <row r="2" spans="4:6" ht="15.75">
      <c r="D2" s="1"/>
      <c r="F2" s="59" t="s">
        <v>631</v>
      </c>
    </row>
    <row r="3" spans="4:6" ht="15.75">
      <c r="D3" s="1"/>
      <c r="F3" s="59" t="s">
        <v>808</v>
      </c>
    </row>
    <row r="4" spans="4:7" ht="15.75">
      <c r="D4" s="1"/>
      <c r="E4" s="1"/>
      <c r="F4" s="73"/>
      <c r="G4" s="74"/>
    </row>
    <row r="5" spans="1:7" ht="38.25" customHeight="1">
      <c r="A5" s="376" t="s">
        <v>784</v>
      </c>
      <c r="B5" s="376"/>
      <c r="C5" s="376"/>
      <c r="D5" s="376"/>
      <c r="E5" s="376"/>
      <c r="F5" s="376"/>
      <c r="G5" s="376"/>
    </row>
    <row r="6" spans="1:7" ht="16.5">
      <c r="A6" s="193"/>
      <c r="B6" s="193"/>
      <c r="C6" s="193"/>
      <c r="D6" s="193"/>
      <c r="E6" s="193"/>
      <c r="F6" s="193"/>
      <c r="G6" s="193"/>
    </row>
    <row r="7" spans="1:7" ht="15.75">
      <c r="A7" s="73"/>
      <c r="B7" s="73"/>
      <c r="C7" s="73"/>
      <c r="D7" s="73"/>
      <c r="E7" s="75"/>
      <c r="F7" s="75"/>
      <c r="G7" s="76" t="s">
        <v>1</v>
      </c>
    </row>
    <row r="8" spans="1:7" ht="31.5">
      <c r="A8" s="77" t="s">
        <v>632</v>
      </c>
      <c r="B8" s="77" t="s">
        <v>675</v>
      </c>
      <c r="C8" s="77" t="s">
        <v>676</v>
      </c>
      <c r="D8" s="77" t="s">
        <v>677</v>
      </c>
      <c r="E8" s="77" t="s">
        <v>678</v>
      </c>
      <c r="F8" s="77" t="s">
        <v>679</v>
      </c>
      <c r="G8" s="6" t="s">
        <v>4</v>
      </c>
    </row>
    <row r="9" spans="1:7" ht="15.75">
      <c r="A9" s="77">
        <v>1</v>
      </c>
      <c r="B9" s="77">
        <v>2</v>
      </c>
      <c r="C9" s="77">
        <v>3</v>
      </c>
      <c r="D9" s="77">
        <v>4</v>
      </c>
      <c r="E9" s="77">
        <v>5</v>
      </c>
      <c r="F9" s="77">
        <v>6</v>
      </c>
      <c r="G9" s="6">
        <v>7</v>
      </c>
    </row>
    <row r="10" spans="1:7" ht="78.75">
      <c r="A10" s="64" t="s">
        <v>680</v>
      </c>
      <c r="B10" s="8" t="s">
        <v>550</v>
      </c>
      <c r="C10" s="8"/>
      <c r="D10" s="8"/>
      <c r="E10" s="8"/>
      <c r="F10" s="8"/>
      <c r="G10" s="4" t="e">
        <f>G13</f>
        <v>#REF!</v>
      </c>
    </row>
    <row r="11" spans="1:7" ht="15.75">
      <c r="A11" s="31" t="s">
        <v>271</v>
      </c>
      <c r="B11" s="42" t="s">
        <v>550</v>
      </c>
      <c r="C11" s="42" t="s">
        <v>189</v>
      </c>
      <c r="D11" s="42"/>
      <c r="E11" s="42"/>
      <c r="F11" s="42"/>
      <c r="G11" s="7" t="e">
        <f>G12</f>
        <v>#REF!</v>
      </c>
    </row>
    <row r="12" spans="1:7" ht="31.5">
      <c r="A12" s="31" t="s">
        <v>548</v>
      </c>
      <c r="B12" s="42" t="s">
        <v>550</v>
      </c>
      <c r="C12" s="42" t="s">
        <v>189</v>
      </c>
      <c r="D12" s="42" t="s">
        <v>258</v>
      </c>
      <c r="E12" s="42"/>
      <c r="F12" s="42"/>
      <c r="G12" s="7" t="e">
        <f>G13</f>
        <v>#REF!</v>
      </c>
    </row>
    <row r="13" spans="1:7" ht="15.75">
      <c r="A13" s="31" t="s">
        <v>551</v>
      </c>
      <c r="B13" s="42" t="s">
        <v>552</v>
      </c>
      <c r="C13" s="42" t="s">
        <v>189</v>
      </c>
      <c r="D13" s="42" t="s">
        <v>258</v>
      </c>
      <c r="E13" s="42"/>
      <c r="F13" s="42"/>
      <c r="G13" s="7" t="e">
        <f>G14+G16</f>
        <v>#REF!</v>
      </c>
    </row>
    <row r="14" spans="1:7" ht="47.25">
      <c r="A14" s="31" t="s">
        <v>170</v>
      </c>
      <c r="B14" s="42" t="s">
        <v>552</v>
      </c>
      <c r="C14" s="42" t="s">
        <v>189</v>
      </c>
      <c r="D14" s="42" t="s">
        <v>258</v>
      </c>
      <c r="E14" s="42" t="s">
        <v>171</v>
      </c>
      <c r="F14" s="42"/>
      <c r="G14" s="7" t="e">
        <f>G15</f>
        <v>#REF!</v>
      </c>
    </row>
    <row r="15" spans="1:8" ht="47.25">
      <c r="A15" s="31" t="s">
        <v>172</v>
      </c>
      <c r="B15" s="42" t="s">
        <v>552</v>
      </c>
      <c r="C15" s="42" t="s">
        <v>189</v>
      </c>
      <c r="D15" s="42" t="s">
        <v>258</v>
      </c>
      <c r="E15" s="42" t="s">
        <v>173</v>
      </c>
      <c r="F15" s="42"/>
      <c r="G15" s="7" t="e">
        <f>#REF!</f>
        <v>#REF!</v>
      </c>
      <c r="H15" s="133"/>
    </row>
    <row r="16" spans="1:7" ht="15.75">
      <c r="A16" s="26" t="s">
        <v>174</v>
      </c>
      <c r="B16" s="42" t="s">
        <v>552</v>
      </c>
      <c r="C16" s="42" t="s">
        <v>189</v>
      </c>
      <c r="D16" s="42" t="s">
        <v>258</v>
      </c>
      <c r="E16" s="42" t="s">
        <v>184</v>
      </c>
      <c r="F16" s="42"/>
      <c r="G16" s="7" t="e">
        <f>G17</f>
        <v>#REF!</v>
      </c>
    </row>
    <row r="17" spans="1:8" ht="31.5">
      <c r="A17" s="26" t="s">
        <v>176</v>
      </c>
      <c r="B17" s="42" t="s">
        <v>552</v>
      </c>
      <c r="C17" s="42" t="s">
        <v>189</v>
      </c>
      <c r="D17" s="42" t="s">
        <v>258</v>
      </c>
      <c r="E17" s="42" t="s">
        <v>177</v>
      </c>
      <c r="F17" s="42"/>
      <c r="G17" s="7" t="e">
        <f>#REF!</f>
        <v>#REF!</v>
      </c>
      <c r="H17" s="133"/>
    </row>
    <row r="18" spans="1:7" ht="47.25">
      <c r="A18" s="47" t="s">
        <v>681</v>
      </c>
      <c r="B18" s="42" t="s">
        <v>550</v>
      </c>
      <c r="C18" s="42" t="s">
        <v>189</v>
      </c>
      <c r="D18" s="42" t="s">
        <v>258</v>
      </c>
      <c r="E18" s="42"/>
      <c r="F18" s="42" t="s">
        <v>682</v>
      </c>
      <c r="G18" s="7" t="e">
        <f>G13</f>
        <v>#REF!</v>
      </c>
    </row>
    <row r="19" spans="1:7" ht="78.75">
      <c r="A19" s="64" t="s">
        <v>382</v>
      </c>
      <c r="B19" s="8" t="s">
        <v>383</v>
      </c>
      <c r="C19" s="8"/>
      <c r="D19" s="8"/>
      <c r="E19" s="8"/>
      <c r="F19" s="8"/>
      <c r="G19" s="68" t="e">
        <f>G20+G32+G39+G46+G55+G62+G69+G95</f>
        <v>#REF!</v>
      </c>
    </row>
    <row r="20" spans="1:7" ht="47.25">
      <c r="A20" s="64" t="s">
        <v>683</v>
      </c>
      <c r="B20" s="8" t="s">
        <v>385</v>
      </c>
      <c r="C20" s="8"/>
      <c r="D20" s="8"/>
      <c r="E20" s="8"/>
      <c r="F20" s="8"/>
      <c r="G20" s="68" t="e">
        <f>G21</f>
        <v>#REF!</v>
      </c>
    </row>
    <row r="21" spans="1:7" ht="15.75">
      <c r="A21" s="47" t="s">
        <v>282</v>
      </c>
      <c r="B21" s="42" t="s">
        <v>385</v>
      </c>
      <c r="C21" s="42" t="s">
        <v>283</v>
      </c>
      <c r="D21" s="42"/>
      <c r="E21" s="42"/>
      <c r="F21" s="42"/>
      <c r="G21" s="11" t="e">
        <f>G22</f>
        <v>#REF!</v>
      </c>
    </row>
    <row r="22" spans="1:7" ht="15.75">
      <c r="A22" s="47" t="s">
        <v>291</v>
      </c>
      <c r="B22" s="42" t="s">
        <v>385</v>
      </c>
      <c r="C22" s="42" t="s">
        <v>283</v>
      </c>
      <c r="D22" s="42" t="s">
        <v>254</v>
      </c>
      <c r="E22" s="42"/>
      <c r="F22" s="42"/>
      <c r="G22" s="11" t="e">
        <f>G23+G28</f>
        <v>#REF!</v>
      </c>
    </row>
    <row r="23" spans="1:7" ht="47.25">
      <c r="A23" s="31" t="s">
        <v>196</v>
      </c>
      <c r="B23" s="42" t="s">
        <v>684</v>
      </c>
      <c r="C23" s="42" t="s">
        <v>283</v>
      </c>
      <c r="D23" s="42" t="s">
        <v>254</v>
      </c>
      <c r="E23" s="42"/>
      <c r="F23" s="42"/>
      <c r="G23" s="11" t="e">
        <f>G26</f>
        <v>#REF!</v>
      </c>
    </row>
    <row r="24" spans="1:7" ht="110.25" hidden="1">
      <c r="A24" s="26" t="s">
        <v>166</v>
      </c>
      <c r="B24" s="42" t="s">
        <v>684</v>
      </c>
      <c r="C24" s="42" t="s">
        <v>283</v>
      </c>
      <c r="D24" s="42" t="s">
        <v>254</v>
      </c>
      <c r="E24" s="42" t="s">
        <v>167</v>
      </c>
      <c r="F24" s="42"/>
      <c r="G24" s="11">
        <f>G25</f>
        <v>0</v>
      </c>
    </row>
    <row r="25" spans="1:7" ht="47.25" hidden="1">
      <c r="A25" s="26" t="s">
        <v>168</v>
      </c>
      <c r="B25" s="42" t="s">
        <v>684</v>
      </c>
      <c r="C25" s="42" t="s">
        <v>283</v>
      </c>
      <c r="D25" s="42" t="s">
        <v>254</v>
      </c>
      <c r="E25" s="42" t="s">
        <v>169</v>
      </c>
      <c r="F25" s="42"/>
      <c r="G25" s="11"/>
    </row>
    <row r="26" spans="1:7" ht="47.25">
      <c r="A26" s="31" t="s">
        <v>170</v>
      </c>
      <c r="B26" s="42" t="s">
        <v>684</v>
      </c>
      <c r="C26" s="42" t="s">
        <v>283</v>
      </c>
      <c r="D26" s="42" t="s">
        <v>254</v>
      </c>
      <c r="E26" s="42" t="s">
        <v>171</v>
      </c>
      <c r="F26" s="42"/>
      <c r="G26" s="11" t="e">
        <f>G27</f>
        <v>#REF!</v>
      </c>
    </row>
    <row r="27" spans="1:7" ht="47.25">
      <c r="A27" s="31" t="s">
        <v>172</v>
      </c>
      <c r="B27" s="42" t="s">
        <v>684</v>
      </c>
      <c r="C27" s="42" t="s">
        <v>283</v>
      </c>
      <c r="D27" s="42" t="s">
        <v>254</v>
      </c>
      <c r="E27" s="42" t="s">
        <v>173</v>
      </c>
      <c r="F27" s="42"/>
      <c r="G27" s="7" t="e">
        <f>#REF!</f>
        <v>#REF!</v>
      </c>
    </row>
    <row r="28" spans="1:7" ht="47.25">
      <c r="A28" s="26" t="s">
        <v>389</v>
      </c>
      <c r="B28" s="21" t="s">
        <v>390</v>
      </c>
      <c r="C28" s="42" t="s">
        <v>283</v>
      </c>
      <c r="D28" s="42" t="s">
        <v>254</v>
      </c>
      <c r="E28" s="42"/>
      <c r="F28" s="42"/>
      <c r="G28" s="11" t="e">
        <f>G29</f>
        <v>#REF!</v>
      </c>
    </row>
    <row r="29" spans="1:7" ht="63">
      <c r="A29" s="26" t="s">
        <v>311</v>
      </c>
      <c r="B29" s="21" t="s">
        <v>390</v>
      </c>
      <c r="C29" s="42" t="s">
        <v>283</v>
      </c>
      <c r="D29" s="42" t="s">
        <v>254</v>
      </c>
      <c r="E29" s="42" t="s">
        <v>312</v>
      </c>
      <c r="F29" s="42"/>
      <c r="G29" s="11" t="e">
        <f>G30</f>
        <v>#REF!</v>
      </c>
    </row>
    <row r="30" spans="1:8" ht="15.75">
      <c r="A30" s="26" t="s">
        <v>313</v>
      </c>
      <c r="B30" s="21" t="s">
        <v>390</v>
      </c>
      <c r="C30" s="42" t="s">
        <v>283</v>
      </c>
      <c r="D30" s="42" t="s">
        <v>254</v>
      </c>
      <c r="E30" s="42" t="s">
        <v>314</v>
      </c>
      <c r="F30" s="42"/>
      <c r="G30" s="11" t="e">
        <f>#REF!</f>
        <v>#REF!</v>
      </c>
      <c r="H30" s="133"/>
    </row>
    <row r="31" spans="1:7" ht="63">
      <c r="A31" s="47" t="s">
        <v>300</v>
      </c>
      <c r="B31" s="21" t="s">
        <v>385</v>
      </c>
      <c r="C31" s="42" t="s">
        <v>283</v>
      </c>
      <c r="D31" s="42" t="s">
        <v>254</v>
      </c>
      <c r="E31" s="42"/>
      <c r="F31" s="42" t="s">
        <v>685</v>
      </c>
      <c r="G31" s="7" t="e">
        <f>G20</f>
        <v>#REF!</v>
      </c>
    </row>
    <row r="32" spans="1:7" ht="47.25">
      <c r="A32" s="64" t="s">
        <v>686</v>
      </c>
      <c r="B32" s="8" t="s">
        <v>392</v>
      </c>
      <c r="C32" s="8"/>
      <c r="D32" s="8"/>
      <c r="E32" s="8"/>
      <c r="F32" s="8"/>
      <c r="G32" s="68" t="e">
        <f>G33</f>
        <v>#REF!</v>
      </c>
    </row>
    <row r="33" spans="1:7" ht="15.75">
      <c r="A33" s="47" t="s">
        <v>282</v>
      </c>
      <c r="B33" s="42" t="s">
        <v>392</v>
      </c>
      <c r="C33" s="42" t="s">
        <v>283</v>
      </c>
      <c r="D33" s="42"/>
      <c r="E33" s="42"/>
      <c r="F33" s="42"/>
      <c r="G33" s="11" t="e">
        <f>G34</f>
        <v>#REF!</v>
      </c>
    </row>
    <row r="34" spans="1:7" ht="15.75">
      <c r="A34" s="47" t="s">
        <v>291</v>
      </c>
      <c r="B34" s="42" t="s">
        <v>392</v>
      </c>
      <c r="C34" s="42" t="s">
        <v>283</v>
      </c>
      <c r="D34" s="42" t="s">
        <v>254</v>
      </c>
      <c r="E34" s="42"/>
      <c r="F34" s="42"/>
      <c r="G34" s="11" t="e">
        <f>G35</f>
        <v>#REF!</v>
      </c>
    </row>
    <row r="35" spans="1:7" ht="31.5">
      <c r="A35" s="26" t="s">
        <v>668</v>
      </c>
      <c r="B35" s="21" t="s">
        <v>669</v>
      </c>
      <c r="C35" s="42" t="s">
        <v>283</v>
      </c>
      <c r="D35" s="42" t="s">
        <v>254</v>
      </c>
      <c r="E35" s="42"/>
      <c r="F35" s="42"/>
      <c r="G35" s="11" t="e">
        <f>G36</f>
        <v>#REF!</v>
      </c>
    </row>
    <row r="36" spans="1:7" ht="31.5">
      <c r="A36" s="31" t="s">
        <v>287</v>
      </c>
      <c r="B36" s="21" t="s">
        <v>669</v>
      </c>
      <c r="C36" s="42" t="s">
        <v>283</v>
      </c>
      <c r="D36" s="42" t="s">
        <v>254</v>
      </c>
      <c r="E36" s="42" t="s">
        <v>288</v>
      </c>
      <c r="F36" s="42"/>
      <c r="G36" s="11" t="e">
        <f>G37</f>
        <v>#REF!</v>
      </c>
    </row>
    <row r="37" spans="1:7" ht="47.25">
      <c r="A37" s="31" t="s">
        <v>289</v>
      </c>
      <c r="B37" s="21" t="s">
        <v>669</v>
      </c>
      <c r="C37" s="42" t="s">
        <v>283</v>
      </c>
      <c r="D37" s="42" t="s">
        <v>254</v>
      </c>
      <c r="E37" s="42" t="s">
        <v>290</v>
      </c>
      <c r="F37" s="42"/>
      <c r="G37" s="11" t="e">
        <f>#REF!</f>
        <v>#REF!</v>
      </c>
    </row>
    <row r="38" spans="1:7" ht="63">
      <c r="A38" s="47" t="s">
        <v>300</v>
      </c>
      <c r="B38" s="21" t="s">
        <v>392</v>
      </c>
      <c r="C38" s="42" t="s">
        <v>283</v>
      </c>
      <c r="D38" s="42" t="s">
        <v>254</v>
      </c>
      <c r="E38" s="42"/>
      <c r="F38" s="42" t="s">
        <v>685</v>
      </c>
      <c r="G38" s="11" t="e">
        <f>G32</f>
        <v>#REF!</v>
      </c>
    </row>
    <row r="39" spans="1:7" ht="47.25">
      <c r="A39" s="64" t="s">
        <v>687</v>
      </c>
      <c r="B39" s="8" t="s">
        <v>395</v>
      </c>
      <c r="C39" s="8"/>
      <c r="D39" s="8"/>
      <c r="E39" s="8"/>
      <c r="F39" s="8"/>
      <c r="G39" s="68" t="e">
        <f>G40</f>
        <v>#REF!</v>
      </c>
    </row>
    <row r="40" spans="1:7" ht="15.75">
      <c r="A40" s="47" t="s">
        <v>282</v>
      </c>
      <c r="B40" s="42" t="s">
        <v>395</v>
      </c>
      <c r="C40" s="42" t="s">
        <v>283</v>
      </c>
      <c r="D40" s="42"/>
      <c r="E40" s="42"/>
      <c r="F40" s="42"/>
      <c r="G40" s="11" t="e">
        <f>G41</f>
        <v>#REF!</v>
      </c>
    </row>
    <row r="41" spans="1:7" ht="15.75">
      <c r="A41" s="47" t="s">
        <v>291</v>
      </c>
      <c r="B41" s="42" t="s">
        <v>395</v>
      </c>
      <c r="C41" s="42" t="s">
        <v>283</v>
      </c>
      <c r="D41" s="42" t="s">
        <v>254</v>
      </c>
      <c r="E41" s="42"/>
      <c r="F41" s="42"/>
      <c r="G41" s="11" t="e">
        <f>G42</f>
        <v>#REF!</v>
      </c>
    </row>
    <row r="42" spans="1:7" ht="47.25">
      <c r="A42" s="31" t="s">
        <v>196</v>
      </c>
      <c r="B42" s="42" t="s">
        <v>688</v>
      </c>
      <c r="C42" s="42" t="s">
        <v>283</v>
      </c>
      <c r="D42" s="42" t="s">
        <v>254</v>
      </c>
      <c r="E42" s="42"/>
      <c r="F42" s="42"/>
      <c r="G42" s="11" t="e">
        <f>G43</f>
        <v>#REF!</v>
      </c>
    </row>
    <row r="43" spans="1:7" ht="31.5">
      <c r="A43" s="31" t="s">
        <v>287</v>
      </c>
      <c r="B43" s="42" t="s">
        <v>688</v>
      </c>
      <c r="C43" s="42" t="s">
        <v>283</v>
      </c>
      <c r="D43" s="42" t="s">
        <v>254</v>
      </c>
      <c r="E43" s="42" t="s">
        <v>288</v>
      </c>
      <c r="F43" s="42"/>
      <c r="G43" s="11" t="e">
        <f>G44</f>
        <v>#REF!</v>
      </c>
    </row>
    <row r="44" spans="1:7" ht="31.5">
      <c r="A44" s="31" t="s">
        <v>387</v>
      </c>
      <c r="B44" s="42" t="s">
        <v>688</v>
      </c>
      <c r="C44" s="42" t="s">
        <v>283</v>
      </c>
      <c r="D44" s="42" t="s">
        <v>254</v>
      </c>
      <c r="E44" s="42" t="s">
        <v>388</v>
      </c>
      <c r="F44" s="42"/>
      <c r="G44" s="11" t="e">
        <f>#REF!</f>
        <v>#REF!</v>
      </c>
    </row>
    <row r="45" spans="1:7" ht="63">
      <c r="A45" s="47" t="s">
        <v>300</v>
      </c>
      <c r="B45" s="42" t="s">
        <v>395</v>
      </c>
      <c r="C45" s="42" t="s">
        <v>283</v>
      </c>
      <c r="D45" s="42" t="s">
        <v>254</v>
      </c>
      <c r="E45" s="42"/>
      <c r="F45" s="42" t="s">
        <v>685</v>
      </c>
      <c r="G45" s="11" t="e">
        <f>G39</f>
        <v>#REF!</v>
      </c>
    </row>
    <row r="46" spans="1:7" ht="31.5">
      <c r="A46" s="64" t="s">
        <v>689</v>
      </c>
      <c r="B46" s="8" t="s">
        <v>398</v>
      </c>
      <c r="C46" s="8"/>
      <c r="D46" s="8"/>
      <c r="E46" s="8"/>
      <c r="F46" s="8"/>
      <c r="G46" s="68" t="e">
        <f>G47</f>
        <v>#REF!</v>
      </c>
    </row>
    <row r="47" spans="1:7" ht="15.75">
      <c r="A47" s="47" t="s">
        <v>282</v>
      </c>
      <c r="B47" s="42" t="s">
        <v>398</v>
      </c>
      <c r="C47" s="42" t="s">
        <v>283</v>
      </c>
      <c r="D47" s="42"/>
      <c r="E47" s="42"/>
      <c r="F47" s="42"/>
      <c r="G47" s="11" t="e">
        <f>G48</f>
        <v>#REF!</v>
      </c>
    </row>
    <row r="48" spans="1:7" ht="15.75">
      <c r="A48" s="47" t="s">
        <v>291</v>
      </c>
      <c r="B48" s="42" t="s">
        <v>398</v>
      </c>
      <c r="C48" s="42" t="s">
        <v>283</v>
      </c>
      <c r="D48" s="42" t="s">
        <v>254</v>
      </c>
      <c r="E48" s="42"/>
      <c r="F48" s="42"/>
      <c r="G48" s="11" t="e">
        <f>G49</f>
        <v>#REF!</v>
      </c>
    </row>
    <row r="49" spans="1:7" ht="47.25">
      <c r="A49" s="31" t="s">
        <v>196</v>
      </c>
      <c r="B49" s="42" t="s">
        <v>690</v>
      </c>
      <c r="C49" s="42" t="s">
        <v>283</v>
      </c>
      <c r="D49" s="42" t="s">
        <v>254</v>
      </c>
      <c r="E49" s="42"/>
      <c r="F49" s="42"/>
      <c r="G49" s="11" t="e">
        <f>G50+G52</f>
        <v>#REF!</v>
      </c>
    </row>
    <row r="50" spans="1:7" ht="47.25">
      <c r="A50" s="31" t="s">
        <v>170</v>
      </c>
      <c r="B50" s="42" t="s">
        <v>690</v>
      </c>
      <c r="C50" s="42" t="s">
        <v>283</v>
      </c>
      <c r="D50" s="42" t="s">
        <v>254</v>
      </c>
      <c r="E50" s="42" t="s">
        <v>171</v>
      </c>
      <c r="F50" s="42"/>
      <c r="G50" s="11" t="e">
        <f>G51</f>
        <v>#REF!</v>
      </c>
    </row>
    <row r="51" spans="1:7" ht="47.25">
      <c r="A51" s="31" t="s">
        <v>172</v>
      </c>
      <c r="B51" s="42" t="s">
        <v>690</v>
      </c>
      <c r="C51" s="42" t="s">
        <v>283</v>
      </c>
      <c r="D51" s="42" t="s">
        <v>254</v>
      </c>
      <c r="E51" s="42" t="s">
        <v>173</v>
      </c>
      <c r="F51" s="42"/>
      <c r="G51" s="11" t="e">
        <f>#REF!</f>
        <v>#REF!</v>
      </c>
    </row>
    <row r="52" spans="1:7" ht="31.5">
      <c r="A52" s="31" t="s">
        <v>287</v>
      </c>
      <c r="B52" s="42" t="s">
        <v>690</v>
      </c>
      <c r="C52" s="42" t="s">
        <v>283</v>
      </c>
      <c r="D52" s="42" t="s">
        <v>254</v>
      </c>
      <c r="E52" s="42" t="s">
        <v>288</v>
      </c>
      <c r="F52" s="42"/>
      <c r="G52" s="11" t="e">
        <f>G53</f>
        <v>#REF!</v>
      </c>
    </row>
    <row r="53" spans="1:7" ht="31.5">
      <c r="A53" s="31" t="s">
        <v>387</v>
      </c>
      <c r="B53" s="42" t="s">
        <v>690</v>
      </c>
      <c r="C53" s="42" t="s">
        <v>283</v>
      </c>
      <c r="D53" s="42" t="s">
        <v>254</v>
      </c>
      <c r="E53" s="42" t="s">
        <v>388</v>
      </c>
      <c r="F53" s="42"/>
      <c r="G53" s="11" t="e">
        <f>#REF!</f>
        <v>#REF!</v>
      </c>
    </row>
    <row r="54" spans="1:7" ht="63">
      <c r="A54" s="47" t="s">
        <v>300</v>
      </c>
      <c r="B54" s="42" t="s">
        <v>398</v>
      </c>
      <c r="C54" s="42" t="s">
        <v>283</v>
      </c>
      <c r="D54" s="42" t="s">
        <v>254</v>
      </c>
      <c r="E54" s="42"/>
      <c r="F54" s="42" t="s">
        <v>685</v>
      </c>
      <c r="G54" s="11" t="e">
        <f>G46</f>
        <v>#REF!</v>
      </c>
    </row>
    <row r="55" spans="1:7" ht="47.25">
      <c r="A55" s="64" t="s">
        <v>691</v>
      </c>
      <c r="B55" s="8" t="s">
        <v>401</v>
      </c>
      <c r="C55" s="8"/>
      <c r="D55" s="8"/>
      <c r="E55" s="8"/>
      <c r="F55" s="8"/>
      <c r="G55" s="68" t="e">
        <f>G56</f>
        <v>#REF!</v>
      </c>
    </row>
    <row r="56" spans="1:7" ht="15.75">
      <c r="A56" s="47" t="s">
        <v>282</v>
      </c>
      <c r="B56" s="42" t="s">
        <v>401</v>
      </c>
      <c r="C56" s="42" t="s">
        <v>283</v>
      </c>
      <c r="D56" s="42"/>
      <c r="E56" s="42"/>
      <c r="F56" s="42"/>
      <c r="G56" s="11" t="e">
        <f>G57</f>
        <v>#REF!</v>
      </c>
    </row>
    <row r="57" spans="1:7" ht="21.75" customHeight="1">
      <c r="A57" s="47" t="s">
        <v>291</v>
      </c>
      <c r="B57" s="42" t="s">
        <v>401</v>
      </c>
      <c r="C57" s="42" t="s">
        <v>283</v>
      </c>
      <c r="D57" s="42" t="s">
        <v>254</v>
      </c>
      <c r="E57" s="42"/>
      <c r="F57" s="42"/>
      <c r="G57" s="11" t="e">
        <f>G58</f>
        <v>#REF!</v>
      </c>
    </row>
    <row r="58" spans="1:7" ht="47.25">
      <c r="A58" s="31" t="s">
        <v>196</v>
      </c>
      <c r="B58" s="42" t="s">
        <v>692</v>
      </c>
      <c r="C58" s="42" t="s">
        <v>283</v>
      </c>
      <c r="D58" s="42" t="s">
        <v>254</v>
      </c>
      <c r="E58" s="42"/>
      <c r="F58" s="42"/>
      <c r="G58" s="11" t="e">
        <f>G59</f>
        <v>#REF!</v>
      </c>
    </row>
    <row r="59" spans="1:7" ht="31.5">
      <c r="A59" s="31" t="s">
        <v>287</v>
      </c>
      <c r="B59" s="42" t="s">
        <v>692</v>
      </c>
      <c r="C59" s="42" t="s">
        <v>283</v>
      </c>
      <c r="D59" s="42" t="s">
        <v>254</v>
      </c>
      <c r="E59" s="42" t="s">
        <v>288</v>
      </c>
      <c r="F59" s="42"/>
      <c r="G59" s="11" t="e">
        <f>G60</f>
        <v>#REF!</v>
      </c>
    </row>
    <row r="60" spans="1:7" ht="31.5">
      <c r="A60" s="31" t="s">
        <v>387</v>
      </c>
      <c r="B60" s="42" t="s">
        <v>692</v>
      </c>
      <c r="C60" s="42" t="s">
        <v>283</v>
      </c>
      <c r="D60" s="42" t="s">
        <v>254</v>
      </c>
      <c r="E60" s="42" t="s">
        <v>388</v>
      </c>
      <c r="F60" s="42"/>
      <c r="G60" s="11" t="e">
        <f>#REF!</f>
        <v>#REF!</v>
      </c>
    </row>
    <row r="61" spans="1:7" ht="63">
      <c r="A61" s="47" t="s">
        <v>300</v>
      </c>
      <c r="B61" s="42" t="s">
        <v>401</v>
      </c>
      <c r="C61" s="42" t="s">
        <v>283</v>
      </c>
      <c r="D61" s="42" t="s">
        <v>254</v>
      </c>
      <c r="E61" s="42"/>
      <c r="F61" s="42" t="s">
        <v>685</v>
      </c>
      <c r="G61" s="11" t="e">
        <f>G55</f>
        <v>#REF!</v>
      </c>
    </row>
    <row r="62" spans="1:7" ht="78.75">
      <c r="A62" s="64" t="s">
        <v>403</v>
      </c>
      <c r="B62" s="8" t="s">
        <v>404</v>
      </c>
      <c r="C62" s="8"/>
      <c r="D62" s="8"/>
      <c r="E62" s="8"/>
      <c r="F62" s="8"/>
      <c r="G62" s="68" t="e">
        <f>G63</f>
        <v>#REF!</v>
      </c>
    </row>
    <row r="63" spans="1:7" ht="15.75">
      <c r="A63" s="47" t="s">
        <v>282</v>
      </c>
      <c r="B63" s="42" t="s">
        <v>404</v>
      </c>
      <c r="C63" s="42" t="s">
        <v>283</v>
      </c>
      <c r="D63" s="42"/>
      <c r="E63" s="42"/>
      <c r="F63" s="42"/>
      <c r="G63" s="11" t="e">
        <f>G64</f>
        <v>#REF!</v>
      </c>
    </row>
    <row r="64" spans="1:7" ht="15.75">
      <c r="A64" s="47" t="s">
        <v>291</v>
      </c>
      <c r="B64" s="42" t="s">
        <v>404</v>
      </c>
      <c r="C64" s="42" t="s">
        <v>283</v>
      </c>
      <c r="D64" s="42" t="s">
        <v>254</v>
      </c>
      <c r="E64" s="42"/>
      <c r="F64" s="42"/>
      <c r="G64" s="11" t="e">
        <f>G65</f>
        <v>#REF!</v>
      </c>
    </row>
    <row r="65" spans="1:7" ht="42.75" customHeight="1">
      <c r="A65" s="31" t="s">
        <v>196</v>
      </c>
      <c r="B65" s="42" t="s">
        <v>693</v>
      </c>
      <c r="C65" s="42" t="s">
        <v>283</v>
      </c>
      <c r="D65" s="42" t="s">
        <v>254</v>
      </c>
      <c r="E65" s="42"/>
      <c r="F65" s="42"/>
      <c r="G65" s="11" t="e">
        <f>G66</f>
        <v>#REF!</v>
      </c>
    </row>
    <row r="66" spans="1:7" ht="47.25">
      <c r="A66" s="31" t="s">
        <v>170</v>
      </c>
      <c r="B66" s="42" t="s">
        <v>693</v>
      </c>
      <c r="C66" s="42" t="s">
        <v>283</v>
      </c>
      <c r="D66" s="42" t="s">
        <v>254</v>
      </c>
      <c r="E66" s="42" t="s">
        <v>171</v>
      </c>
      <c r="F66" s="42"/>
      <c r="G66" s="11" t="e">
        <f>G67</f>
        <v>#REF!</v>
      </c>
    </row>
    <row r="67" spans="1:7" ht="47.25">
      <c r="A67" s="31" t="s">
        <v>172</v>
      </c>
      <c r="B67" s="42" t="s">
        <v>693</v>
      </c>
      <c r="C67" s="42" t="s">
        <v>283</v>
      </c>
      <c r="D67" s="42" t="s">
        <v>254</v>
      </c>
      <c r="E67" s="42" t="s">
        <v>173</v>
      </c>
      <c r="F67" s="42"/>
      <c r="G67" s="11" t="e">
        <f>#REF!</f>
        <v>#REF!</v>
      </c>
    </row>
    <row r="68" spans="1:7" ht="63">
      <c r="A68" s="47" t="s">
        <v>300</v>
      </c>
      <c r="B68" s="42" t="s">
        <v>404</v>
      </c>
      <c r="C68" s="42" t="s">
        <v>283</v>
      </c>
      <c r="D68" s="42" t="s">
        <v>254</v>
      </c>
      <c r="E68" s="42"/>
      <c r="F68" s="42" t="s">
        <v>685</v>
      </c>
      <c r="G68" s="11" t="e">
        <f>G62</f>
        <v>#REF!</v>
      </c>
    </row>
    <row r="69" spans="1:7" ht="94.5">
      <c r="A69" s="43" t="s">
        <v>406</v>
      </c>
      <c r="B69" s="8" t="s">
        <v>407</v>
      </c>
      <c r="C69" s="8"/>
      <c r="D69" s="8"/>
      <c r="E69" s="8"/>
      <c r="F69" s="8"/>
      <c r="G69" s="68" t="e">
        <f>G70</f>
        <v>#REF!</v>
      </c>
    </row>
    <row r="70" spans="1:7" ht="15.75">
      <c r="A70" s="47" t="s">
        <v>282</v>
      </c>
      <c r="B70" s="42" t="s">
        <v>407</v>
      </c>
      <c r="C70" s="42" t="s">
        <v>283</v>
      </c>
      <c r="D70" s="42"/>
      <c r="E70" s="42"/>
      <c r="F70" s="42"/>
      <c r="G70" s="11" t="e">
        <f>G71</f>
        <v>#REF!</v>
      </c>
    </row>
    <row r="71" spans="1:7" ht="15.75">
      <c r="A71" s="47" t="s">
        <v>291</v>
      </c>
      <c r="B71" s="42" t="s">
        <v>407</v>
      </c>
      <c r="C71" s="42" t="s">
        <v>283</v>
      </c>
      <c r="D71" s="42" t="s">
        <v>254</v>
      </c>
      <c r="E71" s="42"/>
      <c r="F71" s="42"/>
      <c r="G71" s="11" t="e">
        <f>G72+G90+G81+G85+G77</f>
        <v>#REF!</v>
      </c>
    </row>
    <row r="72" spans="1:7" ht="45" customHeight="1">
      <c r="A72" s="31" t="s">
        <v>196</v>
      </c>
      <c r="B72" s="42" t="s">
        <v>409</v>
      </c>
      <c r="C72" s="42" t="s">
        <v>283</v>
      </c>
      <c r="D72" s="42" t="s">
        <v>254</v>
      </c>
      <c r="E72" s="42"/>
      <c r="F72" s="42"/>
      <c r="G72" s="11" t="e">
        <f>G75+G73</f>
        <v>#REF!</v>
      </c>
    </row>
    <row r="73" spans="1:7" ht="47.25" hidden="1">
      <c r="A73" s="31" t="s">
        <v>170</v>
      </c>
      <c r="B73" s="42" t="s">
        <v>407</v>
      </c>
      <c r="C73" s="42" t="s">
        <v>283</v>
      </c>
      <c r="D73" s="42" t="s">
        <v>254</v>
      </c>
      <c r="E73" s="42" t="s">
        <v>171</v>
      </c>
      <c r="F73" s="42"/>
      <c r="G73" s="11">
        <f>G74</f>
        <v>0</v>
      </c>
    </row>
    <row r="74" spans="1:7" ht="47.25" hidden="1">
      <c r="A74" s="31" t="s">
        <v>172</v>
      </c>
      <c r="B74" s="42" t="s">
        <v>407</v>
      </c>
      <c r="C74" s="42" t="s">
        <v>283</v>
      </c>
      <c r="D74" s="42" t="s">
        <v>254</v>
      </c>
      <c r="E74" s="42" t="s">
        <v>173</v>
      </c>
      <c r="F74" s="42"/>
      <c r="G74" s="11"/>
    </row>
    <row r="75" spans="1:7" ht="63">
      <c r="A75" s="26" t="s">
        <v>311</v>
      </c>
      <c r="B75" s="42" t="s">
        <v>409</v>
      </c>
      <c r="C75" s="42" t="s">
        <v>283</v>
      </c>
      <c r="D75" s="42" t="s">
        <v>254</v>
      </c>
      <c r="E75" s="42" t="s">
        <v>312</v>
      </c>
      <c r="F75" s="42"/>
      <c r="G75" s="11" t="e">
        <f>G76</f>
        <v>#REF!</v>
      </c>
    </row>
    <row r="76" spans="1:7" ht="72.75" customHeight="1">
      <c r="A76" s="26" t="s">
        <v>410</v>
      </c>
      <c r="B76" s="42" t="s">
        <v>409</v>
      </c>
      <c r="C76" s="42" t="s">
        <v>283</v>
      </c>
      <c r="D76" s="42" t="s">
        <v>254</v>
      </c>
      <c r="E76" s="42" t="s">
        <v>411</v>
      </c>
      <c r="F76" s="42"/>
      <c r="G76" s="11" t="e">
        <f>#REF!</f>
        <v>#REF!</v>
      </c>
    </row>
    <row r="77" spans="1:7" ht="63">
      <c r="A77" s="26" t="s">
        <v>414</v>
      </c>
      <c r="B77" s="21" t="s">
        <v>415</v>
      </c>
      <c r="C77" s="42" t="s">
        <v>283</v>
      </c>
      <c r="D77" s="42" t="s">
        <v>254</v>
      </c>
      <c r="E77" s="42"/>
      <c r="F77" s="42"/>
      <c r="G77" s="11" t="e">
        <f>G78</f>
        <v>#REF!</v>
      </c>
    </row>
    <row r="78" spans="1:7" ht="31.5">
      <c r="A78" s="26" t="s">
        <v>287</v>
      </c>
      <c r="B78" s="21" t="s">
        <v>415</v>
      </c>
      <c r="C78" s="42" t="s">
        <v>283</v>
      </c>
      <c r="D78" s="42" t="s">
        <v>254</v>
      </c>
      <c r="E78" s="42" t="s">
        <v>288</v>
      </c>
      <c r="F78" s="42"/>
      <c r="G78" s="11" t="e">
        <f>G79</f>
        <v>#REF!</v>
      </c>
    </row>
    <row r="79" spans="1:7" ht="47.25">
      <c r="A79" s="26" t="s">
        <v>289</v>
      </c>
      <c r="B79" s="21" t="s">
        <v>415</v>
      </c>
      <c r="C79" s="42" t="s">
        <v>283</v>
      </c>
      <c r="D79" s="42" t="s">
        <v>254</v>
      </c>
      <c r="E79" s="42" t="s">
        <v>290</v>
      </c>
      <c r="F79" s="42"/>
      <c r="G79" s="11" t="e">
        <f>#REF!</f>
        <v>#REF!</v>
      </c>
    </row>
    <row r="80" spans="1:7" ht="63">
      <c r="A80" s="47" t="s">
        <v>300</v>
      </c>
      <c r="B80" s="21" t="s">
        <v>407</v>
      </c>
      <c r="C80" s="42" t="s">
        <v>283</v>
      </c>
      <c r="D80" s="42" t="s">
        <v>254</v>
      </c>
      <c r="E80" s="42"/>
      <c r="F80" s="10" t="s">
        <v>685</v>
      </c>
      <c r="G80" s="11" t="e">
        <f>G69</f>
        <v>#REF!</v>
      </c>
    </row>
    <row r="81" spans="1:7" ht="173.25" hidden="1">
      <c r="A81" s="26" t="s">
        <v>412</v>
      </c>
      <c r="B81" s="21" t="s">
        <v>413</v>
      </c>
      <c r="C81" s="42" t="s">
        <v>283</v>
      </c>
      <c r="D81" s="42" t="s">
        <v>254</v>
      </c>
      <c r="E81" s="42"/>
      <c r="F81" s="10"/>
      <c r="G81" s="11">
        <f>G82</f>
        <v>0</v>
      </c>
    </row>
    <row r="82" spans="1:7" ht="15.75" hidden="1">
      <c r="A82" s="26" t="s">
        <v>174</v>
      </c>
      <c r="B82" s="21" t="s">
        <v>413</v>
      </c>
      <c r="C82" s="42" t="s">
        <v>283</v>
      </c>
      <c r="D82" s="42" t="s">
        <v>254</v>
      </c>
      <c r="E82" s="42" t="s">
        <v>184</v>
      </c>
      <c r="F82" s="10"/>
      <c r="G82" s="11">
        <f>G83</f>
        <v>0</v>
      </c>
    </row>
    <row r="83" spans="1:7" ht="78.75" hidden="1">
      <c r="A83" s="26" t="s">
        <v>223</v>
      </c>
      <c r="B83" s="21" t="s">
        <v>413</v>
      </c>
      <c r="C83" s="42" t="s">
        <v>283</v>
      </c>
      <c r="D83" s="42" t="s">
        <v>254</v>
      </c>
      <c r="E83" s="42" t="s">
        <v>199</v>
      </c>
      <c r="F83" s="10"/>
      <c r="G83" s="11"/>
    </row>
    <row r="84" spans="1:7" ht="63" hidden="1">
      <c r="A84" s="47" t="s">
        <v>300</v>
      </c>
      <c r="B84" s="21" t="s">
        <v>413</v>
      </c>
      <c r="C84" s="42" t="s">
        <v>283</v>
      </c>
      <c r="D84" s="42" t="s">
        <v>254</v>
      </c>
      <c r="E84" s="42"/>
      <c r="F84" s="10" t="s">
        <v>685</v>
      </c>
      <c r="G84" s="11">
        <f>G83</f>
        <v>0</v>
      </c>
    </row>
    <row r="85" spans="1:7" ht="63" hidden="1">
      <c r="A85" s="26" t="s">
        <v>414</v>
      </c>
      <c r="B85" s="21" t="s">
        <v>415</v>
      </c>
      <c r="C85" s="42" t="s">
        <v>283</v>
      </c>
      <c r="D85" s="42" t="s">
        <v>254</v>
      </c>
      <c r="E85" s="42"/>
      <c r="F85" s="10"/>
      <c r="G85" s="11">
        <f>G86</f>
        <v>0</v>
      </c>
    </row>
    <row r="86" spans="1:7" ht="31.5" hidden="1">
      <c r="A86" s="31" t="s">
        <v>287</v>
      </c>
      <c r="B86" s="21" t="s">
        <v>415</v>
      </c>
      <c r="C86" s="42" t="s">
        <v>283</v>
      </c>
      <c r="D86" s="42" t="s">
        <v>254</v>
      </c>
      <c r="E86" s="42" t="s">
        <v>288</v>
      </c>
      <c r="F86" s="10"/>
      <c r="G86" s="11">
        <f>G87</f>
        <v>0</v>
      </c>
    </row>
    <row r="87" spans="1:7" ht="47.25" hidden="1">
      <c r="A87" s="31" t="s">
        <v>289</v>
      </c>
      <c r="B87" s="21" t="s">
        <v>415</v>
      </c>
      <c r="C87" s="42" t="s">
        <v>283</v>
      </c>
      <c r="D87" s="42" t="s">
        <v>254</v>
      </c>
      <c r="E87" s="42" t="s">
        <v>290</v>
      </c>
      <c r="F87" s="10"/>
      <c r="G87" s="11"/>
    </row>
    <row r="88" spans="1:7" ht="63" hidden="1">
      <c r="A88" s="47" t="s">
        <v>300</v>
      </c>
      <c r="B88" s="21" t="s">
        <v>415</v>
      </c>
      <c r="C88" s="42" t="s">
        <v>283</v>
      </c>
      <c r="D88" s="42" t="s">
        <v>254</v>
      </c>
      <c r="E88" s="42"/>
      <c r="F88" s="10" t="s">
        <v>685</v>
      </c>
      <c r="G88" s="11">
        <f>G85</f>
        <v>0</v>
      </c>
    </row>
    <row r="89" spans="1:7" ht="47.25" hidden="1">
      <c r="A89" s="31" t="s">
        <v>416</v>
      </c>
      <c r="B89" s="21" t="s">
        <v>417</v>
      </c>
      <c r="C89" s="42" t="s">
        <v>283</v>
      </c>
      <c r="D89" s="42" t="s">
        <v>254</v>
      </c>
      <c r="E89" s="42"/>
      <c r="F89" s="42"/>
      <c r="G89" s="11">
        <f>G90</f>
        <v>0</v>
      </c>
    </row>
    <row r="90" spans="1:7" ht="47.25" hidden="1">
      <c r="A90" s="31" t="s">
        <v>170</v>
      </c>
      <c r="B90" s="21" t="s">
        <v>417</v>
      </c>
      <c r="C90" s="42" t="s">
        <v>283</v>
      </c>
      <c r="D90" s="42" t="s">
        <v>254</v>
      </c>
      <c r="E90" s="42" t="s">
        <v>171</v>
      </c>
      <c r="F90" s="42"/>
      <c r="G90" s="11">
        <f>G91</f>
        <v>0</v>
      </c>
    </row>
    <row r="91" spans="1:7" ht="47.25" hidden="1">
      <c r="A91" s="31" t="s">
        <v>172</v>
      </c>
      <c r="B91" s="21" t="s">
        <v>417</v>
      </c>
      <c r="C91" s="42" t="s">
        <v>283</v>
      </c>
      <c r="D91" s="42" t="s">
        <v>254</v>
      </c>
      <c r="E91" s="42" t="s">
        <v>173</v>
      </c>
      <c r="F91" s="42"/>
      <c r="G91" s="11">
        <v>0</v>
      </c>
    </row>
    <row r="92" spans="1:7" ht="15.75" hidden="1">
      <c r="A92" s="31" t="s">
        <v>174</v>
      </c>
      <c r="B92" s="21" t="s">
        <v>417</v>
      </c>
      <c r="C92" s="42" t="s">
        <v>283</v>
      </c>
      <c r="D92" s="42" t="s">
        <v>254</v>
      </c>
      <c r="E92" s="42" t="s">
        <v>184</v>
      </c>
      <c r="F92" s="42"/>
      <c r="G92" s="11"/>
    </row>
    <row r="93" spans="1:7" ht="78.75" hidden="1">
      <c r="A93" s="31" t="s">
        <v>223</v>
      </c>
      <c r="B93" s="21" t="s">
        <v>417</v>
      </c>
      <c r="C93" s="42" t="s">
        <v>283</v>
      </c>
      <c r="D93" s="42" t="s">
        <v>254</v>
      </c>
      <c r="E93" s="42" t="s">
        <v>199</v>
      </c>
      <c r="F93" s="42"/>
      <c r="G93" s="11"/>
    </row>
    <row r="94" spans="1:7" ht="63" hidden="1">
      <c r="A94" s="47" t="s">
        <v>300</v>
      </c>
      <c r="B94" s="21" t="s">
        <v>417</v>
      </c>
      <c r="C94" s="42" t="s">
        <v>283</v>
      </c>
      <c r="D94" s="42" t="s">
        <v>254</v>
      </c>
      <c r="E94" s="42"/>
      <c r="F94" s="10" t="s">
        <v>685</v>
      </c>
      <c r="G94" s="11">
        <f>G89</f>
        <v>0</v>
      </c>
    </row>
    <row r="95" spans="1:7" ht="141.75">
      <c r="A95" s="43" t="s">
        <v>419</v>
      </c>
      <c r="B95" s="8" t="s">
        <v>420</v>
      </c>
      <c r="C95" s="8"/>
      <c r="D95" s="8"/>
      <c r="E95" s="8"/>
      <c r="F95" s="9"/>
      <c r="G95" s="68" t="e">
        <f>G96</f>
        <v>#REF!</v>
      </c>
    </row>
    <row r="96" spans="1:7" ht="15.75">
      <c r="A96" s="47" t="s">
        <v>282</v>
      </c>
      <c r="B96" s="42" t="s">
        <v>420</v>
      </c>
      <c r="C96" s="42" t="s">
        <v>283</v>
      </c>
      <c r="D96" s="42"/>
      <c r="E96" s="42"/>
      <c r="F96" s="10"/>
      <c r="G96" s="11" t="e">
        <f>G97</f>
        <v>#REF!</v>
      </c>
    </row>
    <row r="97" spans="1:7" ht="24.75" customHeight="1">
      <c r="A97" s="47" t="s">
        <v>291</v>
      </c>
      <c r="B97" s="42" t="s">
        <v>420</v>
      </c>
      <c r="C97" s="42" t="s">
        <v>283</v>
      </c>
      <c r="D97" s="42" t="s">
        <v>254</v>
      </c>
      <c r="E97" s="42"/>
      <c r="F97" s="10"/>
      <c r="G97" s="11" t="e">
        <f>G98</f>
        <v>#REF!</v>
      </c>
    </row>
    <row r="98" spans="1:7" ht="47.25">
      <c r="A98" s="31" t="s">
        <v>196</v>
      </c>
      <c r="B98" s="42" t="s">
        <v>421</v>
      </c>
      <c r="C98" s="42" t="s">
        <v>283</v>
      </c>
      <c r="D98" s="42" t="s">
        <v>254</v>
      </c>
      <c r="E98" s="42"/>
      <c r="F98" s="10"/>
      <c r="G98" s="11" t="e">
        <f>G99</f>
        <v>#REF!</v>
      </c>
    </row>
    <row r="99" spans="1:7" ht="47.25">
      <c r="A99" s="31" t="s">
        <v>170</v>
      </c>
      <c r="B99" s="42" t="s">
        <v>421</v>
      </c>
      <c r="C99" s="42" t="s">
        <v>283</v>
      </c>
      <c r="D99" s="42" t="s">
        <v>254</v>
      </c>
      <c r="E99" s="42" t="s">
        <v>171</v>
      </c>
      <c r="F99" s="10"/>
      <c r="G99" s="11" t="e">
        <f>G100</f>
        <v>#REF!</v>
      </c>
    </row>
    <row r="100" spans="1:7" ht="47.25">
      <c r="A100" s="31" t="s">
        <v>172</v>
      </c>
      <c r="B100" s="42" t="s">
        <v>421</v>
      </c>
      <c r="C100" s="42" t="s">
        <v>283</v>
      </c>
      <c r="D100" s="42" t="s">
        <v>254</v>
      </c>
      <c r="E100" s="42" t="s">
        <v>173</v>
      </c>
      <c r="F100" s="10"/>
      <c r="G100" s="11" t="e">
        <f>#REF!</f>
        <v>#REF!</v>
      </c>
    </row>
    <row r="101" spans="1:7" ht="63">
      <c r="A101" s="47" t="s">
        <v>300</v>
      </c>
      <c r="B101" s="42" t="s">
        <v>420</v>
      </c>
      <c r="C101" s="42" t="s">
        <v>283</v>
      </c>
      <c r="D101" s="42" t="s">
        <v>254</v>
      </c>
      <c r="E101" s="42"/>
      <c r="F101" s="10" t="s">
        <v>685</v>
      </c>
      <c r="G101" s="11" t="e">
        <f>G95</f>
        <v>#REF!</v>
      </c>
    </row>
    <row r="102" spans="1:7" ht="63">
      <c r="A102" s="64" t="s">
        <v>466</v>
      </c>
      <c r="B102" s="8" t="s">
        <v>446</v>
      </c>
      <c r="C102" s="8"/>
      <c r="D102" s="8"/>
      <c r="E102" s="8"/>
      <c r="F102" s="8"/>
      <c r="G102" s="68" t="e">
        <f>G103+G118+G163+G188+G210</f>
        <v>#REF!</v>
      </c>
    </row>
    <row r="103" spans="1:7" ht="47.25">
      <c r="A103" s="43" t="s">
        <v>447</v>
      </c>
      <c r="B103" s="8" t="s">
        <v>448</v>
      </c>
      <c r="C103" s="8"/>
      <c r="D103" s="8"/>
      <c r="E103" s="8"/>
      <c r="F103" s="8"/>
      <c r="G103" s="68" t="e">
        <f>G104</f>
        <v>#REF!</v>
      </c>
    </row>
    <row r="104" spans="1:7" ht="15.75">
      <c r="A104" s="31" t="s">
        <v>302</v>
      </c>
      <c r="B104" s="42" t="s">
        <v>448</v>
      </c>
      <c r="C104" s="42" t="s">
        <v>303</v>
      </c>
      <c r="D104" s="42"/>
      <c r="E104" s="42"/>
      <c r="F104" s="42"/>
      <c r="G104" s="11" t="e">
        <f>G105+G109+G113</f>
        <v>#REF!</v>
      </c>
    </row>
    <row r="105" spans="1:7" ht="15.75">
      <c r="A105" s="47" t="s">
        <v>444</v>
      </c>
      <c r="B105" s="42" t="s">
        <v>448</v>
      </c>
      <c r="C105" s="42" t="s">
        <v>303</v>
      </c>
      <c r="D105" s="42" t="s">
        <v>157</v>
      </c>
      <c r="E105" s="42"/>
      <c r="F105" s="42"/>
      <c r="G105" s="11" t="e">
        <f>G106</f>
        <v>#REF!</v>
      </c>
    </row>
    <row r="106" spans="1:7" ht="63">
      <c r="A106" s="31" t="s">
        <v>449</v>
      </c>
      <c r="B106" s="42" t="s">
        <v>450</v>
      </c>
      <c r="C106" s="42" t="s">
        <v>303</v>
      </c>
      <c r="D106" s="42" t="s">
        <v>157</v>
      </c>
      <c r="E106" s="42"/>
      <c r="F106" s="42"/>
      <c r="G106" s="11" t="e">
        <f>G107</f>
        <v>#REF!</v>
      </c>
    </row>
    <row r="107" spans="1:7" ht="63">
      <c r="A107" s="31" t="s">
        <v>311</v>
      </c>
      <c r="B107" s="42" t="s">
        <v>450</v>
      </c>
      <c r="C107" s="42" t="s">
        <v>303</v>
      </c>
      <c r="D107" s="42" t="s">
        <v>157</v>
      </c>
      <c r="E107" s="42" t="s">
        <v>312</v>
      </c>
      <c r="F107" s="42"/>
      <c r="G107" s="11" t="e">
        <f>G108</f>
        <v>#REF!</v>
      </c>
    </row>
    <row r="108" spans="1:7" ht="15.75">
      <c r="A108" s="31" t="s">
        <v>313</v>
      </c>
      <c r="B108" s="42" t="s">
        <v>450</v>
      </c>
      <c r="C108" s="42" t="s">
        <v>303</v>
      </c>
      <c r="D108" s="42" t="s">
        <v>157</v>
      </c>
      <c r="E108" s="42" t="s">
        <v>314</v>
      </c>
      <c r="F108" s="42"/>
      <c r="G108" s="7" t="e">
        <f>#REF!</f>
        <v>#REF!</v>
      </c>
    </row>
    <row r="109" spans="1:7" ht="15.75">
      <c r="A109" s="31" t="s">
        <v>465</v>
      </c>
      <c r="B109" s="42" t="s">
        <v>448</v>
      </c>
      <c r="C109" s="42" t="s">
        <v>303</v>
      </c>
      <c r="D109" s="42" t="s">
        <v>252</v>
      </c>
      <c r="E109" s="42"/>
      <c r="F109" s="42"/>
      <c r="G109" s="11" t="e">
        <f>G110</f>
        <v>#REF!</v>
      </c>
    </row>
    <row r="110" spans="1:7" ht="57.75" customHeight="1">
      <c r="A110" s="31" t="s">
        <v>467</v>
      </c>
      <c r="B110" s="42" t="s">
        <v>468</v>
      </c>
      <c r="C110" s="42" t="s">
        <v>303</v>
      </c>
      <c r="D110" s="42" t="s">
        <v>252</v>
      </c>
      <c r="E110" s="42"/>
      <c r="F110" s="42"/>
      <c r="G110" s="11" t="e">
        <f>G111</f>
        <v>#REF!</v>
      </c>
    </row>
    <row r="111" spans="1:7" ht="70.5" customHeight="1">
      <c r="A111" s="31" t="s">
        <v>311</v>
      </c>
      <c r="B111" s="42" t="s">
        <v>468</v>
      </c>
      <c r="C111" s="42" t="s">
        <v>303</v>
      </c>
      <c r="D111" s="42" t="s">
        <v>252</v>
      </c>
      <c r="E111" s="42" t="s">
        <v>312</v>
      </c>
      <c r="F111" s="42"/>
      <c r="G111" s="11" t="e">
        <f>G112</f>
        <v>#REF!</v>
      </c>
    </row>
    <row r="112" spans="1:7" ht="15.75">
      <c r="A112" s="31" t="s">
        <v>313</v>
      </c>
      <c r="B112" s="42" t="s">
        <v>468</v>
      </c>
      <c r="C112" s="42" t="s">
        <v>303</v>
      </c>
      <c r="D112" s="42" t="s">
        <v>252</v>
      </c>
      <c r="E112" s="42" t="s">
        <v>314</v>
      </c>
      <c r="F112" s="42"/>
      <c r="G112" s="7" t="e">
        <f>#REF!</f>
        <v>#REF!</v>
      </c>
    </row>
    <row r="113" spans="1:7" ht="15.75">
      <c r="A113" s="31" t="s">
        <v>304</v>
      </c>
      <c r="B113" s="42" t="s">
        <v>448</v>
      </c>
      <c r="C113" s="42" t="s">
        <v>303</v>
      </c>
      <c r="D113" s="42" t="s">
        <v>254</v>
      </c>
      <c r="E113" s="42"/>
      <c r="F113" s="42"/>
      <c r="G113" s="7" t="e">
        <f>G114</f>
        <v>#REF!</v>
      </c>
    </row>
    <row r="114" spans="1:7" ht="63">
      <c r="A114" s="31" t="s">
        <v>309</v>
      </c>
      <c r="B114" s="42" t="s">
        <v>469</v>
      </c>
      <c r="C114" s="42" t="s">
        <v>303</v>
      </c>
      <c r="D114" s="42" t="s">
        <v>254</v>
      </c>
      <c r="E114" s="8"/>
      <c r="F114" s="8"/>
      <c r="G114" s="11" t="e">
        <f>G115</f>
        <v>#REF!</v>
      </c>
    </row>
    <row r="115" spans="1:7" ht="63">
      <c r="A115" s="31" t="s">
        <v>311</v>
      </c>
      <c r="B115" s="42" t="s">
        <v>469</v>
      </c>
      <c r="C115" s="42" t="s">
        <v>303</v>
      </c>
      <c r="D115" s="42" t="s">
        <v>254</v>
      </c>
      <c r="E115" s="42" t="s">
        <v>312</v>
      </c>
      <c r="F115" s="42"/>
      <c r="G115" s="11" t="e">
        <f>G116</f>
        <v>#REF!</v>
      </c>
    </row>
    <row r="116" spans="1:7" ht="15.75">
      <c r="A116" s="31" t="s">
        <v>313</v>
      </c>
      <c r="B116" s="42" t="s">
        <v>469</v>
      </c>
      <c r="C116" s="42" t="s">
        <v>303</v>
      </c>
      <c r="D116" s="42" t="s">
        <v>254</v>
      </c>
      <c r="E116" s="42" t="s">
        <v>314</v>
      </c>
      <c r="F116" s="42"/>
      <c r="G116" s="7" t="e">
        <f>#REF!</f>
        <v>#REF!</v>
      </c>
    </row>
    <row r="117" spans="1:7" ht="47.25">
      <c r="A117" s="31" t="s">
        <v>443</v>
      </c>
      <c r="B117" s="42" t="s">
        <v>448</v>
      </c>
      <c r="C117" s="42" t="s">
        <v>303</v>
      </c>
      <c r="D117" s="42" t="s">
        <v>254</v>
      </c>
      <c r="E117" s="42"/>
      <c r="F117" s="42" t="s">
        <v>694</v>
      </c>
      <c r="G117" s="7" t="e">
        <f>G103</f>
        <v>#REF!</v>
      </c>
    </row>
    <row r="118" spans="1:7" ht="47.25">
      <c r="A118" s="43" t="s">
        <v>451</v>
      </c>
      <c r="B118" s="8" t="s">
        <v>452</v>
      </c>
      <c r="C118" s="8"/>
      <c r="D118" s="8"/>
      <c r="E118" s="8"/>
      <c r="F118" s="8"/>
      <c r="G118" s="68" t="e">
        <f>G119</f>
        <v>#REF!</v>
      </c>
    </row>
    <row r="119" spans="1:7" ht="15.75">
      <c r="A119" s="31" t="s">
        <v>302</v>
      </c>
      <c r="B119" s="42" t="s">
        <v>452</v>
      </c>
      <c r="C119" s="42" t="s">
        <v>303</v>
      </c>
      <c r="D119" s="42"/>
      <c r="E119" s="42"/>
      <c r="F119" s="42"/>
      <c r="G119" s="11" t="e">
        <f>G120</f>
        <v>#REF!</v>
      </c>
    </row>
    <row r="120" spans="1:7" ht="15.75">
      <c r="A120" s="47" t="s">
        <v>444</v>
      </c>
      <c r="B120" s="42" t="s">
        <v>452</v>
      </c>
      <c r="C120" s="42" t="s">
        <v>303</v>
      </c>
      <c r="D120" s="42" t="s">
        <v>157</v>
      </c>
      <c r="E120" s="42"/>
      <c r="F120" s="42"/>
      <c r="G120" s="11" t="e">
        <f>G133+G130</f>
        <v>#REF!</v>
      </c>
    </row>
    <row r="121" spans="1:7" ht="57.75" customHeight="1" hidden="1">
      <c r="A121" s="31" t="s">
        <v>644</v>
      </c>
      <c r="B121" s="42" t="s">
        <v>645</v>
      </c>
      <c r="C121" s="42" t="s">
        <v>303</v>
      </c>
      <c r="D121" s="42" t="s">
        <v>157</v>
      </c>
      <c r="E121" s="42"/>
      <c r="F121" s="42"/>
      <c r="G121" s="11">
        <f>G122</f>
        <v>0</v>
      </c>
    </row>
    <row r="122" spans="1:7" ht="63" hidden="1">
      <c r="A122" s="31" t="s">
        <v>311</v>
      </c>
      <c r="B122" s="42" t="s">
        <v>645</v>
      </c>
      <c r="C122" s="42" t="s">
        <v>303</v>
      </c>
      <c r="D122" s="42" t="s">
        <v>157</v>
      </c>
      <c r="E122" s="42" t="s">
        <v>312</v>
      </c>
      <c r="F122" s="42"/>
      <c r="G122" s="11">
        <f>G123</f>
        <v>0</v>
      </c>
    </row>
    <row r="123" spans="1:7" ht="15.75" hidden="1">
      <c r="A123" s="31" t="s">
        <v>313</v>
      </c>
      <c r="B123" s="42" t="s">
        <v>645</v>
      </c>
      <c r="C123" s="42" t="s">
        <v>303</v>
      </c>
      <c r="D123" s="42" t="s">
        <v>157</v>
      </c>
      <c r="E123" s="42" t="s">
        <v>314</v>
      </c>
      <c r="F123" s="42"/>
      <c r="G123" s="11"/>
    </row>
    <row r="124" spans="1:7" ht="47.25" hidden="1">
      <c r="A124" s="31" t="s">
        <v>443</v>
      </c>
      <c r="B124" s="42" t="s">
        <v>645</v>
      </c>
      <c r="C124" s="42" t="s">
        <v>303</v>
      </c>
      <c r="D124" s="42" t="s">
        <v>157</v>
      </c>
      <c r="E124" s="42"/>
      <c r="F124" s="42" t="s">
        <v>694</v>
      </c>
      <c r="G124" s="11">
        <v>0</v>
      </c>
    </row>
    <row r="125" spans="1:7" ht="47.25" hidden="1">
      <c r="A125" s="31" t="s">
        <v>317</v>
      </c>
      <c r="B125" s="42" t="s">
        <v>646</v>
      </c>
      <c r="C125" s="42" t="s">
        <v>303</v>
      </c>
      <c r="D125" s="42" t="s">
        <v>157</v>
      </c>
      <c r="E125" s="42"/>
      <c r="F125" s="42"/>
      <c r="G125" s="11">
        <f>G126</f>
        <v>0</v>
      </c>
    </row>
    <row r="126" spans="1:7" ht="63" hidden="1">
      <c r="A126" s="31" t="s">
        <v>311</v>
      </c>
      <c r="B126" s="42" t="s">
        <v>646</v>
      </c>
      <c r="C126" s="42" t="s">
        <v>303</v>
      </c>
      <c r="D126" s="42" t="s">
        <v>157</v>
      </c>
      <c r="E126" s="42" t="s">
        <v>312</v>
      </c>
      <c r="F126" s="42"/>
      <c r="G126" s="11">
        <f>G127</f>
        <v>0</v>
      </c>
    </row>
    <row r="127" spans="1:7" ht="15.75" hidden="1">
      <c r="A127" s="31" t="s">
        <v>313</v>
      </c>
      <c r="B127" s="42" t="s">
        <v>646</v>
      </c>
      <c r="C127" s="42" t="s">
        <v>303</v>
      </c>
      <c r="D127" s="42" t="s">
        <v>157</v>
      </c>
      <c r="E127" s="42" t="s">
        <v>314</v>
      </c>
      <c r="F127" s="42"/>
      <c r="G127" s="11"/>
    </row>
    <row r="128" spans="1:7" ht="47.25" hidden="1">
      <c r="A128" s="31" t="s">
        <v>443</v>
      </c>
      <c r="B128" s="42" t="s">
        <v>646</v>
      </c>
      <c r="C128" s="42" t="s">
        <v>303</v>
      </c>
      <c r="D128" s="42" t="s">
        <v>157</v>
      </c>
      <c r="E128" s="42"/>
      <c r="F128" s="42" t="s">
        <v>694</v>
      </c>
      <c r="G128" s="11">
        <v>0</v>
      </c>
    </row>
    <row r="129" spans="1:7" ht="31.5">
      <c r="A129" s="31" t="s">
        <v>319</v>
      </c>
      <c r="B129" s="42" t="s">
        <v>454</v>
      </c>
      <c r="C129" s="42" t="s">
        <v>303</v>
      </c>
      <c r="D129" s="42" t="s">
        <v>157</v>
      </c>
      <c r="E129" s="42"/>
      <c r="F129" s="42"/>
      <c r="G129" s="11" t="e">
        <f>G130</f>
        <v>#REF!</v>
      </c>
    </row>
    <row r="130" spans="1:7" ht="63">
      <c r="A130" s="31" t="s">
        <v>311</v>
      </c>
      <c r="B130" s="42" t="s">
        <v>454</v>
      </c>
      <c r="C130" s="42" t="s">
        <v>303</v>
      </c>
      <c r="D130" s="42" t="s">
        <v>157</v>
      </c>
      <c r="E130" s="42" t="s">
        <v>312</v>
      </c>
      <c r="F130" s="42"/>
      <c r="G130" s="11" t="e">
        <f>G131</f>
        <v>#REF!</v>
      </c>
    </row>
    <row r="131" spans="1:8" ht="15.75">
      <c r="A131" s="31" t="s">
        <v>313</v>
      </c>
      <c r="B131" s="42" t="s">
        <v>454</v>
      </c>
      <c r="C131" s="42" t="s">
        <v>303</v>
      </c>
      <c r="D131" s="42" t="s">
        <v>157</v>
      </c>
      <c r="E131" s="42" t="s">
        <v>314</v>
      </c>
      <c r="F131" s="42"/>
      <c r="G131" s="178" t="e">
        <f>#REF!</f>
        <v>#REF!</v>
      </c>
      <c r="H131" s="179" t="s">
        <v>795</v>
      </c>
    </row>
    <row r="132" spans="1:7" ht="47.25" hidden="1">
      <c r="A132" s="31" t="s">
        <v>443</v>
      </c>
      <c r="B132" s="42" t="s">
        <v>454</v>
      </c>
      <c r="C132" s="42" t="s">
        <v>303</v>
      </c>
      <c r="D132" s="42" t="s">
        <v>157</v>
      </c>
      <c r="E132" s="42"/>
      <c r="F132" s="42" t="s">
        <v>694</v>
      </c>
      <c r="G132" s="11"/>
    </row>
    <row r="133" spans="1:7" ht="63">
      <c r="A133" s="31" t="s">
        <v>455</v>
      </c>
      <c r="B133" s="42" t="s">
        <v>456</v>
      </c>
      <c r="C133" s="42" t="s">
        <v>303</v>
      </c>
      <c r="D133" s="42" t="s">
        <v>157</v>
      </c>
      <c r="E133" s="42"/>
      <c r="F133" s="42"/>
      <c r="G133" s="11" t="e">
        <f>G134</f>
        <v>#REF!</v>
      </c>
    </row>
    <row r="134" spans="1:7" ht="65.25" customHeight="1">
      <c r="A134" s="31" t="s">
        <v>311</v>
      </c>
      <c r="B134" s="42" t="s">
        <v>456</v>
      </c>
      <c r="C134" s="42" t="s">
        <v>303</v>
      </c>
      <c r="D134" s="42" t="s">
        <v>157</v>
      </c>
      <c r="E134" s="42" t="s">
        <v>312</v>
      </c>
      <c r="F134" s="42"/>
      <c r="G134" s="11" t="e">
        <f>G135</f>
        <v>#REF!</v>
      </c>
    </row>
    <row r="135" spans="1:7" ht="15.75">
      <c r="A135" s="31" t="s">
        <v>313</v>
      </c>
      <c r="B135" s="42" t="s">
        <v>456</v>
      </c>
      <c r="C135" s="42" t="s">
        <v>303</v>
      </c>
      <c r="D135" s="42" t="s">
        <v>157</v>
      </c>
      <c r="E135" s="42" t="s">
        <v>314</v>
      </c>
      <c r="F135" s="42"/>
      <c r="G135" s="7" t="e">
        <f>#REF!</f>
        <v>#REF!</v>
      </c>
    </row>
    <row r="136" spans="1:7" ht="47.25">
      <c r="A136" s="31" t="s">
        <v>443</v>
      </c>
      <c r="B136" s="42" t="s">
        <v>452</v>
      </c>
      <c r="C136" s="42" t="s">
        <v>303</v>
      </c>
      <c r="D136" s="42" t="s">
        <v>157</v>
      </c>
      <c r="E136" s="42"/>
      <c r="F136" s="42" t="s">
        <v>694</v>
      </c>
      <c r="G136" s="7" t="e">
        <f>G118+G131</f>
        <v>#REF!</v>
      </c>
    </row>
    <row r="137" spans="1:7" ht="31.5" hidden="1">
      <c r="A137" s="31" t="s">
        <v>323</v>
      </c>
      <c r="B137" s="42" t="s">
        <v>649</v>
      </c>
      <c r="C137" s="42" t="s">
        <v>303</v>
      </c>
      <c r="D137" s="42" t="s">
        <v>157</v>
      </c>
      <c r="E137" s="42"/>
      <c r="F137" s="42"/>
      <c r="G137" s="11">
        <f>G138</f>
        <v>0</v>
      </c>
    </row>
    <row r="138" spans="1:7" ht="63" hidden="1">
      <c r="A138" s="31" t="s">
        <v>311</v>
      </c>
      <c r="B138" s="42" t="s">
        <v>649</v>
      </c>
      <c r="C138" s="42" t="s">
        <v>303</v>
      </c>
      <c r="D138" s="42" t="s">
        <v>157</v>
      </c>
      <c r="E138" s="42" t="s">
        <v>312</v>
      </c>
      <c r="F138" s="42"/>
      <c r="G138" s="11">
        <f>G139</f>
        <v>0</v>
      </c>
    </row>
    <row r="139" spans="1:7" ht="15.75" hidden="1">
      <c r="A139" s="31" t="s">
        <v>313</v>
      </c>
      <c r="B139" s="42" t="s">
        <v>649</v>
      </c>
      <c r="C139" s="42" t="s">
        <v>303</v>
      </c>
      <c r="D139" s="42" t="s">
        <v>157</v>
      </c>
      <c r="E139" s="42" t="s">
        <v>314</v>
      </c>
      <c r="F139" s="42"/>
      <c r="G139" s="11"/>
    </row>
    <row r="140" spans="1:7" ht="47.25" hidden="1">
      <c r="A140" s="31" t="s">
        <v>443</v>
      </c>
      <c r="B140" s="42" t="s">
        <v>649</v>
      </c>
      <c r="C140" s="42" t="s">
        <v>303</v>
      </c>
      <c r="D140" s="42" t="s">
        <v>157</v>
      </c>
      <c r="E140" s="42"/>
      <c r="F140" s="42" t="s">
        <v>694</v>
      </c>
      <c r="G140" s="11">
        <v>0</v>
      </c>
    </row>
    <row r="141" spans="1:7" ht="47.25">
      <c r="A141" s="43" t="s">
        <v>470</v>
      </c>
      <c r="B141" s="8" t="s">
        <v>471</v>
      </c>
      <c r="C141" s="8"/>
      <c r="D141" s="8"/>
      <c r="E141" s="8"/>
      <c r="F141" s="8"/>
      <c r="G141" s="4" t="e">
        <f>G162</f>
        <v>#REF!</v>
      </c>
    </row>
    <row r="142" spans="1:7" ht="70.5" customHeight="1" hidden="1">
      <c r="A142" s="31" t="s">
        <v>644</v>
      </c>
      <c r="B142" s="42" t="s">
        <v>650</v>
      </c>
      <c r="C142" s="42" t="s">
        <v>303</v>
      </c>
      <c r="D142" s="42" t="s">
        <v>252</v>
      </c>
      <c r="E142" s="42"/>
      <c r="F142" s="42"/>
      <c r="G142" s="11">
        <f>G143</f>
        <v>0</v>
      </c>
    </row>
    <row r="143" spans="1:7" ht="63" hidden="1">
      <c r="A143" s="31" t="s">
        <v>311</v>
      </c>
      <c r="B143" s="42" t="s">
        <v>650</v>
      </c>
      <c r="C143" s="42" t="s">
        <v>303</v>
      </c>
      <c r="D143" s="42" t="s">
        <v>252</v>
      </c>
      <c r="E143" s="42" t="s">
        <v>312</v>
      </c>
      <c r="F143" s="42"/>
      <c r="G143" s="11">
        <f>G145</f>
        <v>0</v>
      </c>
    </row>
    <row r="144" spans="1:7" ht="18.75" customHeight="1" hidden="1">
      <c r="A144" s="31" t="s">
        <v>313</v>
      </c>
      <c r="B144" s="42" t="s">
        <v>650</v>
      </c>
      <c r="C144" s="42" t="s">
        <v>303</v>
      </c>
      <c r="D144" s="42" t="s">
        <v>252</v>
      </c>
      <c r="E144" s="42" t="s">
        <v>314</v>
      </c>
      <c r="F144" s="42"/>
      <c r="G144" s="11"/>
    </row>
    <row r="145" spans="1:7" ht="47.25" hidden="1">
      <c r="A145" s="31" t="s">
        <v>443</v>
      </c>
      <c r="B145" s="42" t="s">
        <v>650</v>
      </c>
      <c r="C145" s="42" t="s">
        <v>303</v>
      </c>
      <c r="D145" s="42" t="s">
        <v>252</v>
      </c>
      <c r="E145" s="42"/>
      <c r="F145" s="42" t="s">
        <v>694</v>
      </c>
      <c r="G145" s="11"/>
    </row>
    <row r="146" spans="1:7" ht="78.75" hidden="1">
      <c r="A146" s="26" t="s">
        <v>472</v>
      </c>
      <c r="B146" s="42" t="s">
        <v>473</v>
      </c>
      <c r="C146" s="42" t="s">
        <v>303</v>
      </c>
      <c r="D146" s="42" t="s">
        <v>252</v>
      </c>
      <c r="E146" s="42"/>
      <c r="F146" s="42"/>
      <c r="G146" s="11">
        <f>G147</f>
        <v>0</v>
      </c>
    </row>
    <row r="147" spans="1:7" ht="63" hidden="1">
      <c r="A147" s="31" t="s">
        <v>311</v>
      </c>
      <c r="B147" s="42" t="s">
        <v>473</v>
      </c>
      <c r="C147" s="42" t="s">
        <v>303</v>
      </c>
      <c r="D147" s="42" t="s">
        <v>252</v>
      </c>
      <c r="E147" s="42" t="s">
        <v>312</v>
      </c>
      <c r="F147" s="42"/>
      <c r="G147" s="11">
        <f>G148</f>
        <v>0</v>
      </c>
    </row>
    <row r="148" spans="1:7" ht="15.75" hidden="1">
      <c r="A148" s="31" t="s">
        <v>313</v>
      </c>
      <c r="B148" s="42" t="s">
        <v>473</v>
      </c>
      <c r="C148" s="42" t="s">
        <v>303</v>
      </c>
      <c r="D148" s="42" t="s">
        <v>252</v>
      </c>
      <c r="E148" s="42" t="s">
        <v>314</v>
      </c>
      <c r="F148" s="42"/>
      <c r="G148" s="11"/>
    </row>
    <row r="149" spans="1:7" ht="54.75" customHeight="1" hidden="1">
      <c r="A149" s="31" t="s">
        <v>443</v>
      </c>
      <c r="B149" s="42" t="s">
        <v>473</v>
      </c>
      <c r="C149" s="42" t="s">
        <v>303</v>
      </c>
      <c r="D149" s="42" t="s">
        <v>252</v>
      </c>
      <c r="E149" s="42"/>
      <c r="F149" s="42" t="s">
        <v>694</v>
      </c>
      <c r="G149" s="11">
        <f>G146</f>
        <v>0</v>
      </c>
    </row>
    <row r="150" spans="1:7" ht="31.5" hidden="1">
      <c r="A150" s="26" t="s">
        <v>474</v>
      </c>
      <c r="B150" s="21" t="s">
        <v>475</v>
      </c>
      <c r="C150" s="42" t="s">
        <v>303</v>
      </c>
      <c r="D150" s="42" t="s">
        <v>252</v>
      </c>
      <c r="E150" s="42"/>
      <c r="F150" s="42"/>
      <c r="G150" s="11">
        <f>G151</f>
        <v>0</v>
      </c>
    </row>
    <row r="151" spans="1:7" ht="65.25" customHeight="1" hidden="1">
      <c r="A151" s="26" t="s">
        <v>311</v>
      </c>
      <c r="B151" s="21" t="s">
        <v>475</v>
      </c>
      <c r="C151" s="42" t="s">
        <v>303</v>
      </c>
      <c r="D151" s="42" t="s">
        <v>252</v>
      </c>
      <c r="E151" s="42" t="s">
        <v>312</v>
      </c>
      <c r="F151" s="42"/>
      <c r="G151" s="11">
        <f>G152</f>
        <v>0</v>
      </c>
    </row>
    <row r="152" spans="1:7" ht="15.75" hidden="1">
      <c r="A152" s="26" t="s">
        <v>313</v>
      </c>
      <c r="B152" s="21" t="s">
        <v>475</v>
      </c>
      <c r="C152" s="42" t="s">
        <v>303</v>
      </c>
      <c r="D152" s="42" t="s">
        <v>252</v>
      </c>
      <c r="E152" s="42" t="s">
        <v>314</v>
      </c>
      <c r="F152" s="42"/>
      <c r="G152" s="11"/>
    </row>
    <row r="153" spans="1:7" ht="47.25" hidden="1">
      <c r="A153" s="31" t="s">
        <v>443</v>
      </c>
      <c r="B153" s="21" t="s">
        <v>475</v>
      </c>
      <c r="C153" s="42" t="s">
        <v>303</v>
      </c>
      <c r="D153" s="42" t="s">
        <v>252</v>
      </c>
      <c r="E153" s="42"/>
      <c r="F153" s="42" t="s">
        <v>694</v>
      </c>
      <c r="G153" s="11">
        <f>G150</f>
        <v>0</v>
      </c>
    </row>
    <row r="154" spans="1:7" ht="63" hidden="1">
      <c r="A154" s="26" t="s">
        <v>478</v>
      </c>
      <c r="B154" s="21" t="s">
        <v>479</v>
      </c>
      <c r="C154" s="42" t="s">
        <v>303</v>
      </c>
      <c r="D154" s="42" t="s">
        <v>252</v>
      </c>
      <c r="E154" s="42"/>
      <c r="F154" s="42"/>
      <c r="G154" s="11">
        <f>G155</f>
        <v>0</v>
      </c>
    </row>
    <row r="155" spans="1:7" ht="63" hidden="1">
      <c r="A155" s="31" t="s">
        <v>311</v>
      </c>
      <c r="B155" s="21" t="s">
        <v>479</v>
      </c>
      <c r="C155" s="42" t="s">
        <v>303</v>
      </c>
      <c r="D155" s="42" t="s">
        <v>252</v>
      </c>
      <c r="E155" s="42" t="s">
        <v>312</v>
      </c>
      <c r="F155" s="42"/>
      <c r="G155" s="11">
        <f>G156</f>
        <v>0</v>
      </c>
    </row>
    <row r="156" spans="1:7" ht="15.75" hidden="1">
      <c r="A156" s="31" t="s">
        <v>313</v>
      </c>
      <c r="B156" s="21" t="s">
        <v>479</v>
      </c>
      <c r="C156" s="42" t="s">
        <v>303</v>
      </c>
      <c r="D156" s="42" t="s">
        <v>252</v>
      </c>
      <c r="E156" s="42" t="s">
        <v>314</v>
      </c>
      <c r="F156" s="42"/>
      <c r="G156" s="11"/>
    </row>
    <row r="157" spans="1:7" ht="47.25" hidden="1">
      <c r="A157" s="31" t="s">
        <v>443</v>
      </c>
      <c r="B157" s="21" t="s">
        <v>479</v>
      </c>
      <c r="C157" s="42" t="s">
        <v>303</v>
      </c>
      <c r="D157" s="42" t="s">
        <v>252</v>
      </c>
      <c r="E157" s="42"/>
      <c r="F157" s="42" t="s">
        <v>694</v>
      </c>
      <c r="G157" s="11">
        <f>G156</f>
        <v>0</v>
      </c>
    </row>
    <row r="158" spans="1:7" ht="47.25" hidden="1">
      <c r="A158" s="26" t="s">
        <v>653</v>
      </c>
      <c r="B158" s="21" t="s">
        <v>482</v>
      </c>
      <c r="C158" s="42" t="s">
        <v>303</v>
      </c>
      <c r="D158" s="42" t="s">
        <v>252</v>
      </c>
      <c r="E158" s="42"/>
      <c r="F158" s="42"/>
      <c r="G158" s="11">
        <f>G159</f>
        <v>0</v>
      </c>
    </row>
    <row r="159" spans="1:7" ht="63" hidden="1">
      <c r="A159" s="26" t="s">
        <v>311</v>
      </c>
      <c r="B159" s="21" t="s">
        <v>482</v>
      </c>
      <c r="C159" s="42" t="s">
        <v>303</v>
      </c>
      <c r="D159" s="42" t="s">
        <v>252</v>
      </c>
      <c r="E159" s="42" t="s">
        <v>312</v>
      </c>
      <c r="F159" s="42"/>
      <c r="G159" s="11">
        <f>G160</f>
        <v>0</v>
      </c>
    </row>
    <row r="160" spans="1:7" ht="15.75" hidden="1">
      <c r="A160" s="26" t="s">
        <v>313</v>
      </c>
      <c r="B160" s="21" t="s">
        <v>482</v>
      </c>
      <c r="C160" s="42" t="s">
        <v>303</v>
      </c>
      <c r="D160" s="42" t="s">
        <v>252</v>
      </c>
      <c r="E160" s="42" t="s">
        <v>314</v>
      </c>
      <c r="F160" s="42"/>
      <c r="G160" s="11"/>
    </row>
    <row r="161" spans="1:7" ht="47.25" hidden="1">
      <c r="A161" s="31" t="s">
        <v>443</v>
      </c>
      <c r="B161" s="21" t="s">
        <v>482</v>
      </c>
      <c r="C161" s="42" t="s">
        <v>303</v>
      </c>
      <c r="D161" s="42" t="s">
        <v>252</v>
      </c>
      <c r="E161" s="42"/>
      <c r="F161" s="42" t="s">
        <v>694</v>
      </c>
      <c r="G161" s="11">
        <f>G159</f>
        <v>0</v>
      </c>
    </row>
    <row r="162" spans="1:7" ht="15.75">
      <c r="A162" s="31" t="s">
        <v>302</v>
      </c>
      <c r="B162" s="42" t="s">
        <v>471</v>
      </c>
      <c r="C162" s="42" t="s">
        <v>303</v>
      </c>
      <c r="D162" s="42"/>
      <c r="E162" s="42"/>
      <c r="F162" s="42"/>
      <c r="G162" s="11" t="e">
        <f>G163</f>
        <v>#REF!</v>
      </c>
    </row>
    <row r="163" spans="1:7" ht="15.75">
      <c r="A163" s="31" t="s">
        <v>465</v>
      </c>
      <c r="B163" s="42" t="s">
        <v>471</v>
      </c>
      <c r="C163" s="42" t="s">
        <v>303</v>
      </c>
      <c r="D163" s="42" t="s">
        <v>252</v>
      </c>
      <c r="E163" s="42"/>
      <c r="F163" s="42"/>
      <c r="G163" s="11" t="e">
        <f>G164+G167+G173+G170+G176</f>
        <v>#REF!</v>
      </c>
    </row>
    <row r="164" spans="1:7" ht="78.75">
      <c r="A164" s="31" t="s">
        <v>652</v>
      </c>
      <c r="B164" s="21" t="s">
        <v>477</v>
      </c>
      <c r="C164" s="42" t="s">
        <v>303</v>
      </c>
      <c r="D164" s="42" t="s">
        <v>252</v>
      </c>
      <c r="E164" s="42"/>
      <c r="F164" s="42"/>
      <c r="G164" s="11" t="e">
        <f>G165</f>
        <v>#REF!</v>
      </c>
    </row>
    <row r="165" spans="1:7" ht="63">
      <c r="A165" s="31" t="s">
        <v>311</v>
      </c>
      <c r="B165" s="21" t="s">
        <v>477</v>
      </c>
      <c r="C165" s="42" t="s">
        <v>303</v>
      </c>
      <c r="D165" s="42" t="s">
        <v>252</v>
      </c>
      <c r="E165" s="42" t="s">
        <v>312</v>
      </c>
      <c r="F165" s="42"/>
      <c r="G165" s="11" t="e">
        <f>G166</f>
        <v>#REF!</v>
      </c>
    </row>
    <row r="166" spans="1:7" ht="24" customHeight="1">
      <c r="A166" s="31" t="s">
        <v>313</v>
      </c>
      <c r="B166" s="21" t="s">
        <v>477</v>
      </c>
      <c r="C166" s="42" t="s">
        <v>303</v>
      </c>
      <c r="D166" s="42" t="s">
        <v>252</v>
      </c>
      <c r="E166" s="42" t="s">
        <v>314</v>
      </c>
      <c r="F166" s="42"/>
      <c r="G166" s="7" t="e">
        <f>#REF!</f>
        <v>#REF!</v>
      </c>
    </row>
    <row r="167" spans="1:7" ht="63">
      <c r="A167" s="26" t="s">
        <v>478</v>
      </c>
      <c r="B167" s="21" t="s">
        <v>479</v>
      </c>
      <c r="C167" s="42" t="s">
        <v>303</v>
      </c>
      <c r="D167" s="42" t="s">
        <v>252</v>
      </c>
      <c r="E167" s="42"/>
      <c r="F167" s="42"/>
      <c r="G167" s="7" t="e">
        <f>G168</f>
        <v>#REF!</v>
      </c>
    </row>
    <row r="168" spans="1:7" ht="63">
      <c r="A168" s="26" t="s">
        <v>311</v>
      </c>
      <c r="B168" s="21" t="s">
        <v>479</v>
      </c>
      <c r="C168" s="42" t="s">
        <v>303</v>
      </c>
      <c r="D168" s="42" t="s">
        <v>252</v>
      </c>
      <c r="E168" s="42" t="s">
        <v>312</v>
      </c>
      <c r="F168" s="42"/>
      <c r="G168" s="7" t="e">
        <f>G169</f>
        <v>#REF!</v>
      </c>
    </row>
    <row r="169" spans="1:7" ht="15.75">
      <c r="A169" s="26" t="s">
        <v>313</v>
      </c>
      <c r="B169" s="21" t="s">
        <v>479</v>
      </c>
      <c r="C169" s="42" t="s">
        <v>303</v>
      </c>
      <c r="D169" s="42" t="s">
        <v>252</v>
      </c>
      <c r="E169" s="42" t="s">
        <v>314</v>
      </c>
      <c r="F169" s="42"/>
      <c r="G169" s="7" t="e">
        <f>#REF!</f>
        <v>#REF!</v>
      </c>
    </row>
    <row r="170" spans="1:7" ht="47.25">
      <c r="A170" s="26" t="s">
        <v>317</v>
      </c>
      <c r="B170" s="42" t="s">
        <v>482</v>
      </c>
      <c r="C170" s="42" t="s">
        <v>303</v>
      </c>
      <c r="D170" s="42" t="s">
        <v>252</v>
      </c>
      <c r="E170" s="42"/>
      <c r="F170" s="42"/>
      <c r="G170" s="7" t="e">
        <f>G171</f>
        <v>#REF!</v>
      </c>
    </row>
    <row r="171" spans="1:7" ht="63">
      <c r="A171" s="26" t="s">
        <v>311</v>
      </c>
      <c r="B171" s="42" t="s">
        <v>482</v>
      </c>
      <c r="C171" s="42" t="s">
        <v>303</v>
      </c>
      <c r="D171" s="42" t="s">
        <v>252</v>
      </c>
      <c r="E171" s="42" t="s">
        <v>312</v>
      </c>
      <c r="F171" s="42"/>
      <c r="G171" s="7" t="e">
        <f>G172</f>
        <v>#REF!</v>
      </c>
    </row>
    <row r="172" spans="1:8" ht="15.75">
      <c r="A172" s="26" t="s">
        <v>313</v>
      </c>
      <c r="B172" s="42" t="s">
        <v>482</v>
      </c>
      <c r="C172" s="42" t="s">
        <v>303</v>
      </c>
      <c r="D172" s="42" t="s">
        <v>252</v>
      </c>
      <c r="E172" s="42" t="s">
        <v>314</v>
      </c>
      <c r="F172" s="42"/>
      <c r="G172" s="7" t="e">
        <f>#REF!</f>
        <v>#REF!</v>
      </c>
      <c r="H172" s="133"/>
    </row>
    <row r="173" spans="1:7" ht="47.25">
      <c r="A173" s="31" t="s">
        <v>321</v>
      </c>
      <c r="B173" s="42" t="s">
        <v>484</v>
      </c>
      <c r="C173" s="42" t="s">
        <v>303</v>
      </c>
      <c r="D173" s="42" t="s">
        <v>252</v>
      </c>
      <c r="E173" s="42"/>
      <c r="F173" s="42"/>
      <c r="G173" s="11" t="e">
        <f>G174</f>
        <v>#REF!</v>
      </c>
    </row>
    <row r="174" spans="1:7" ht="63">
      <c r="A174" s="31" t="s">
        <v>311</v>
      </c>
      <c r="B174" s="42" t="s">
        <v>484</v>
      </c>
      <c r="C174" s="42" t="s">
        <v>303</v>
      </c>
      <c r="D174" s="42" t="s">
        <v>252</v>
      </c>
      <c r="E174" s="42" t="s">
        <v>312</v>
      </c>
      <c r="F174" s="42"/>
      <c r="G174" s="11" t="e">
        <f>G175</f>
        <v>#REF!</v>
      </c>
    </row>
    <row r="175" spans="1:7" ht="26.25" customHeight="1">
      <c r="A175" s="31" t="s">
        <v>313</v>
      </c>
      <c r="B175" s="42" t="s">
        <v>484</v>
      </c>
      <c r="C175" s="42" t="s">
        <v>303</v>
      </c>
      <c r="D175" s="42" t="s">
        <v>252</v>
      </c>
      <c r="E175" s="42" t="s">
        <v>314</v>
      </c>
      <c r="F175" s="42"/>
      <c r="G175" s="11" t="e">
        <f>#REF!</f>
        <v>#REF!</v>
      </c>
    </row>
    <row r="176" spans="1:7" ht="31.5">
      <c r="A176" s="31" t="s">
        <v>323</v>
      </c>
      <c r="B176" s="42" t="s">
        <v>485</v>
      </c>
      <c r="C176" s="42" t="s">
        <v>303</v>
      </c>
      <c r="D176" s="42" t="s">
        <v>252</v>
      </c>
      <c r="E176" s="42"/>
      <c r="F176" s="42"/>
      <c r="G176" s="11" t="e">
        <f>G177</f>
        <v>#REF!</v>
      </c>
    </row>
    <row r="177" spans="1:7" ht="63">
      <c r="A177" s="31" t="s">
        <v>311</v>
      </c>
      <c r="B177" s="42" t="s">
        <v>485</v>
      </c>
      <c r="C177" s="42" t="s">
        <v>303</v>
      </c>
      <c r="D177" s="42" t="s">
        <v>252</v>
      </c>
      <c r="E177" s="42" t="s">
        <v>312</v>
      </c>
      <c r="F177" s="42"/>
      <c r="G177" s="11" t="e">
        <f>G178</f>
        <v>#REF!</v>
      </c>
    </row>
    <row r="178" spans="1:7" ht="26.25" customHeight="1">
      <c r="A178" s="31" t="s">
        <v>313</v>
      </c>
      <c r="B178" s="42" t="s">
        <v>485</v>
      </c>
      <c r="C178" s="42" t="s">
        <v>303</v>
      </c>
      <c r="D178" s="42" t="s">
        <v>252</v>
      </c>
      <c r="E178" s="42" t="s">
        <v>314</v>
      </c>
      <c r="F178" s="42"/>
      <c r="G178" s="11" t="e">
        <f>#REF!</f>
        <v>#REF!</v>
      </c>
    </row>
    <row r="179" spans="1:7" ht="47.25">
      <c r="A179" s="31" t="s">
        <v>443</v>
      </c>
      <c r="B179" s="42" t="s">
        <v>471</v>
      </c>
      <c r="C179" s="42" t="s">
        <v>303</v>
      </c>
      <c r="D179" s="42" t="s">
        <v>252</v>
      </c>
      <c r="E179" s="42"/>
      <c r="F179" s="42" t="s">
        <v>694</v>
      </c>
      <c r="G179" s="11" t="e">
        <f>G141</f>
        <v>#REF!</v>
      </c>
    </row>
    <row r="180" spans="1:7" ht="31.5" hidden="1">
      <c r="A180" s="31" t="s">
        <v>323</v>
      </c>
      <c r="B180" s="42" t="s">
        <v>654</v>
      </c>
      <c r="C180" s="42" t="s">
        <v>303</v>
      </c>
      <c r="D180" s="42" t="s">
        <v>252</v>
      </c>
      <c r="E180" s="42"/>
      <c r="F180" s="42"/>
      <c r="G180" s="11">
        <f>G181</f>
        <v>0</v>
      </c>
    </row>
    <row r="181" spans="1:7" ht="63" hidden="1">
      <c r="A181" s="31" t="s">
        <v>311</v>
      </c>
      <c r="B181" s="42" t="s">
        <v>654</v>
      </c>
      <c r="C181" s="42" t="s">
        <v>303</v>
      </c>
      <c r="D181" s="42" t="s">
        <v>252</v>
      </c>
      <c r="E181" s="42" t="s">
        <v>312</v>
      </c>
      <c r="F181" s="42"/>
      <c r="G181" s="11">
        <f>G182</f>
        <v>0</v>
      </c>
    </row>
    <row r="182" spans="1:7" ht="15.75" hidden="1">
      <c r="A182" s="31" t="s">
        <v>313</v>
      </c>
      <c r="B182" s="42" t="s">
        <v>654</v>
      </c>
      <c r="C182" s="42" t="s">
        <v>303</v>
      </c>
      <c r="D182" s="42" t="s">
        <v>252</v>
      </c>
      <c r="E182" s="42" t="s">
        <v>314</v>
      </c>
      <c r="F182" s="42"/>
      <c r="G182" s="11"/>
    </row>
    <row r="183" spans="1:7" ht="47.25" hidden="1">
      <c r="A183" s="31" t="s">
        <v>443</v>
      </c>
      <c r="B183" s="42" t="s">
        <v>654</v>
      </c>
      <c r="C183" s="42" t="s">
        <v>303</v>
      </c>
      <c r="D183" s="42" t="s">
        <v>252</v>
      </c>
      <c r="E183" s="42"/>
      <c r="F183" s="42" t="s">
        <v>694</v>
      </c>
      <c r="G183" s="11">
        <v>0</v>
      </c>
    </row>
    <row r="184" spans="1:7" ht="47.25" hidden="1">
      <c r="A184" s="31" t="s">
        <v>695</v>
      </c>
      <c r="B184" s="42" t="s">
        <v>655</v>
      </c>
      <c r="C184" s="42" t="s">
        <v>303</v>
      </c>
      <c r="D184" s="42" t="s">
        <v>252</v>
      </c>
      <c r="E184" s="42"/>
      <c r="F184" s="42"/>
      <c r="G184" s="11">
        <f>G185</f>
        <v>0</v>
      </c>
    </row>
    <row r="185" spans="1:7" ht="63" hidden="1">
      <c r="A185" s="31" t="s">
        <v>311</v>
      </c>
      <c r="B185" s="42" t="s">
        <v>655</v>
      </c>
      <c r="C185" s="42" t="s">
        <v>303</v>
      </c>
      <c r="D185" s="42" t="s">
        <v>252</v>
      </c>
      <c r="E185" s="42" t="s">
        <v>312</v>
      </c>
      <c r="F185" s="42"/>
      <c r="G185" s="11">
        <f>G186</f>
        <v>0</v>
      </c>
    </row>
    <row r="186" spans="1:7" ht="15.75" hidden="1">
      <c r="A186" s="31" t="s">
        <v>313</v>
      </c>
      <c r="B186" s="42" t="s">
        <v>655</v>
      </c>
      <c r="C186" s="42" t="s">
        <v>303</v>
      </c>
      <c r="D186" s="42" t="s">
        <v>252</v>
      </c>
      <c r="E186" s="42" t="s">
        <v>314</v>
      </c>
      <c r="F186" s="42"/>
      <c r="G186" s="11"/>
    </row>
    <row r="187" spans="1:7" ht="47.25" hidden="1">
      <c r="A187" s="31" t="s">
        <v>443</v>
      </c>
      <c r="B187" s="42" t="s">
        <v>655</v>
      </c>
      <c r="C187" s="42" t="s">
        <v>303</v>
      </c>
      <c r="D187" s="42" t="s">
        <v>252</v>
      </c>
      <c r="E187" s="42"/>
      <c r="F187" s="42" t="s">
        <v>694</v>
      </c>
      <c r="G187" s="11">
        <v>0</v>
      </c>
    </row>
    <row r="188" spans="1:7" ht="45.75" customHeight="1">
      <c r="A188" s="43" t="s">
        <v>486</v>
      </c>
      <c r="B188" s="8" t="s">
        <v>487</v>
      </c>
      <c r="C188" s="8"/>
      <c r="D188" s="8"/>
      <c r="E188" s="8"/>
      <c r="F188" s="8"/>
      <c r="G188" s="68" t="e">
        <f>G189</f>
        <v>#REF!</v>
      </c>
    </row>
    <row r="189" spans="1:7" ht="21" customHeight="1">
      <c r="A189" s="31" t="s">
        <v>302</v>
      </c>
      <c r="B189" s="42" t="s">
        <v>487</v>
      </c>
      <c r="C189" s="42" t="s">
        <v>303</v>
      </c>
      <c r="D189" s="42"/>
      <c r="E189" s="42"/>
      <c r="F189" s="42"/>
      <c r="G189" s="11" t="e">
        <f>G190</f>
        <v>#REF!</v>
      </c>
    </row>
    <row r="190" spans="1:7" ht="22.5" customHeight="1">
      <c r="A190" s="31" t="s">
        <v>304</v>
      </c>
      <c r="B190" s="42" t="s">
        <v>487</v>
      </c>
      <c r="C190" s="42" t="s">
        <v>303</v>
      </c>
      <c r="D190" s="42" t="s">
        <v>254</v>
      </c>
      <c r="E190" s="42"/>
      <c r="F190" s="42"/>
      <c r="G190" s="11" t="e">
        <f>G191</f>
        <v>#REF!</v>
      </c>
    </row>
    <row r="191" spans="1:7" ht="31.5">
      <c r="A191" s="47" t="s">
        <v>769</v>
      </c>
      <c r="B191" s="21" t="s">
        <v>770</v>
      </c>
      <c r="C191" s="42" t="s">
        <v>303</v>
      </c>
      <c r="D191" s="42" t="s">
        <v>254</v>
      </c>
      <c r="E191" s="42"/>
      <c r="F191" s="42"/>
      <c r="G191" s="11" t="e">
        <f>G192</f>
        <v>#REF!</v>
      </c>
    </row>
    <row r="192" spans="1:7" ht="63">
      <c r="A192" s="31" t="s">
        <v>311</v>
      </c>
      <c r="B192" s="21" t="s">
        <v>770</v>
      </c>
      <c r="C192" s="42" t="s">
        <v>303</v>
      </c>
      <c r="D192" s="42" t="s">
        <v>254</v>
      </c>
      <c r="E192" s="42" t="s">
        <v>312</v>
      </c>
      <c r="F192" s="42"/>
      <c r="G192" s="11" t="e">
        <f>G193</f>
        <v>#REF!</v>
      </c>
    </row>
    <row r="193" spans="1:8" ht="15.75">
      <c r="A193" s="31" t="s">
        <v>313</v>
      </c>
      <c r="B193" s="21" t="s">
        <v>770</v>
      </c>
      <c r="C193" s="42" t="s">
        <v>303</v>
      </c>
      <c r="D193" s="42" t="s">
        <v>254</v>
      </c>
      <c r="E193" s="42" t="s">
        <v>314</v>
      </c>
      <c r="F193" s="42"/>
      <c r="G193" s="11" t="e">
        <f>#REF!</f>
        <v>#REF!</v>
      </c>
      <c r="H193" s="133"/>
    </row>
    <row r="194" spans="1:7" ht="47.25">
      <c r="A194" s="31" t="s">
        <v>443</v>
      </c>
      <c r="B194" s="21" t="s">
        <v>770</v>
      </c>
      <c r="C194" s="42" t="s">
        <v>303</v>
      </c>
      <c r="D194" s="42" t="s">
        <v>254</v>
      </c>
      <c r="E194" s="42"/>
      <c r="F194" s="42" t="s">
        <v>694</v>
      </c>
      <c r="G194" s="11" t="e">
        <f>G189</f>
        <v>#REF!</v>
      </c>
    </row>
    <row r="195" spans="1:7" ht="47.25" hidden="1">
      <c r="A195" s="31" t="s">
        <v>696</v>
      </c>
      <c r="B195" s="42" t="s">
        <v>656</v>
      </c>
      <c r="C195" s="42" t="s">
        <v>303</v>
      </c>
      <c r="D195" s="42" t="s">
        <v>252</v>
      </c>
      <c r="E195" s="42"/>
      <c r="F195" s="42"/>
      <c r="G195" s="11">
        <f>G199</f>
        <v>0</v>
      </c>
    </row>
    <row r="196" spans="1:7" ht="63" hidden="1">
      <c r="A196" s="31" t="s">
        <v>311</v>
      </c>
      <c r="B196" s="42" t="s">
        <v>656</v>
      </c>
      <c r="C196" s="42" t="s">
        <v>508</v>
      </c>
      <c r="D196" s="42" t="s">
        <v>697</v>
      </c>
      <c r="E196" s="42" t="s">
        <v>312</v>
      </c>
      <c r="F196" s="42"/>
      <c r="G196" s="11">
        <f>G197</f>
        <v>0</v>
      </c>
    </row>
    <row r="197" spans="1:7" ht="15.75" hidden="1">
      <c r="A197" s="31" t="s">
        <v>313</v>
      </c>
      <c r="B197" s="42" t="s">
        <v>656</v>
      </c>
      <c r="C197" s="42" t="s">
        <v>508</v>
      </c>
      <c r="D197" s="42" t="s">
        <v>697</v>
      </c>
      <c r="E197" s="42" t="s">
        <v>314</v>
      </c>
      <c r="F197" s="42"/>
      <c r="G197" s="11">
        <f>G198</f>
        <v>0</v>
      </c>
    </row>
    <row r="198" spans="1:7" ht="31.5" hidden="1">
      <c r="A198" s="31" t="s">
        <v>647</v>
      </c>
      <c r="B198" s="42" t="s">
        <v>656</v>
      </c>
      <c r="C198" s="42" t="s">
        <v>508</v>
      </c>
      <c r="D198" s="42" t="s">
        <v>697</v>
      </c>
      <c r="E198" s="42" t="s">
        <v>648</v>
      </c>
      <c r="F198" s="42"/>
      <c r="G198" s="11">
        <f>G199</f>
        <v>0</v>
      </c>
    </row>
    <row r="199" spans="1:7" ht="47.25" hidden="1">
      <c r="A199" s="31" t="s">
        <v>443</v>
      </c>
      <c r="B199" s="42" t="s">
        <v>656</v>
      </c>
      <c r="C199" s="42" t="s">
        <v>303</v>
      </c>
      <c r="D199" s="42" t="s">
        <v>252</v>
      </c>
      <c r="E199" s="42"/>
      <c r="F199" s="42" t="s">
        <v>694</v>
      </c>
      <c r="G199" s="11"/>
    </row>
    <row r="200" spans="1:7" ht="47.25" hidden="1">
      <c r="A200" s="31" t="s">
        <v>698</v>
      </c>
      <c r="B200" s="21" t="s">
        <v>488</v>
      </c>
      <c r="C200" s="42" t="s">
        <v>303</v>
      </c>
      <c r="D200" s="42" t="s">
        <v>252</v>
      </c>
      <c r="E200" s="42"/>
      <c r="F200" s="42"/>
      <c r="G200" s="11">
        <f>G201</f>
        <v>0</v>
      </c>
    </row>
    <row r="201" spans="1:7" ht="31.5" hidden="1">
      <c r="A201" s="31" t="s">
        <v>319</v>
      </c>
      <c r="B201" s="21" t="s">
        <v>488</v>
      </c>
      <c r="C201" s="42" t="s">
        <v>303</v>
      </c>
      <c r="D201" s="42" t="s">
        <v>252</v>
      </c>
      <c r="E201" s="42" t="s">
        <v>312</v>
      </c>
      <c r="F201" s="42"/>
      <c r="G201" s="11">
        <f>G202</f>
        <v>0</v>
      </c>
    </row>
    <row r="202" spans="1:7" ht="15.75" hidden="1">
      <c r="A202" s="31" t="s">
        <v>313</v>
      </c>
      <c r="B202" s="21" t="s">
        <v>488</v>
      </c>
      <c r="C202" s="42" t="s">
        <v>303</v>
      </c>
      <c r="D202" s="42" t="s">
        <v>252</v>
      </c>
      <c r="E202" s="42" t="s">
        <v>314</v>
      </c>
      <c r="F202" s="42"/>
      <c r="G202" s="11"/>
    </row>
    <row r="203" spans="1:7" ht="31.5" hidden="1">
      <c r="A203" s="31" t="s">
        <v>647</v>
      </c>
      <c r="B203" s="21" t="s">
        <v>488</v>
      </c>
      <c r="C203" s="42" t="s">
        <v>303</v>
      </c>
      <c r="D203" s="42" t="s">
        <v>252</v>
      </c>
      <c r="E203" s="42" t="s">
        <v>648</v>
      </c>
      <c r="F203" s="42"/>
      <c r="G203" s="11"/>
    </row>
    <row r="204" spans="1:7" ht="47.25" hidden="1">
      <c r="A204" s="31" t="s">
        <v>443</v>
      </c>
      <c r="B204" s="21" t="s">
        <v>488</v>
      </c>
      <c r="C204" s="42" t="s">
        <v>303</v>
      </c>
      <c r="D204" s="42" t="s">
        <v>252</v>
      </c>
      <c r="E204" s="42"/>
      <c r="F204" s="42" t="s">
        <v>694</v>
      </c>
      <c r="G204" s="7">
        <f>G200</f>
        <v>0</v>
      </c>
    </row>
    <row r="205" spans="1:7" ht="47.25" hidden="1">
      <c r="A205" s="31" t="s">
        <v>653</v>
      </c>
      <c r="B205" s="42" t="s">
        <v>489</v>
      </c>
      <c r="C205" s="42" t="s">
        <v>303</v>
      </c>
      <c r="D205" s="42" t="s">
        <v>252</v>
      </c>
      <c r="E205" s="42"/>
      <c r="F205" s="42"/>
      <c r="G205" s="11">
        <f>G206</f>
        <v>0</v>
      </c>
    </row>
    <row r="206" spans="1:7" ht="63" hidden="1">
      <c r="A206" s="31" t="s">
        <v>311</v>
      </c>
      <c r="B206" s="42" t="s">
        <v>489</v>
      </c>
      <c r="C206" s="42" t="s">
        <v>303</v>
      </c>
      <c r="D206" s="42" t="s">
        <v>252</v>
      </c>
      <c r="E206" s="42" t="s">
        <v>312</v>
      </c>
      <c r="F206" s="42"/>
      <c r="G206" s="11">
        <f>G207</f>
        <v>0</v>
      </c>
    </row>
    <row r="207" spans="1:7" ht="15.75" hidden="1">
      <c r="A207" s="31" t="s">
        <v>313</v>
      </c>
      <c r="B207" s="42" t="s">
        <v>489</v>
      </c>
      <c r="C207" s="42" t="s">
        <v>303</v>
      </c>
      <c r="D207" s="42" t="s">
        <v>252</v>
      </c>
      <c r="E207" s="42" t="s">
        <v>314</v>
      </c>
      <c r="F207" s="42" t="s">
        <v>694</v>
      </c>
      <c r="G207" s="11"/>
    </row>
    <row r="208" spans="1:7" ht="15.75" hidden="1">
      <c r="A208" s="31"/>
      <c r="B208" s="42"/>
      <c r="C208" s="42"/>
      <c r="D208" s="42"/>
      <c r="E208" s="42"/>
      <c r="F208" s="42"/>
      <c r="G208" s="11"/>
    </row>
    <row r="209" spans="1:7" ht="15.75" hidden="1">
      <c r="A209" s="31"/>
      <c r="B209" s="42"/>
      <c r="C209" s="42"/>
      <c r="D209" s="42"/>
      <c r="E209" s="42"/>
      <c r="F209" s="42"/>
      <c r="G209" s="11"/>
    </row>
    <row r="210" spans="1:7" ht="47.25">
      <c r="A210" s="43" t="s">
        <v>507</v>
      </c>
      <c r="B210" s="8" t="s">
        <v>509</v>
      </c>
      <c r="C210" s="8"/>
      <c r="D210" s="8"/>
      <c r="E210" s="8"/>
      <c r="F210" s="8"/>
      <c r="G210" s="68" t="e">
        <f>G211</f>
        <v>#REF!</v>
      </c>
    </row>
    <row r="211" spans="1:7" ht="15.75">
      <c r="A211" s="31" t="s">
        <v>302</v>
      </c>
      <c r="B211" s="42" t="s">
        <v>509</v>
      </c>
      <c r="C211" s="42" t="s">
        <v>303</v>
      </c>
      <c r="D211" s="42"/>
      <c r="E211" s="42"/>
      <c r="F211" s="42"/>
      <c r="G211" s="11" t="e">
        <f>G212</f>
        <v>#REF!</v>
      </c>
    </row>
    <row r="212" spans="1:7" ht="31.5">
      <c r="A212" s="31" t="s">
        <v>506</v>
      </c>
      <c r="B212" s="42" t="s">
        <v>509</v>
      </c>
      <c r="C212" s="42" t="s">
        <v>303</v>
      </c>
      <c r="D212" s="42" t="s">
        <v>303</v>
      </c>
      <c r="E212" s="42"/>
      <c r="F212" s="42"/>
      <c r="G212" s="11" t="e">
        <f>G213</f>
        <v>#REF!</v>
      </c>
    </row>
    <row r="213" spans="1:7" ht="47.25">
      <c r="A213" s="26" t="s">
        <v>660</v>
      </c>
      <c r="B213" s="21" t="s">
        <v>511</v>
      </c>
      <c r="C213" s="42" t="s">
        <v>303</v>
      </c>
      <c r="D213" s="42" t="s">
        <v>303</v>
      </c>
      <c r="E213" s="42"/>
      <c r="F213" s="42"/>
      <c r="G213" s="11" t="e">
        <f>G214</f>
        <v>#REF!</v>
      </c>
    </row>
    <row r="214" spans="1:7" ht="63">
      <c r="A214" s="31" t="s">
        <v>311</v>
      </c>
      <c r="B214" s="21" t="s">
        <v>511</v>
      </c>
      <c r="C214" s="42" t="s">
        <v>303</v>
      </c>
      <c r="D214" s="42" t="s">
        <v>303</v>
      </c>
      <c r="E214" s="42" t="s">
        <v>312</v>
      </c>
      <c r="F214" s="42"/>
      <c r="G214" s="11" t="e">
        <f>G215</f>
        <v>#REF!</v>
      </c>
    </row>
    <row r="215" spans="1:7" ht="15.75">
      <c r="A215" s="31" t="s">
        <v>313</v>
      </c>
      <c r="B215" s="21" t="s">
        <v>511</v>
      </c>
      <c r="C215" s="42" t="s">
        <v>303</v>
      </c>
      <c r="D215" s="42" t="s">
        <v>303</v>
      </c>
      <c r="E215" s="42" t="s">
        <v>314</v>
      </c>
      <c r="F215" s="42"/>
      <c r="G215" s="11" t="e">
        <f>#REF!</f>
        <v>#REF!</v>
      </c>
    </row>
    <row r="216" spans="1:7" ht="47.25">
      <c r="A216" s="31" t="s">
        <v>443</v>
      </c>
      <c r="B216" s="21" t="s">
        <v>509</v>
      </c>
      <c r="C216" s="42" t="s">
        <v>303</v>
      </c>
      <c r="D216" s="42" t="s">
        <v>303</v>
      </c>
      <c r="E216" s="42"/>
      <c r="F216" s="42" t="s">
        <v>694</v>
      </c>
      <c r="G216" s="11" t="e">
        <f>G210</f>
        <v>#REF!</v>
      </c>
    </row>
    <row r="217" spans="1:7" ht="78.75">
      <c r="A217" s="64" t="s">
        <v>194</v>
      </c>
      <c r="B217" s="194" t="s">
        <v>195</v>
      </c>
      <c r="C217" s="8"/>
      <c r="D217" s="194"/>
      <c r="E217" s="194"/>
      <c r="F217" s="194"/>
      <c r="G217" s="68" t="e">
        <f>G220</f>
        <v>#REF!</v>
      </c>
    </row>
    <row r="218" spans="1:7" ht="15.75">
      <c r="A218" s="47" t="s">
        <v>156</v>
      </c>
      <c r="B218" s="6" t="s">
        <v>195</v>
      </c>
      <c r="C218" s="42" t="s">
        <v>157</v>
      </c>
      <c r="D218" s="6"/>
      <c r="E218" s="6"/>
      <c r="F218" s="6"/>
      <c r="G218" s="11" t="e">
        <f>G219</f>
        <v>#REF!</v>
      </c>
    </row>
    <row r="219" spans="1:7" ht="31.5">
      <c r="A219" s="78" t="s">
        <v>178</v>
      </c>
      <c r="B219" s="77" t="s">
        <v>195</v>
      </c>
      <c r="C219" s="42" t="s">
        <v>157</v>
      </c>
      <c r="D219" s="77">
        <v>13</v>
      </c>
      <c r="E219" s="77"/>
      <c r="F219" s="77"/>
      <c r="G219" s="11" t="e">
        <f>G220</f>
        <v>#REF!</v>
      </c>
    </row>
    <row r="220" spans="1:7" ht="47.25">
      <c r="A220" s="31" t="s">
        <v>196</v>
      </c>
      <c r="B220" s="77" t="s">
        <v>197</v>
      </c>
      <c r="C220" s="42" t="s">
        <v>157</v>
      </c>
      <c r="D220" s="42" t="s">
        <v>179</v>
      </c>
      <c r="E220" s="42"/>
      <c r="F220" s="42"/>
      <c r="G220" s="11" t="e">
        <f>G221</f>
        <v>#REF!</v>
      </c>
    </row>
    <row r="221" spans="1:7" ht="47.25">
      <c r="A221" s="31" t="s">
        <v>170</v>
      </c>
      <c r="B221" s="77" t="s">
        <v>197</v>
      </c>
      <c r="C221" s="42" t="s">
        <v>157</v>
      </c>
      <c r="D221" s="42" t="s">
        <v>179</v>
      </c>
      <c r="E221" s="42" t="s">
        <v>184</v>
      </c>
      <c r="F221" s="42"/>
      <c r="G221" s="11" t="e">
        <f>G222</f>
        <v>#REF!</v>
      </c>
    </row>
    <row r="222" spans="1:7" ht="78.75">
      <c r="A222" s="31" t="s">
        <v>223</v>
      </c>
      <c r="B222" s="77" t="s">
        <v>197</v>
      </c>
      <c r="C222" s="42" t="s">
        <v>157</v>
      </c>
      <c r="D222" s="42" t="s">
        <v>179</v>
      </c>
      <c r="E222" s="42" t="s">
        <v>199</v>
      </c>
      <c r="F222" s="42"/>
      <c r="G222" s="11" t="e">
        <f>#REF!</f>
        <v>#REF!</v>
      </c>
    </row>
    <row r="223" spans="1:7" ht="31.5">
      <c r="A223" s="31" t="s">
        <v>187</v>
      </c>
      <c r="B223" s="77" t="s">
        <v>195</v>
      </c>
      <c r="C223" s="42" t="s">
        <v>157</v>
      </c>
      <c r="D223" s="42" t="s">
        <v>179</v>
      </c>
      <c r="E223" s="42"/>
      <c r="F223" s="42" t="s">
        <v>699</v>
      </c>
      <c r="G223" s="11" t="e">
        <f>G217</f>
        <v>#REF!</v>
      </c>
    </row>
    <row r="224" spans="1:7" ht="73.5" customHeight="1">
      <c r="A224" s="43" t="s">
        <v>200</v>
      </c>
      <c r="B224" s="194" t="s">
        <v>201</v>
      </c>
      <c r="C224" s="8"/>
      <c r="D224" s="8"/>
      <c r="E224" s="8"/>
      <c r="F224" s="8"/>
      <c r="G224" s="68" t="e">
        <f>G225</f>
        <v>#REF!</v>
      </c>
    </row>
    <row r="225" spans="1:7" ht="15.75">
      <c r="A225" s="47" t="s">
        <v>156</v>
      </c>
      <c r="B225" s="6" t="s">
        <v>201</v>
      </c>
      <c r="C225" s="42" t="s">
        <v>157</v>
      </c>
      <c r="D225" s="6"/>
      <c r="E225" s="6"/>
      <c r="F225" s="42"/>
      <c r="G225" s="11" t="e">
        <f>G226</f>
        <v>#REF!</v>
      </c>
    </row>
    <row r="226" spans="1:7" ht="31.5">
      <c r="A226" s="78" t="s">
        <v>178</v>
      </c>
      <c r="B226" s="77" t="s">
        <v>201</v>
      </c>
      <c r="C226" s="42" t="s">
        <v>157</v>
      </c>
      <c r="D226" s="77">
        <v>13</v>
      </c>
      <c r="E226" s="77"/>
      <c r="F226" s="42"/>
      <c r="G226" s="11" t="e">
        <f>G227+G230+G235+G238</f>
        <v>#REF!</v>
      </c>
    </row>
    <row r="227" spans="1:7" ht="31.5">
      <c r="A227" s="31" t="s">
        <v>202</v>
      </c>
      <c r="B227" s="42" t="s">
        <v>203</v>
      </c>
      <c r="C227" s="42" t="s">
        <v>157</v>
      </c>
      <c r="D227" s="42" t="s">
        <v>179</v>
      </c>
      <c r="E227" s="42"/>
      <c r="F227" s="42"/>
      <c r="G227" s="11" t="e">
        <f>G228</f>
        <v>#REF!</v>
      </c>
    </row>
    <row r="228" spans="1:7" ht="47.25">
      <c r="A228" s="31" t="s">
        <v>170</v>
      </c>
      <c r="B228" s="42" t="s">
        <v>203</v>
      </c>
      <c r="C228" s="42" t="s">
        <v>157</v>
      </c>
      <c r="D228" s="42" t="s">
        <v>179</v>
      </c>
      <c r="E228" s="42" t="s">
        <v>171</v>
      </c>
      <c r="F228" s="42"/>
      <c r="G228" s="11" t="e">
        <f>G229</f>
        <v>#REF!</v>
      </c>
    </row>
    <row r="229" spans="1:7" ht="47.25">
      <c r="A229" s="31" t="s">
        <v>172</v>
      </c>
      <c r="B229" s="42" t="s">
        <v>203</v>
      </c>
      <c r="C229" s="42" t="s">
        <v>157</v>
      </c>
      <c r="D229" s="42" t="s">
        <v>179</v>
      </c>
      <c r="E229" s="42" t="s">
        <v>173</v>
      </c>
      <c r="F229" s="42"/>
      <c r="G229" s="11" t="e">
        <f>#REF!</f>
        <v>#REF!</v>
      </c>
    </row>
    <row r="230" spans="1:7" ht="78.75">
      <c r="A230" s="117" t="s">
        <v>204</v>
      </c>
      <c r="B230" s="42" t="s">
        <v>205</v>
      </c>
      <c r="C230" s="42" t="s">
        <v>157</v>
      </c>
      <c r="D230" s="42" t="s">
        <v>179</v>
      </c>
      <c r="E230" s="42"/>
      <c r="F230" s="42"/>
      <c r="G230" s="11" t="e">
        <f>G231+G233</f>
        <v>#REF!</v>
      </c>
    </row>
    <row r="231" spans="1:7" ht="110.25">
      <c r="A231" s="31" t="s">
        <v>166</v>
      </c>
      <c r="B231" s="42" t="s">
        <v>205</v>
      </c>
      <c r="C231" s="42" t="s">
        <v>157</v>
      </c>
      <c r="D231" s="42" t="s">
        <v>179</v>
      </c>
      <c r="E231" s="42" t="s">
        <v>167</v>
      </c>
      <c r="F231" s="42"/>
      <c r="G231" s="11" t="e">
        <f>G232</f>
        <v>#REF!</v>
      </c>
    </row>
    <row r="232" spans="1:7" ht="47.25">
      <c r="A232" s="31" t="s">
        <v>168</v>
      </c>
      <c r="B232" s="42" t="s">
        <v>205</v>
      </c>
      <c r="C232" s="42" t="s">
        <v>157</v>
      </c>
      <c r="D232" s="42" t="s">
        <v>179</v>
      </c>
      <c r="E232" s="42" t="s">
        <v>169</v>
      </c>
      <c r="F232" s="42"/>
      <c r="G232" s="11" t="e">
        <f>#REF!</f>
        <v>#REF!</v>
      </c>
    </row>
    <row r="233" spans="1:7" ht="47.25">
      <c r="A233" s="31" t="s">
        <v>170</v>
      </c>
      <c r="B233" s="42" t="s">
        <v>205</v>
      </c>
      <c r="C233" s="42" t="s">
        <v>157</v>
      </c>
      <c r="D233" s="42" t="s">
        <v>179</v>
      </c>
      <c r="E233" s="42" t="s">
        <v>171</v>
      </c>
      <c r="F233" s="42"/>
      <c r="G233" s="11" t="e">
        <f>G234</f>
        <v>#REF!</v>
      </c>
    </row>
    <row r="234" spans="1:7" ht="47.25">
      <c r="A234" s="31" t="s">
        <v>172</v>
      </c>
      <c r="B234" s="42" t="s">
        <v>205</v>
      </c>
      <c r="C234" s="42" t="s">
        <v>157</v>
      </c>
      <c r="D234" s="42" t="s">
        <v>179</v>
      </c>
      <c r="E234" s="42" t="s">
        <v>173</v>
      </c>
      <c r="F234" s="42"/>
      <c r="G234" s="11" t="e">
        <f>#REF!</f>
        <v>#REF!</v>
      </c>
    </row>
    <row r="235" spans="1:7" ht="63">
      <c r="A235" s="33" t="s">
        <v>756</v>
      </c>
      <c r="B235" s="42" t="s">
        <v>757</v>
      </c>
      <c r="C235" s="42" t="s">
        <v>157</v>
      </c>
      <c r="D235" s="42" t="s">
        <v>179</v>
      </c>
      <c r="E235" s="42"/>
      <c r="F235" s="42"/>
      <c r="G235" s="11" t="e">
        <f>G236</f>
        <v>#REF!</v>
      </c>
    </row>
    <row r="236" spans="1:7" ht="47.25">
      <c r="A236" s="26" t="s">
        <v>170</v>
      </c>
      <c r="B236" s="42" t="s">
        <v>757</v>
      </c>
      <c r="C236" s="42" t="s">
        <v>157</v>
      </c>
      <c r="D236" s="42" t="s">
        <v>179</v>
      </c>
      <c r="E236" s="42" t="s">
        <v>171</v>
      </c>
      <c r="F236" s="42"/>
      <c r="G236" s="11" t="e">
        <f>G237</f>
        <v>#REF!</v>
      </c>
    </row>
    <row r="237" spans="1:7" ht="47.25">
      <c r="A237" s="26" t="s">
        <v>172</v>
      </c>
      <c r="B237" s="42" t="s">
        <v>757</v>
      </c>
      <c r="C237" s="42" t="s">
        <v>157</v>
      </c>
      <c r="D237" s="42" t="s">
        <v>179</v>
      </c>
      <c r="E237" s="42" t="s">
        <v>173</v>
      </c>
      <c r="F237" s="42"/>
      <c r="G237" s="11" t="e">
        <f>#REF!</f>
        <v>#REF!</v>
      </c>
    </row>
    <row r="238" spans="1:7" ht="63">
      <c r="A238" s="35" t="s">
        <v>230</v>
      </c>
      <c r="B238" s="42" t="s">
        <v>743</v>
      </c>
      <c r="C238" s="42" t="s">
        <v>157</v>
      </c>
      <c r="D238" s="42" t="s">
        <v>179</v>
      </c>
      <c r="E238" s="42"/>
      <c r="F238" s="42"/>
      <c r="G238" s="11" t="e">
        <f>G239</f>
        <v>#REF!</v>
      </c>
    </row>
    <row r="239" spans="1:7" ht="47.25">
      <c r="A239" s="26" t="s">
        <v>170</v>
      </c>
      <c r="B239" s="42" t="s">
        <v>743</v>
      </c>
      <c r="C239" s="42" t="s">
        <v>157</v>
      </c>
      <c r="D239" s="42" t="s">
        <v>179</v>
      </c>
      <c r="E239" s="42" t="s">
        <v>171</v>
      </c>
      <c r="F239" s="42"/>
      <c r="G239" s="11" t="e">
        <f>G240</f>
        <v>#REF!</v>
      </c>
    </row>
    <row r="240" spans="1:7" ht="47.25">
      <c r="A240" s="26" t="s">
        <v>172</v>
      </c>
      <c r="B240" s="42" t="s">
        <v>743</v>
      </c>
      <c r="C240" s="42" t="s">
        <v>157</v>
      </c>
      <c r="D240" s="42" t="s">
        <v>179</v>
      </c>
      <c r="E240" s="42" t="s">
        <v>173</v>
      </c>
      <c r="F240" s="42"/>
      <c r="G240" s="11" t="e">
        <f>#REF!</f>
        <v>#REF!</v>
      </c>
    </row>
    <row r="241" spans="1:7" ht="31.5">
      <c r="A241" s="31" t="s">
        <v>187</v>
      </c>
      <c r="B241" s="42" t="s">
        <v>201</v>
      </c>
      <c r="C241" s="42" t="s">
        <v>157</v>
      </c>
      <c r="D241" s="42" t="s">
        <v>179</v>
      </c>
      <c r="E241" s="42"/>
      <c r="F241" s="42" t="s">
        <v>699</v>
      </c>
      <c r="G241" s="11" t="e">
        <f>G224</f>
        <v>#REF!</v>
      </c>
    </row>
    <row r="242" spans="1:7" ht="94.5">
      <c r="A242" s="43" t="s">
        <v>292</v>
      </c>
      <c r="B242" s="194" t="s">
        <v>293</v>
      </c>
      <c r="C242" s="42"/>
      <c r="D242" s="42"/>
      <c r="E242" s="42"/>
      <c r="F242" s="42"/>
      <c r="G242" s="68" t="e">
        <f>G243</f>
        <v>#REF!</v>
      </c>
    </row>
    <row r="243" spans="1:7" ht="15.75">
      <c r="A243" s="31" t="s">
        <v>282</v>
      </c>
      <c r="B243" s="6" t="s">
        <v>293</v>
      </c>
      <c r="C243" s="42" t="s">
        <v>283</v>
      </c>
      <c r="D243" s="42"/>
      <c r="E243" s="42"/>
      <c r="F243" s="42"/>
      <c r="G243" s="11" t="e">
        <f>G244</f>
        <v>#REF!</v>
      </c>
    </row>
    <row r="244" spans="1:7" ht="22.5" customHeight="1">
      <c r="A244" s="31" t="s">
        <v>291</v>
      </c>
      <c r="B244" s="6" t="s">
        <v>293</v>
      </c>
      <c r="C244" s="42" t="s">
        <v>283</v>
      </c>
      <c r="D244" s="42" t="s">
        <v>254</v>
      </c>
      <c r="E244" s="42"/>
      <c r="F244" s="42"/>
      <c r="G244" s="11" t="e">
        <f>G245</f>
        <v>#REF!</v>
      </c>
    </row>
    <row r="245" spans="1:7" ht="47.25">
      <c r="A245" s="31" t="s">
        <v>196</v>
      </c>
      <c r="B245" s="77" t="s">
        <v>294</v>
      </c>
      <c r="C245" s="42" t="s">
        <v>283</v>
      </c>
      <c r="D245" s="42" t="s">
        <v>254</v>
      </c>
      <c r="E245" s="42"/>
      <c r="F245" s="42"/>
      <c r="G245" s="11" t="e">
        <f>G246</f>
        <v>#REF!</v>
      </c>
    </row>
    <row r="246" spans="1:7" ht="38.25" customHeight="1">
      <c r="A246" s="31" t="s">
        <v>287</v>
      </c>
      <c r="B246" s="77" t="s">
        <v>294</v>
      </c>
      <c r="C246" s="42" t="s">
        <v>283</v>
      </c>
      <c r="D246" s="42" t="s">
        <v>254</v>
      </c>
      <c r="E246" s="42" t="s">
        <v>288</v>
      </c>
      <c r="F246" s="42"/>
      <c r="G246" s="11" t="e">
        <f>G247</f>
        <v>#REF!</v>
      </c>
    </row>
    <row r="247" spans="1:7" ht="47.25">
      <c r="A247" s="31" t="s">
        <v>289</v>
      </c>
      <c r="B247" s="77" t="s">
        <v>294</v>
      </c>
      <c r="C247" s="42" t="s">
        <v>283</v>
      </c>
      <c r="D247" s="42" t="s">
        <v>254</v>
      </c>
      <c r="E247" s="42" t="s">
        <v>290</v>
      </c>
      <c r="F247" s="42"/>
      <c r="G247" s="11" t="e">
        <f>#REF!</f>
        <v>#REF!</v>
      </c>
    </row>
    <row r="248" spans="1:7" ht="31.5">
      <c r="A248" s="47" t="s">
        <v>187</v>
      </c>
      <c r="B248" s="77" t="s">
        <v>293</v>
      </c>
      <c r="C248" s="42" t="s">
        <v>283</v>
      </c>
      <c r="D248" s="42" t="s">
        <v>254</v>
      </c>
      <c r="E248" s="42"/>
      <c r="F248" s="42" t="s">
        <v>699</v>
      </c>
      <c r="G248" s="11" t="e">
        <f>G242</f>
        <v>#REF!</v>
      </c>
    </row>
    <row r="249" spans="1:7" ht="141.75">
      <c r="A249" s="43" t="s">
        <v>639</v>
      </c>
      <c r="B249" s="194" t="s">
        <v>207</v>
      </c>
      <c r="C249" s="8"/>
      <c r="D249" s="8"/>
      <c r="E249" s="8"/>
      <c r="F249" s="8"/>
      <c r="G249" s="68" t="e">
        <f>G250+G257+G264</f>
        <v>#REF!</v>
      </c>
    </row>
    <row r="250" spans="1:7" ht="110.25">
      <c r="A250" s="43" t="s">
        <v>208</v>
      </c>
      <c r="B250" s="194" t="s">
        <v>209</v>
      </c>
      <c r="C250" s="8"/>
      <c r="D250" s="8"/>
      <c r="E250" s="8"/>
      <c r="F250" s="8"/>
      <c r="G250" s="68" t="e">
        <f>G251</f>
        <v>#REF!</v>
      </c>
    </row>
    <row r="251" spans="1:7" ht="15.75">
      <c r="A251" s="47" t="s">
        <v>156</v>
      </c>
      <c r="B251" s="6" t="s">
        <v>209</v>
      </c>
      <c r="C251" s="42" t="s">
        <v>157</v>
      </c>
      <c r="D251" s="42"/>
      <c r="E251" s="42"/>
      <c r="F251" s="42"/>
      <c r="G251" s="11" t="e">
        <f>G252</f>
        <v>#REF!</v>
      </c>
    </row>
    <row r="252" spans="1:7" ht="33.75" customHeight="1">
      <c r="A252" s="78" t="s">
        <v>178</v>
      </c>
      <c r="B252" s="6" t="s">
        <v>209</v>
      </c>
      <c r="C252" s="42" t="s">
        <v>157</v>
      </c>
      <c r="D252" s="42" t="s">
        <v>179</v>
      </c>
      <c r="E252" s="42"/>
      <c r="F252" s="42"/>
      <c r="G252" s="11" t="e">
        <f>G253</f>
        <v>#REF!</v>
      </c>
    </row>
    <row r="253" spans="1:7" ht="47.25">
      <c r="A253" s="117" t="s">
        <v>210</v>
      </c>
      <c r="B253" s="6" t="s">
        <v>211</v>
      </c>
      <c r="C253" s="42" t="s">
        <v>157</v>
      </c>
      <c r="D253" s="42" t="s">
        <v>179</v>
      </c>
      <c r="E253" s="42"/>
      <c r="F253" s="42"/>
      <c r="G253" s="11" t="e">
        <f>G254</f>
        <v>#REF!</v>
      </c>
    </row>
    <row r="254" spans="1:7" ht="47.25">
      <c r="A254" s="31" t="s">
        <v>170</v>
      </c>
      <c r="B254" s="6" t="s">
        <v>211</v>
      </c>
      <c r="C254" s="42" t="s">
        <v>157</v>
      </c>
      <c r="D254" s="42" t="s">
        <v>179</v>
      </c>
      <c r="E254" s="42" t="s">
        <v>171</v>
      </c>
      <c r="F254" s="42"/>
      <c r="G254" s="11" t="e">
        <f>G255</f>
        <v>#REF!</v>
      </c>
    </row>
    <row r="255" spans="1:7" ht="47.25">
      <c r="A255" s="31" t="s">
        <v>172</v>
      </c>
      <c r="B255" s="6" t="s">
        <v>211</v>
      </c>
      <c r="C255" s="42" t="s">
        <v>157</v>
      </c>
      <c r="D255" s="42" t="s">
        <v>179</v>
      </c>
      <c r="E255" s="42" t="s">
        <v>173</v>
      </c>
      <c r="F255" s="42"/>
      <c r="G255" s="11" t="e">
        <f>#REF!</f>
        <v>#REF!</v>
      </c>
    </row>
    <row r="256" spans="1:7" ht="31.5">
      <c r="A256" s="31" t="s">
        <v>187</v>
      </c>
      <c r="B256" s="6" t="s">
        <v>209</v>
      </c>
      <c r="C256" s="42" t="s">
        <v>157</v>
      </c>
      <c r="D256" s="42" t="s">
        <v>179</v>
      </c>
      <c r="E256" s="42"/>
      <c r="F256" s="42" t="s">
        <v>699</v>
      </c>
      <c r="G256" s="7" t="e">
        <f>G250</f>
        <v>#REF!</v>
      </c>
    </row>
    <row r="257" spans="1:7" ht="94.5">
      <c r="A257" s="43" t="s">
        <v>212</v>
      </c>
      <c r="B257" s="194" t="s">
        <v>213</v>
      </c>
      <c r="C257" s="8"/>
      <c r="D257" s="8"/>
      <c r="E257" s="8"/>
      <c r="F257" s="8"/>
      <c r="G257" s="68" t="e">
        <f>G258</f>
        <v>#REF!</v>
      </c>
    </row>
    <row r="258" spans="1:7" ht="15.75">
      <c r="A258" s="47" t="s">
        <v>156</v>
      </c>
      <c r="B258" s="6" t="s">
        <v>213</v>
      </c>
      <c r="C258" s="42" t="s">
        <v>157</v>
      </c>
      <c r="D258" s="42"/>
      <c r="E258" s="42"/>
      <c r="F258" s="42"/>
      <c r="G258" s="7" t="e">
        <f>G259</f>
        <v>#REF!</v>
      </c>
    </row>
    <row r="259" spans="1:7" ht="31.5">
      <c r="A259" s="78" t="s">
        <v>178</v>
      </c>
      <c r="B259" s="6" t="s">
        <v>213</v>
      </c>
      <c r="C259" s="42" t="s">
        <v>157</v>
      </c>
      <c r="D259" s="42" t="s">
        <v>179</v>
      </c>
      <c r="E259" s="42"/>
      <c r="F259" s="42"/>
      <c r="G259" s="7" t="e">
        <f>G260</f>
        <v>#REF!</v>
      </c>
    </row>
    <row r="260" spans="1:7" ht="31.5">
      <c r="A260" s="47" t="s">
        <v>214</v>
      </c>
      <c r="B260" s="6" t="s">
        <v>215</v>
      </c>
      <c r="C260" s="10" t="s">
        <v>157</v>
      </c>
      <c r="D260" s="10" t="s">
        <v>179</v>
      </c>
      <c r="E260" s="10"/>
      <c r="F260" s="27"/>
      <c r="G260" s="27" t="e">
        <f>G261</f>
        <v>#REF!</v>
      </c>
    </row>
    <row r="261" spans="1:7" ht="47.25">
      <c r="A261" s="26" t="s">
        <v>170</v>
      </c>
      <c r="B261" s="6" t="s">
        <v>215</v>
      </c>
      <c r="C261" s="10" t="s">
        <v>157</v>
      </c>
      <c r="D261" s="10" t="s">
        <v>179</v>
      </c>
      <c r="E261" s="10" t="s">
        <v>171</v>
      </c>
      <c r="F261" s="27"/>
      <c r="G261" s="27" t="e">
        <f>G262</f>
        <v>#REF!</v>
      </c>
    </row>
    <row r="262" spans="1:7" ht="47.25">
      <c r="A262" s="26" t="s">
        <v>172</v>
      </c>
      <c r="B262" s="6" t="s">
        <v>215</v>
      </c>
      <c r="C262" s="10" t="s">
        <v>157</v>
      </c>
      <c r="D262" s="10" t="s">
        <v>179</v>
      </c>
      <c r="E262" s="10" t="s">
        <v>173</v>
      </c>
      <c r="F262" s="27"/>
      <c r="G262" s="27" t="e">
        <f>#REF!</f>
        <v>#REF!</v>
      </c>
    </row>
    <row r="263" spans="1:7" ht="31.5">
      <c r="A263" s="31" t="s">
        <v>187</v>
      </c>
      <c r="B263" s="6" t="s">
        <v>213</v>
      </c>
      <c r="C263" s="42" t="s">
        <v>157</v>
      </c>
      <c r="D263" s="42" t="s">
        <v>179</v>
      </c>
      <c r="E263" s="42"/>
      <c r="F263" s="42" t="s">
        <v>699</v>
      </c>
      <c r="G263" s="7" t="e">
        <f>G257</f>
        <v>#REF!</v>
      </c>
    </row>
    <row r="264" spans="1:7" ht="63">
      <c r="A264" s="24" t="s">
        <v>216</v>
      </c>
      <c r="B264" s="194" t="s">
        <v>217</v>
      </c>
      <c r="C264" s="8"/>
      <c r="D264" s="8"/>
      <c r="E264" s="8"/>
      <c r="F264" s="8"/>
      <c r="G264" s="68" t="e">
        <f>G265</f>
        <v>#REF!</v>
      </c>
    </row>
    <row r="265" spans="1:7" ht="15.75">
      <c r="A265" s="47" t="s">
        <v>156</v>
      </c>
      <c r="B265" s="6" t="s">
        <v>217</v>
      </c>
      <c r="C265" s="42" t="s">
        <v>157</v>
      </c>
      <c r="D265" s="42"/>
      <c r="E265" s="42"/>
      <c r="F265" s="42"/>
      <c r="G265" s="11" t="e">
        <f>G266</f>
        <v>#REF!</v>
      </c>
    </row>
    <row r="266" spans="1:7" ht="31.5">
      <c r="A266" s="78" t="s">
        <v>178</v>
      </c>
      <c r="B266" s="6" t="s">
        <v>217</v>
      </c>
      <c r="C266" s="42" t="s">
        <v>157</v>
      </c>
      <c r="D266" s="42" t="s">
        <v>179</v>
      </c>
      <c r="E266" s="42"/>
      <c r="F266" s="42"/>
      <c r="G266" s="11" t="e">
        <f>G267</f>
        <v>#REF!</v>
      </c>
    </row>
    <row r="267" spans="1:7" ht="32.25" customHeight="1">
      <c r="A267" s="47" t="s">
        <v>218</v>
      </c>
      <c r="B267" s="6" t="s">
        <v>219</v>
      </c>
      <c r="C267" s="42" t="s">
        <v>157</v>
      </c>
      <c r="D267" s="42" t="s">
        <v>179</v>
      </c>
      <c r="E267" s="42"/>
      <c r="F267" s="42"/>
      <c r="G267" s="11" t="e">
        <f>G268</f>
        <v>#REF!</v>
      </c>
    </row>
    <row r="268" spans="1:7" ht="47.25">
      <c r="A268" s="31" t="s">
        <v>170</v>
      </c>
      <c r="B268" s="6" t="s">
        <v>219</v>
      </c>
      <c r="C268" s="42" t="s">
        <v>157</v>
      </c>
      <c r="D268" s="42" t="s">
        <v>179</v>
      </c>
      <c r="E268" s="42" t="s">
        <v>171</v>
      </c>
      <c r="F268" s="42"/>
      <c r="G268" s="11" t="e">
        <f>G269</f>
        <v>#REF!</v>
      </c>
    </row>
    <row r="269" spans="1:7" ht="47.25">
      <c r="A269" s="31" t="s">
        <v>172</v>
      </c>
      <c r="B269" s="6" t="s">
        <v>219</v>
      </c>
      <c r="C269" s="42" t="s">
        <v>157</v>
      </c>
      <c r="D269" s="42" t="s">
        <v>179</v>
      </c>
      <c r="E269" s="42" t="s">
        <v>173</v>
      </c>
      <c r="F269" s="42"/>
      <c r="G269" s="11" t="e">
        <f>#REF!</f>
        <v>#REF!</v>
      </c>
    </row>
    <row r="270" spans="1:7" ht="31.5">
      <c r="A270" s="31" t="s">
        <v>187</v>
      </c>
      <c r="B270" s="6" t="s">
        <v>217</v>
      </c>
      <c r="C270" s="42" t="s">
        <v>157</v>
      </c>
      <c r="D270" s="42" t="s">
        <v>179</v>
      </c>
      <c r="E270" s="42"/>
      <c r="F270" s="42" t="s">
        <v>699</v>
      </c>
      <c r="G270" s="11" t="e">
        <f>G264</f>
        <v>#REF!</v>
      </c>
    </row>
    <row r="271" spans="1:7" ht="69" customHeight="1">
      <c r="A271" s="43" t="s">
        <v>521</v>
      </c>
      <c r="B271" s="3" t="s">
        <v>522</v>
      </c>
      <c r="C271" s="79"/>
      <c r="D271" s="79"/>
      <c r="E271" s="79"/>
      <c r="F271" s="79"/>
      <c r="G271" s="4" t="e">
        <f>G273+G294+G317</f>
        <v>#REF!</v>
      </c>
    </row>
    <row r="272" spans="1:7" ht="94.5">
      <c r="A272" s="43" t="s">
        <v>700</v>
      </c>
      <c r="B272" s="3" t="s">
        <v>524</v>
      </c>
      <c r="C272" s="80"/>
      <c r="D272" s="80"/>
      <c r="E272" s="80"/>
      <c r="F272" s="80"/>
      <c r="G272" s="68" t="e">
        <f>G273</f>
        <v>#REF!</v>
      </c>
    </row>
    <row r="273" spans="1:7" ht="15.75">
      <c r="A273" s="31" t="s">
        <v>302</v>
      </c>
      <c r="B273" s="42" t="s">
        <v>524</v>
      </c>
      <c r="C273" s="42" t="s">
        <v>303</v>
      </c>
      <c r="D273" s="79"/>
      <c r="E273" s="79"/>
      <c r="F273" s="79"/>
      <c r="G273" s="11" t="e">
        <f>G274</f>
        <v>#REF!</v>
      </c>
    </row>
    <row r="274" spans="1:7" ht="15.75">
      <c r="A274" s="31" t="s">
        <v>304</v>
      </c>
      <c r="B274" s="42" t="s">
        <v>524</v>
      </c>
      <c r="C274" s="42" t="s">
        <v>303</v>
      </c>
      <c r="D274" s="42" t="s">
        <v>254</v>
      </c>
      <c r="E274" s="79"/>
      <c r="F274" s="79"/>
      <c r="G274" s="11" t="e">
        <f>G275+G290</f>
        <v>#REF!</v>
      </c>
    </row>
    <row r="275" spans="1:7" ht="63">
      <c r="A275" s="31" t="s">
        <v>309</v>
      </c>
      <c r="B275" s="42" t="s">
        <v>525</v>
      </c>
      <c r="C275" s="42" t="s">
        <v>303</v>
      </c>
      <c r="D275" s="42" t="s">
        <v>254</v>
      </c>
      <c r="E275" s="79"/>
      <c r="F275" s="79"/>
      <c r="G275" s="11" t="e">
        <f>G276</f>
        <v>#REF!</v>
      </c>
    </row>
    <row r="276" spans="1:7" ht="63">
      <c r="A276" s="31" t="s">
        <v>311</v>
      </c>
      <c r="B276" s="42" t="s">
        <v>525</v>
      </c>
      <c r="C276" s="42" t="s">
        <v>303</v>
      </c>
      <c r="D276" s="42" t="s">
        <v>254</v>
      </c>
      <c r="E276" s="42" t="s">
        <v>312</v>
      </c>
      <c r="F276" s="79"/>
      <c r="G276" s="11" t="e">
        <f>G277</f>
        <v>#REF!</v>
      </c>
    </row>
    <row r="277" spans="1:7" ht="15.75">
      <c r="A277" s="31" t="s">
        <v>313</v>
      </c>
      <c r="B277" s="42" t="s">
        <v>525</v>
      </c>
      <c r="C277" s="42" t="s">
        <v>303</v>
      </c>
      <c r="D277" s="42" t="s">
        <v>254</v>
      </c>
      <c r="E277" s="42" t="s">
        <v>314</v>
      </c>
      <c r="F277" s="79"/>
      <c r="G277" s="11" t="e">
        <f>#REF!</f>
        <v>#REF!</v>
      </c>
    </row>
    <row r="278" spans="1:7" ht="78.75" customHeight="1" hidden="1">
      <c r="A278" s="31" t="s">
        <v>644</v>
      </c>
      <c r="B278" s="42" t="s">
        <v>701</v>
      </c>
      <c r="C278" s="42" t="s">
        <v>303</v>
      </c>
      <c r="D278" s="42" t="s">
        <v>254</v>
      </c>
      <c r="E278" s="42"/>
      <c r="F278" s="79"/>
      <c r="G278" s="11">
        <f>G279</f>
        <v>0</v>
      </c>
    </row>
    <row r="279" spans="1:7" ht="63" hidden="1">
      <c r="A279" s="31" t="s">
        <v>311</v>
      </c>
      <c r="B279" s="42" t="s">
        <v>701</v>
      </c>
      <c r="C279" s="42" t="s">
        <v>303</v>
      </c>
      <c r="D279" s="42" t="s">
        <v>254</v>
      </c>
      <c r="E279" s="42" t="s">
        <v>312</v>
      </c>
      <c r="F279" s="79"/>
      <c r="G279" s="11">
        <f>G280</f>
        <v>0</v>
      </c>
    </row>
    <row r="280" spans="1:7" ht="15.75" hidden="1">
      <c r="A280" s="31" t="s">
        <v>313</v>
      </c>
      <c r="B280" s="42" t="s">
        <v>701</v>
      </c>
      <c r="C280" s="42" t="s">
        <v>303</v>
      </c>
      <c r="D280" s="42" t="s">
        <v>254</v>
      </c>
      <c r="E280" s="42" t="s">
        <v>314</v>
      </c>
      <c r="F280" s="79"/>
      <c r="G280" s="11">
        <f>G281</f>
        <v>0</v>
      </c>
    </row>
    <row r="281" spans="1:7" ht="47.25" hidden="1">
      <c r="A281" s="48" t="s">
        <v>520</v>
      </c>
      <c r="B281" s="42" t="s">
        <v>701</v>
      </c>
      <c r="C281" s="42" t="s">
        <v>303</v>
      </c>
      <c r="D281" s="42" t="s">
        <v>254</v>
      </c>
      <c r="E281" s="42"/>
      <c r="F281" s="2">
        <v>907</v>
      </c>
      <c r="G281" s="11">
        <f>1500-1500</f>
        <v>0</v>
      </c>
    </row>
    <row r="282" spans="1:7" ht="47.25" hidden="1">
      <c r="A282" s="31" t="s">
        <v>317</v>
      </c>
      <c r="B282" s="42" t="s">
        <v>702</v>
      </c>
      <c r="C282" s="42" t="s">
        <v>303</v>
      </c>
      <c r="D282" s="42" t="s">
        <v>254</v>
      </c>
      <c r="E282" s="42"/>
      <c r="F282" s="79"/>
      <c r="G282" s="11">
        <f>G283</f>
        <v>0</v>
      </c>
    </row>
    <row r="283" spans="1:7" ht="63" hidden="1">
      <c r="A283" s="31" t="s">
        <v>311</v>
      </c>
      <c r="B283" s="42" t="s">
        <v>702</v>
      </c>
      <c r="C283" s="42" t="s">
        <v>303</v>
      </c>
      <c r="D283" s="42" t="s">
        <v>254</v>
      </c>
      <c r="E283" s="42" t="s">
        <v>312</v>
      </c>
      <c r="F283" s="79"/>
      <c r="G283" s="11">
        <f>G284</f>
        <v>0</v>
      </c>
    </row>
    <row r="284" spans="1:7" ht="15.75" hidden="1">
      <c r="A284" s="31" t="s">
        <v>313</v>
      </c>
      <c r="B284" s="42" t="s">
        <v>702</v>
      </c>
      <c r="C284" s="42" t="s">
        <v>303</v>
      </c>
      <c r="D284" s="42" t="s">
        <v>254</v>
      </c>
      <c r="E284" s="42" t="s">
        <v>314</v>
      </c>
      <c r="F284" s="79"/>
      <c r="G284" s="11"/>
    </row>
    <row r="285" spans="1:7" ht="47.25" hidden="1">
      <c r="A285" s="48" t="s">
        <v>520</v>
      </c>
      <c r="B285" s="42" t="s">
        <v>702</v>
      </c>
      <c r="C285" s="42" t="s">
        <v>303</v>
      </c>
      <c r="D285" s="42" t="s">
        <v>254</v>
      </c>
      <c r="E285" s="42"/>
      <c r="F285" s="2">
        <v>907</v>
      </c>
      <c r="G285" s="11">
        <v>0</v>
      </c>
    </row>
    <row r="286" spans="1:7" ht="31.5" hidden="1">
      <c r="A286" s="31" t="s">
        <v>319</v>
      </c>
      <c r="B286" s="42" t="s">
        <v>703</v>
      </c>
      <c r="C286" s="42" t="s">
        <v>303</v>
      </c>
      <c r="D286" s="42" t="s">
        <v>254</v>
      </c>
      <c r="E286" s="42"/>
      <c r="F286" s="79"/>
      <c r="G286" s="11">
        <f>G287</f>
        <v>0</v>
      </c>
    </row>
    <row r="287" spans="1:7" ht="63" hidden="1">
      <c r="A287" s="31" t="s">
        <v>311</v>
      </c>
      <c r="B287" s="42" t="s">
        <v>703</v>
      </c>
      <c r="C287" s="42" t="s">
        <v>303</v>
      </c>
      <c r="D287" s="42" t="s">
        <v>254</v>
      </c>
      <c r="E287" s="42" t="s">
        <v>312</v>
      </c>
      <c r="F287" s="79"/>
      <c r="G287" s="11">
        <f>G288</f>
        <v>0</v>
      </c>
    </row>
    <row r="288" spans="1:7" ht="15.75" hidden="1">
      <c r="A288" s="31" t="s">
        <v>313</v>
      </c>
      <c r="B288" s="42" t="s">
        <v>703</v>
      </c>
      <c r="C288" s="42" t="s">
        <v>303</v>
      </c>
      <c r="D288" s="42" t="s">
        <v>254</v>
      </c>
      <c r="E288" s="42" t="s">
        <v>314</v>
      </c>
      <c r="F288" s="79"/>
      <c r="G288" s="11"/>
    </row>
    <row r="289" spans="1:7" ht="47.25" hidden="1">
      <c r="A289" s="48" t="s">
        <v>520</v>
      </c>
      <c r="B289" s="42" t="s">
        <v>703</v>
      </c>
      <c r="C289" s="42" t="s">
        <v>303</v>
      </c>
      <c r="D289" s="42" t="s">
        <v>254</v>
      </c>
      <c r="E289" s="42"/>
      <c r="F289" s="2">
        <v>907</v>
      </c>
      <c r="G289" s="11">
        <v>0</v>
      </c>
    </row>
    <row r="290" spans="1:7" ht="47.25">
      <c r="A290" s="31" t="s">
        <v>321</v>
      </c>
      <c r="B290" s="42" t="s">
        <v>528</v>
      </c>
      <c r="C290" s="42" t="s">
        <v>303</v>
      </c>
      <c r="D290" s="42" t="s">
        <v>254</v>
      </c>
      <c r="E290" s="42"/>
      <c r="F290" s="79"/>
      <c r="G290" s="11" t="e">
        <f>G291</f>
        <v>#REF!</v>
      </c>
    </row>
    <row r="291" spans="1:7" ht="63">
      <c r="A291" s="31" t="s">
        <v>311</v>
      </c>
      <c r="B291" s="42" t="s">
        <v>528</v>
      </c>
      <c r="C291" s="42" t="s">
        <v>303</v>
      </c>
      <c r="D291" s="42" t="s">
        <v>254</v>
      </c>
      <c r="E291" s="42" t="s">
        <v>312</v>
      </c>
      <c r="F291" s="79"/>
      <c r="G291" s="11" t="e">
        <f>G292</f>
        <v>#REF!</v>
      </c>
    </row>
    <row r="292" spans="1:7" ht="15.75">
      <c r="A292" s="31" t="s">
        <v>313</v>
      </c>
      <c r="B292" s="42" t="s">
        <v>528</v>
      </c>
      <c r="C292" s="42" t="s">
        <v>303</v>
      </c>
      <c r="D292" s="42" t="s">
        <v>254</v>
      </c>
      <c r="E292" s="42" t="s">
        <v>314</v>
      </c>
      <c r="F292" s="79"/>
      <c r="G292" s="11" t="e">
        <f>#REF!</f>
        <v>#REF!</v>
      </c>
    </row>
    <row r="293" spans="1:7" ht="58.5" customHeight="1">
      <c r="A293" s="81" t="s">
        <v>520</v>
      </c>
      <c r="B293" s="42" t="s">
        <v>524</v>
      </c>
      <c r="C293" s="42" t="s">
        <v>303</v>
      </c>
      <c r="D293" s="42" t="s">
        <v>254</v>
      </c>
      <c r="E293" s="42"/>
      <c r="F293" s="2">
        <v>907</v>
      </c>
      <c r="G293" s="11" t="e">
        <f>G272</f>
        <v>#REF!</v>
      </c>
    </row>
    <row r="294" spans="1:7" ht="63">
      <c r="A294" s="64" t="s">
        <v>533</v>
      </c>
      <c r="B294" s="8" t="s">
        <v>534</v>
      </c>
      <c r="C294" s="8"/>
      <c r="D294" s="8"/>
      <c r="E294" s="8"/>
      <c r="F294" s="3"/>
      <c r="G294" s="68" t="e">
        <f>G295</f>
        <v>#REF!</v>
      </c>
    </row>
    <row r="295" spans="1:7" ht="15.75">
      <c r="A295" s="31" t="s">
        <v>530</v>
      </c>
      <c r="B295" s="42" t="s">
        <v>534</v>
      </c>
      <c r="C295" s="2">
        <v>11</v>
      </c>
      <c r="D295" s="79"/>
      <c r="E295" s="79"/>
      <c r="F295" s="79"/>
      <c r="G295" s="11" t="e">
        <f>G296</f>
        <v>#REF!</v>
      </c>
    </row>
    <row r="296" spans="1:7" ht="20.25" customHeight="1">
      <c r="A296" s="31" t="s">
        <v>532</v>
      </c>
      <c r="B296" s="42" t="s">
        <v>534</v>
      </c>
      <c r="C296" s="42" t="s">
        <v>531</v>
      </c>
      <c r="D296" s="42" t="s">
        <v>157</v>
      </c>
      <c r="E296" s="82"/>
      <c r="F296" s="6"/>
      <c r="G296" s="11" t="e">
        <f>G297+G301+G305+G309+G313</f>
        <v>#REF!</v>
      </c>
    </row>
    <row r="297" spans="1:7" ht="47.25">
      <c r="A297" s="31" t="s">
        <v>535</v>
      </c>
      <c r="B297" s="42" t="s">
        <v>536</v>
      </c>
      <c r="C297" s="42" t="s">
        <v>531</v>
      </c>
      <c r="D297" s="42" t="s">
        <v>157</v>
      </c>
      <c r="E297" s="82"/>
      <c r="F297" s="6"/>
      <c r="G297" s="11" t="e">
        <f>G298</f>
        <v>#REF!</v>
      </c>
    </row>
    <row r="298" spans="1:7" ht="65.25" customHeight="1">
      <c r="A298" s="31" t="s">
        <v>311</v>
      </c>
      <c r="B298" s="42" t="s">
        <v>536</v>
      </c>
      <c r="C298" s="42" t="s">
        <v>531</v>
      </c>
      <c r="D298" s="42" t="s">
        <v>157</v>
      </c>
      <c r="E298" s="42" t="s">
        <v>312</v>
      </c>
      <c r="F298" s="6"/>
      <c r="G298" s="11" t="e">
        <f>G299</f>
        <v>#REF!</v>
      </c>
    </row>
    <row r="299" spans="1:7" ht="15.75">
      <c r="A299" s="31" t="s">
        <v>313</v>
      </c>
      <c r="B299" s="42" t="s">
        <v>536</v>
      </c>
      <c r="C299" s="42" t="s">
        <v>531</v>
      </c>
      <c r="D299" s="42" t="s">
        <v>157</v>
      </c>
      <c r="E299" s="42" t="s">
        <v>314</v>
      </c>
      <c r="F299" s="6"/>
      <c r="G299" s="11" t="e">
        <f>#REF!</f>
        <v>#REF!</v>
      </c>
    </row>
    <row r="300" spans="1:7" ht="47.25" hidden="1">
      <c r="A300" s="48" t="s">
        <v>520</v>
      </c>
      <c r="B300" s="42" t="s">
        <v>534</v>
      </c>
      <c r="C300" s="42" t="s">
        <v>531</v>
      </c>
      <c r="D300" s="42" t="s">
        <v>157</v>
      </c>
      <c r="E300" s="42"/>
      <c r="F300" s="6">
        <v>907</v>
      </c>
      <c r="G300" s="11" t="e">
        <f>G294</f>
        <v>#REF!</v>
      </c>
    </row>
    <row r="301" spans="1:7" ht="63" hidden="1">
      <c r="A301" s="31" t="s">
        <v>644</v>
      </c>
      <c r="B301" s="42" t="s">
        <v>704</v>
      </c>
      <c r="C301" s="42" t="s">
        <v>531</v>
      </c>
      <c r="D301" s="42" t="s">
        <v>157</v>
      </c>
      <c r="E301" s="42"/>
      <c r="F301" s="6"/>
      <c r="G301" s="11">
        <f>G302</f>
        <v>0</v>
      </c>
    </row>
    <row r="302" spans="1:7" ht="63" hidden="1">
      <c r="A302" s="31" t="s">
        <v>311</v>
      </c>
      <c r="B302" s="42" t="s">
        <v>704</v>
      </c>
      <c r="C302" s="42" t="s">
        <v>531</v>
      </c>
      <c r="D302" s="42" t="s">
        <v>157</v>
      </c>
      <c r="E302" s="42" t="s">
        <v>312</v>
      </c>
      <c r="F302" s="6"/>
      <c r="G302" s="11">
        <f>G303</f>
        <v>0</v>
      </c>
    </row>
    <row r="303" spans="1:7" ht="15.75" hidden="1">
      <c r="A303" s="31" t="s">
        <v>313</v>
      </c>
      <c r="B303" s="42" t="s">
        <v>704</v>
      </c>
      <c r="C303" s="42" t="s">
        <v>531</v>
      </c>
      <c r="D303" s="42" t="s">
        <v>157</v>
      </c>
      <c r="E303" s="42" t="s">
        <v>314</v>
      </c>
      <c r="F303" s="6"/>
      <c r="G303" s="11">
        <f>G304</f>
        <v>0</v>
      </c>
    </row>
    <row r="304" spans="1:7" ht="47.25" hidden="1">
      <c r="A304" s="81" t="s">
        <v>520</v>
      </c>
      <c r="B304" s="42" t="s">
        <v>704</v>
      </c>
      <c r="C304" s="42" t="s">
        <v>531</v>
      </c>
      <c r="D304" s="42" t="s">
        <v>157</v>
      </c>
      <c r="E304" s="42"/>
      <c r="F304" s="6">
        <v>907</v>
      </c>
      <c r="G304" s="11">
        <f>1500-1500</f>
        <v>0</v>
      </c>
    </row>
    <row r="305" spans="1:7" ht="47.25">
      <c r="A305" s="31" t="s">
        <v>317</v>
      </c>
      <c r="B305" s="42" t="s">
        <v>537</v>
      </c>
      <c r="C305" s="42" t="s">
        <v>531</v>
      </c>
      <c r="D305" s="42" t="s">
        <v>157</v>
      </c>
      <c r="E305" s="42"/>
      <c r="F305" s="6"/>
      <c r="G305" s="11" t="e">
        <f>G306</f>
        <v>#REF!</v>
      </c>
    </row>
    <row r="306" spans="1:7" ht="63">
      <c r="A306" s="31" t="s">
        <v>311</v>
      </c>
      <c r="B306" s="42" t="s">
        <v>537</v>
      </c>
      <c r="C306" s="42" t="s">
        <v>531</v>
      </c>
      <c r="D306" s="42" t="s">
        <v>157</v>
      </c>
      <c r="E306" s="42" t="s">
        <v>312</v>
      </c>
      <c r="F306" s="6"/>
      <c r="G306" s="11" t="e">
        <f>G307</f>
        <v>#REF!</v>
      </c>
    </row>
    <row r="307" spans="1:8" ht="15.75">
      <c r="A307" s="31" t="s">
        <v>313</v>
      </c>
      <c r="B307" s="42" t="s">
        <v>537</v>
      </c>
      <c r="C307" s="42" t="s">
        <v>531</v>
      </c>
      <c r="D307" s="42" t="s">
        <v>157</v>
      </c>
      <c r="E307" s="42" t="s">
        <v>314</v>
      </c>
      <c r="F307" s="6"/>
      <c r="G307" s="178" t="e">
        <f>#REF!</f>
        <v>#REF!</v>
      </c>
      <c r="H307" s="179" t="s">
        <v>801</v>
      </c>
    </row>
    <row r="308" spans="1:7" ht="47.25">
      <c r="A308" s="48" t="s">
        <v>520</v>
      </c>
      <c r="B308" s="42" t="s">
        <v>534</v>
      </c>
      <c r="C308" s="42" t="s">
        <v>531</v>
      </c>
      <c r="D308" s="42" t="s">
        <v>157</v>
      </c>
      <c r="E308" s="42"/>
      <c r="F308" s="6">
        <v>907</v>
      </c>
      <c r="G308" s="11" t="e">
        <f>G299+G307</f>
        <v>#REF!</v>
      </c>
    </row>
    <row r="309" spans="1:7" ht="31.5" hidden="1">
      <c r="A309" s="31" t="s">
        <v>319</v>
      </c>
      <c r="B309" s="42" t="s">
        <v>705</v>
      </c>
      <c r="C309" s="42" t="s">
        <v>531</v>
      </c>
      <c r="D309" s="42" t="s">
        <v>157</v>
      </c>
      <c r="E309" s="42"/>
      <c r="F309" s="6"/>
      <c r="G309" s="11">
        <f>G310</f>
        <v>0</v>
      </c>
    </row>
    <row r="310" spans="1:7" ht="63" hidden="1">
      <c r="A310" s="31" t="s">
        <v>311</v>
      </c>
      <c r="B310" s="42" t="s">
        <v>705</v>
      </c>
      <c r="C310" s="42" t="s">
        <v>531</v>
      </c>
      <c r="D310" s="42" t="s">
        <v>157</v>
      </c>
      <c r="E310" s="42" t="s">
        <v>312</v>
      </c>
      <c r="F310" s="6"/>
      <c r="G310" s="11">
        <f>G311</f>
        <v>0</v>
      </c>
    </row>
    <row r="311" spans="1:7" ht="15.75" hidden="1">
      <c r="A311" s="31" t="s">
        <v>313</v>
      </c>
      <c r="B311" s="42" t="s">
        <v>705</v>
      </c>
      <c r="C311" s="42" t="s">
        <v>531</v>
      </c>
      <c r="D311" s="42" t="s">
        <v>157</v>
      </c>
      <c r="E311" s="42" t="s">
        <v>314</v>
      </c>
      <c r="F311" s="6"/>
      <c r="G311" s="11"/>
    </row>
    <row r="312" spans="1:7" ht="47.25" hidden="1">
      <c r="A312" s="48" t="s">
        <v>520</v>
      </c>
      <c r="B312" s="42" t="s">
        <v>705</v>
      </c>
      <c r="C312" s="42" t="s">
        <v>531</v>
      </c>
      <c r="D312" s="42" t="s">
        <v>157</v>
      </c>
      <c r="E312" s="42"/>
      <c r="F312" s="6">
        <v>907</v>
      </c>
      <c r="G312" s="11">
        <v>0</v>
      </c>
    </row>
    <row r="313" spans="1:7" ht="71.25" customHeight="1" hidden="1">
      <c r="A313" s="31" t="s">
        <v>323</v>
      </c>
      <c r="B313" s="42" t="s">
        <v>706</v>
      </c>
      <c r="C313" s="42" t="s">
        <v>531</v>
      </c>
      <c r="D313" s="42" t="s">
        <v>157</v>
      </c>
      <c r="E313" s="42"/>
      <c r="F313" s="6"/>
      <c r="G313" s="11">
        <f>G314</f>
        <v>0</v>
      </c>
    </row>
    <row r="314" spans="1:7" ht="63" hidden="1">
      <c r="A314" s="31" t="s">
        <v>311</v>
      </c>
      <c r="B314" s="42" t="s">
        <v>706</v>
      </c>
      <c r="C314" s="42" t="s">
        <v>531</v>
      </c>
      <c r="D314" s="42" t="s">
        <v>157</v>
      </c>
      <c r="E314" s="42" t="s">
        <v>312</v>
      </c>
      <c r="F314" s="6"/>
      <c r="G314" s="11">
        <f>G315</f>
        <v>0</v>
      </c>
    </row>
    <row r="315" spans="1:7" ht="15.75" hidden="1">
      <c r="A315" s="31" t="s">
        <v>313</v>
      </c>
      <c r="B315" s="42" t="s">
        <v>706</v>
      </c>
      <c r="C315" s="42" t="s">
        <v>531</v>
      </c>
      <c r="D315" s="42" t="s">
        <v>157</v>
      </c>
      <c r="E315" s="42" t="s">
        <v>314</v>
      </c>
      <c r="F315" s="6"/>
      <c r="G315" s="11"/>
    </row>
    <row r="316" spans="1:7" ht="47.25" hidden="1">
      <c r="A316" s="48" t="s">
        <v>520</v>
      </c>
      <c r="B316" s="42" t="s">
        <v>706</v>
      </c>
      <c r="C316" s="42" t="s">
        <v>531</v>
      </c>
      <c r="D316" s="42" t="s">
        <v>157</v>
      </c>
      <c r="E316" s="42"/>
      <c r="F316" s="6">
        <v>907</v>
      </c>
      <c r="G316" s="11">
        <v>0</v>
      </c>
    </row>
    <row r="317" spans="1:7" ht="63">
      <c r="A317" s="64" t="s">
        <v>541</v>
      </c>
      <c r="B317" s="8" t="s">
        <v>542</v>
      </c>
      <c r="C317" s="8"/>
      <c r="D317" s="8"/>
      <c r="E317" s="8"/>
      <c r="F317" s="194"/>
      <c r="G317" s="4" t="e">
        <f>G318</f>
        <v>#REF!</v>
      </c>
    </row>
    <row r="318" spans="1:7" ht="15.75">
      <c r="A318" s="31" t="s">
        <v>530</v>
      </c>
      <c r="B318" s="42" t="s">
        <v>542</v>
      </c>
      <c r="C318" s="2">
        <v>11</v>
      </c>
      <c r="D318" s="42"/>
      <c r="E318" s="42"/>
      <c r="F318" s="6"/>
      <c r="G318" s="7" t="e">
        <f>G319</f>
        <v>#REF!</v>
      </c>
    </row>
    <row r="319" spans="1:7" ht="31.5">
      <c r="A319" s="26" t="s">
        <v>540</v>
      </c>
      <c r="B319" s="42" t="s">
        <v>542</v>
      </c>
      <c r="C319" s="42" t="s">
        <v>531</v>
      </c>
      <c r="D319" s="42" t="s">
        <v>273</v>
      </c>
      <c r="E319" s="42"/>
      <c r="F319" s="6"/>
      <c r="G319" s="7" t="e">
        <f>G320</f>
        <v>#REF!</v>
      </c>
    </row>
    <row r="320" spans="1:7" ht="47.25">
      <c r="A320" s="31" t="s">
        <v>196</v>
      </c>
      <c r="B320" s="42" t="s">
        <v>543</v>
      </c>
      <c r="C320" s="42" t="s">
        <v>531</v>
      </c>
      <c r="D320" s="42" t="s">
        <v>273</v>
      </c>
      <c r="E320" s="42"/>
      <c r="F320" s="6"/>
      <c r="G320" s="7" t="e">
        <f>G323+G321</f>
        <v>#REF!</v>
      </c>
    </row>
    <row r="321" spans="1:7" ht="110.25">
      <c r="A321" s="26" t="s">
        <v>166</v>
      </c>
      <c r="B321" s="42" t="s">
        <v>543</v>
      </c>
      <c r="C321" s="42" t="s">
        <v>531</v>
      </c>
      <c r="D321" s="42" t="s">
        <v>273</v>
      </c>
      <c r="E321" s="42" t="s">
        <v>167</v>
      </c>
      <c r="F321" s="6"/>
      <c r="G321" s="7" t="e">
        <f>G322</f>
        <v>#REF!</v>
      </c>
    </row>
    <row r="322" spans="1:7" ht="55.5" customHeight="1">
      <c r="A322" s="26" t="s">
        <v>168</v>
      </c>
      <c r="B322" s="42" t="s">
        <v>543</v>
      </c>
      <c r="C322" s="42" t="s">
        <v>531</v>
      </c>
      <c r="D322" s="42" t="s">
        <v>273</v>
      </c>
      <c r="E322" s="42" t="s">
        <v>169</v>
      </c>
      <c r="F322" s="6"/>
      <c r="G322" s="7" t="e">
        <f>#REF!</f>
        <v>#REF!</v>
      </c>
    </row>
    <row r="323" spans="1:7" ht="47.25">
      <c r="A323" s="31" t="s">
        <v>170</v>
      </c>
      <c r="B323" s="42" t="s">
        <v>543</v>
      </c>
      <c r="C323" s="42" t="s">
        <v>531</v>
      </c>
      <c r="D323" s="42" t="s">
        <v>273</v>
      </c>
      <c r="E323" s="42" t="s">
        <v>171</v>
      </c>
      <c r="F323" s="6"/>
      <c r="G323" s="7" t="e">
        <f>G324</f>
        <v>#REF!</v>
      </c>
    </row>
    <row r="324" spans="1:7" ht="47.25">
      <c r="A324" s="31" t="s">
        <v>172</v>
      </c>
      <c r="B324" s="42" t="s">
        <v>543</v>
      </c>
      <c r="C324" s="42" t="s">
        <v>531</v>
      </c>
      <c r="D324" s="42" t="s">
        <v>273</v>
      </c>
      <c r="E324" s="42" t="s">
        <v>173</v>
      </c>
      <c r="F324" s="6"/>
      <c r="G324" s="7" t="e">
        <f>#REF!</f>
        <v>#REF!</v>
      </c>
    </row>
    <row r="325" spans="1:7" ht="47.25">
      <c r="A325" s="81" t="s">
        <v>520</v>
      </c>
      <c r="B325" s="42" t="s">
        <v>542</v>
      </c>
      <c r="C325" s="42" t="s">
        <v>531</v>
      </c>
      <c r="D325" s="42" t="s">
        <v>273</v>
      </c>
      <c r="E325" s="42"/>
      <c r="F325" s="6">
        <v>907</v>
      </c>
      <c r="G325" s="11" t="e">
        <f>G317</f>
        <v>#REF!</v>
      </c>
    </row>
    <row r="326" spans="1:7" ht="63">
      <c r="A326" s="43" t="s">
        <v>305</v>
      </c>
      <c r="B326" s="8" t="s">
        <v>306</v>
      </c>
      <c r="C326" s="83"/>
      <c r="D326" s="83"/>
      <c r="E326" s="83"/>
      <c r="F326" s="3"/>
      <c r="G326" s="68" t="e">
        <f>G327+G353+G374</f>
        <v>#REF!</v>
      </c>
    </row>
    <row r="327" spans="1:7" ht="78.75">
      <c r="A327" s="43" t="s">
        <v>307</v>
      </c>
      <c r="B327" s="8" t="s">
        <v>308</v>
      </c>
      <c r="C327" s="83"/>
      <c r="D327" s="83"/>
      <c r="E327" s="83"/>
      <c r="F327" s="3"/>
      <c r="G327" s="68" t="e">
        <f>G328</f>
        <v>#REF!</v>
      </c>
    </row>
    <row r="328" spans="1:7" ht="15.75">
      <c r="A328" s="31" t="s">
        <v>302</v>
      </c>
      <c r="B328" s="42" t="s">
        <v>308</v>
      </c>
      <c r="C328" s="42" t="s">
        <v>303</v>
      </c>
      <c r="D328" s="83"/>
      <c r="E328" s="83"/>
      <c r="F328" s="3"/>
      <c r="G328" s="11" t="e">
        <f>G329</f>
        <v>#REF!</v>
      </c>
    </row>
    <row r="329" spans="1:7" ht="15.75">
      <c r="A329" s="31" t="s">
        <v>465</v>
      </c>
      <c r="B329" s="42" t="s">
        <v>308</v>
      </c>
      <c r="C329" s="42" t="s">
        <v>303</v>
      </c>
      <c r="D329" s="42" t="s">
        <v>254</v>
      </c>
      <c r="E329" s="83"/>
      <c r="F329" s="3"/>
      <c r="G329" s="11" t="e">
        <f>G330+G345</f>
        <v>#REF!</v>
      </c>
    </row>
    <row r="330" spans="1:7" ht="63">
      <c r="A330" s="31" t="s">
        <v>309</v>
      </c>
      <c r="B330" s="42" t="s">
        <v>310</v>
      </c>
      <c r="C330" s="42" t="s">
        <v>303</v>
      </c>
      <c r="D330" s="42" t="s">
        <v>254</v>
      </c>
      <c r="E330" s="83"/>
      <c r="F330" s="3"/>
      <c r="G330" s="11" t="e">
        <f>G331</f>
        <v>#REF!</v>
      </c>
    </row>
    <row r="331" spans="1:7" ht="63">
      <c r="A331" s="31" t="s">
        <v>311</v>
      </c>
      <c r="B331" s="42" t="s">
        <v>310</v>
      </c>
      <c r="C331" s="42" t="s">
        <v>303</v>
      </c>
      <c r="D331" s="42" t="s">
        <v>254</v>
      </c>
      <c r="E331" s="42" t="s">
        <v>312</v>
      </c>
      <c r="F331" s="3"/>
      <c r="G331" s="11" t="e">
        <f>G332</f>
        <v>#REF!</v>
      </c>
    </row>
    <row r="332" spans="1:7" ht="15.75">
      <c r="A332" s="31" t="s">
        <v>313</v>
      </c>
      <c r="B332" s="42" t="s">
        <v>310</v>
      </c>
      <c r="C332" s="42" t="s">
        <v>303</v>
      </c>
      <c r="D332" s="42" t="s">
        <v>254</v>
      </c>
      <c r="E332" s="42" t="s">
        <v>314</v>
      </c>
      <c r="F332" s="3"/>
      <c r="G332" s="7" t="e">
        <f>#REF!</f>
        <v>#REF!</v>
      </c>
    </row>
    <row r="333" spans="1:7" ht="63" hidden="1">
      <c r="A333" s="31" t="s">
        <v>315</v>
      </c>
      <c r="B333" s="42" t="s">
        <v>707</v>
      </c>
      <c r="C333" s="42" t="s">
        <v>303</v>
      </c>
      <c r="D333" s="42" t="s">
        <v>254</v>
      </c>
      <c r="E333" s="42"/>
      <c r="F333" s="3"/>
      <c r="G333" s="11">
        <f>G334</f>
        <v>0</v>
      </c>
    </row>
    <row r="334" spans="1:7" ht="63" hidden="1">
      <c r="A334" s="31" t="s">
        <v>311</v>
      </c>
      <c r="B334" s="42" t="s">
        <v>707</v>
      </c>
      <c r="C334" s="42" t="s">
        <v>303</v>
      </c>
      <c r="D334" s="42" t="s">
        <v>254</v>
      </c>
      <c r="E334" s="42" t="s">
        <v>312</v>
      </c>
      <c r="F334" s="3"/>
      <c r="G334" s="11">
        <f>G335</f>
        <v>0</v>
      </c>
    </row>
    <row r="335" spans="1:7" ht="15.75" hidden="1">
      <c r="A335" s="31" t="s">
        <v>313</v>
      </c>
      <c r="B335" s="42" t="s">
        <v>707</v>
      </c>
      <c r="C335" s="42" t="s">
        <v>303</v>
      </c>
      <c r="D335" s="42" t="s">
        <v>254</v>
      </c>
      <c r="E335" s="42" t="s">
        <v>314</v>
      </c>
      <c r="F335" s="3"/>
      <c r="G335" s="11"/>
    </row>
    <row r="336" spans="1:7" ht="63" hidden="1">
      <c r="A336" s="47" t="s">
        <v>300</v>
      </c>
      <c r="B336" s="42" t="s">
        <v>707</v>
      </c>
      <c r="C336" s="42" t="s">
        <v>303</v>
      </c>
      <c r="D336" s="42" t="s">
        <v>254</v>
      </c>
      <c r="E336" s="42"/>
      <c r="F336" s="2">
        <v>903</v>
      </c>
      <c r="G336" s="11">
        <v>0</v>
      </c>
    </row>
    <row r="337" spans="1:7" ht="47.25" hidden="1">
      <c r="A337" s="31" t="s">
        <v>317</v>
      </c>
      <c r="B337" s="42" t="s">
        <v>708</v>
      </c>
      <c r="C337" s="42" t="s">
        <v>303</v>
      </c>
      <c r="D337" s="42" t="s">
        <v>254</v>
      </c>
      <c r="E337" s="42"/>
      <c r="F337" s="3"/>
      <c r="G337" s="11">
        <f>G338</f>
        <v>0</v>
      </c>
    </row>
    <row r="338" spans="1:7" ht="63" hidden="1">
      <c r="A338" s="31" t="s">
        <v>311</v>
      </c>
      <c r="B338" s="42" t="s">
        <v>708</v>
      </c>
      <c r="C338" s="42" t="s">
        <v>303</v>
      </c>
      <c r="D338" s="42" t="s">
        <v>254</v>
      </c>
      <c r="E338" s="42" t="s">
        <v>312</v>
      </c>
      <c r="F338" s="3"/>
      <c r="G338" s="11">
        <f>G339</f>
        <v>0</v>
      </c>
    </row>
    <row r="339" spans="1:7" ht="15.75" hidden="1">
      <c r="A339" s="31" t="s">
        <v>313</v>
      </c>
      <c r="B339" s="42" t="s">
        <v>708</v>
      </c>
      <c r="C339" s="42" t="s">
        <v>303</v>
      </c>
      <c r="D339" s="42" t="s">
        <v>254</v>
      </c>
      <c r="E339" s="42" t="s">
        <v>314</v>
      </c>
      <c r="F339" s="3"/>
      <c r="G339" s="11"/>
    </row>
    <row r="340" spans="1:7" ht="63" hidden="1">
      <c r="A340" s="47" t="s">
        <v>300</v>
      </c>
      <c r="B340" s="42" t="s">
        <v>708</v>
      </c>
      <c r="C340" s="42" t="s">
        <v>303</v>
      </c>
      <c r="D340" s="42" t="s">
        <v>254</v>
      </c>
      <c r="E340" s="42"/>
      <c r="F340" s="2">
        <v>903</v>
      </c>
      <c r="G340" s="11">
        <v>0</v>
      </c>
    </row>
    <row r="341" spans="1:7" ht="31.5" hidden="1">
      <c r="A341" s="31" t="s">
        <v>319</v>
      </c>
      <c r="B341" s="42" t="s">
        <v>709</v>
      </c>
      <c r="C341" s="42" t="s">
        <v>303</v>
      </c>
      <c r="D341" s="42" t="s">
        <v>254</v>
      </c>
      <c r="E341" s="42"/>
      <c r="F341" s="3"/>
      <c r="G341" s="11">
        <f>G342</f>
        <v>0</v>
      </c>
    </row>
    <row r="342" spans="1:7" ht="69" customHeight="1" hidden="1">
      <c r="A342" s="31" t="s">
        <v>311</v>
      </c>
      <c r="B342" s="42" t="s">
        <v>709</v>
      </c>
      <c r="C342" s="42" t="s">
        <v>303</v>
      </c>
      <c r="D342" s="42" t="s">
        <v>254</v>
      </c>
      <c r="E342" s="42" t="s">
        <v>312</v>
      </c>
      <c r="F342" s="3"/>
      <c r="G342" s="11">
        <f>G343</f>
        <v>0</v>
      </c>
    </row>
    <row r="343" spans="1:7" ht="15.75" hidden="1">
      <c r="A343" s="31" t="s">
        <v>313</v>
      </c>
      <c r="B343" s="42" t="s">
        <v>709</v>
      </c>
      <c r="C343" s="42" t="s">
        <v>303</v>
      </c>
      <c r="D343" s="42" t="s">
        <v>254</v>
      </c>
      <c r="E343" s="42" t="s">
        <v>314</v>
      </c>
      <c r="F343" s="3"/>
      <c r="G343" s="11"/>
    </row>
    <row r="344" spans="1:7" ht="63" hidden="1">
      <c r="A344" s="47" t="s">
        <v>300</v>
      </c>
      <c r="B344" s="42" t="s">
        <v>709</v>
      </c>
      <c r="C344" s="42" t="s">
        <v>303</v>
      </c>
      <c r="D344" s="42" t="s">
        <v>254</v>
      </c>
      <c r="E344" s="42"/>
      <c r="F344" s="2">
        <v>903</v>
      </c>
      <c r="G344" s="11">
        <v>0</v>
      </c>
    </row>
    <row r="345" spans="1:7" ht="47.25">
      <c r="A345" s="31" t="s">
        <v>321</v>
      </c>
      <c r="B345" s="42" t="s">
        <v>322</v>
      </c>
      <c r="C345" s="42" t="s">
        <v>303</v>
      </c>
      <c r="D345" s="42" t="s">
        <v>254</v>
      </c>
      <c r="E345" s="42"/>
      <c r="F345" s="3"/>
      <c r="G345" s="11" t="e">
        <f>G346</f>
        <v>#REF!</v>
      </c>
    </row>
    <row r="346" spans="1:7" ht="63">
      <c r="A346" s="31" t="s">
        <v>311</v>
      </c>
      <c r="B346" s="42" t="s">
        <v>322</v>
      </c>
      <c r="C346" s="42" t="s">
        <v>303</v>
      </c>
      <c r="D346" s="42" t="s">
        <v>254</v>
      </c>
      <c r="E346" s="42" t="s">
        <v>312</v>
      </c>
      <c r="F346" s="3"/>
      <c r="G346" s="11" t="e">
        <f>G347</f>
        <v>#REF!</v>
      </c>
    </row>
    <row r="347" spans="1:7" ht="15.75">
      <c r="A347" s="31" t="s">
        <v>313</v>
      </c>
      <c r="B347" s="42" t="s">
        <v>322</v>
      </c>
      <c r="C347" s="42" t="s">
        <v>303</v>
      </c>
      <c r="D347" s="42" t="s">
        <v>254</v>
      </c>
      <c r="E347" s="42" t="s">
        <v>314</v>
      </c>
      <c r="F347" s="3"/>
      <c r="G347" s="7" t="e">
        <f>#REF!</f>
        <v>#REF!</v>
      </c>
    </row>
    <row r="348" spans="1:7" ht="63">
      <c r="A348" s="47" t="s">
        <v>300</v>
      </c>
      <c r="B348" s="42" t="s">
        <v>308</v>
      </c>
      <c r="C348" s="42" t="s">
        <v>303</v>
      </c>
      <c r="D348" s="42" t="s">
        <v>254</v>
      </c>
      <c r="E348" s="42"/>
      <c r="F348" s="2">
        <v>903</v>
      </c>
      <c r="G348" s="11" t="e">
        <f>G327</f>
        <v>#REF!</v>
      </c>
    </row>
    <row r="349" spans="1:7" ht="47.25" hidden="1">
      <c r="A349" s="31" t="s">
        <v>657</v>
      </c>
      <c r="B349" s="42" t="s">
        <v>658</v>
      </c>
      <c r="C349" s="42" t="s">
        <v>303</v>
      </c>
      <c r="D349" s="42" t="s">
        <v>252</v>
      </c>
      <c r="E349" s="42"/>
      <c r="F349" s="3"/>
      <c r="G349" s="11">
        <f>G350</f>
        <v>0</v>
      </c>
    </row>
    <row r="350" spans="1:7" ht="63" hidden="1">
      <c r="A350" s="31" t="s">
        <v>311</v>
      </c>
      <c r="B350" s="42" t="s">
        <v>658</v>
      </c>
      <c r="C350" s="42" t="s">
        <v>303</v>
      </c>
      <c r="D350" s="42" t="s">
        <v>252</v>
      </c>
      <c r="E350" s="42" t="s">
        <v>312</v>
      </c>
      <c r="F350" s="3"/>
      <c r="G350" s="11">
        <f>G351</f>
        <v>0</v>
      </c>
    </row>
    <row r="351" spans="1:7" ht="15.75" hidden="1">
      <c r="A351" s="31" t="s">
        <v>313</v>
      </c>
      <c r="B351" s="42" t="s">
        <v>658</v>
      </c>
      <c r="C351" s="42" t="s">
        <v>303</v>
      </c>
      <c r="D351" s="42" t="s">
        <v>252</v>
      </c>
      <c r="E351" s="42" t="s">
        <v>314</v>
      </c>
      <c r="F351" s="3"/>
      <c r="G351" s="11"/>
    </row>
    <row r="352" spans="1:7" ht="63" hidden="1">
      <c r="A352" s="47" t="s">
        <v>300</v>
      </c>
      <c r="B352" s="42" t="s">
        <v>658</v>
      </c>
      <c r="C352" s="42" t="s">
        <v>303</v>
      </c>
      <c r="D352" s="42" t="s">
        <v>252</v>
      </c>
      <c r="E352" s="83"/>
      <c r="F352" s="2">
        <v>903</v>
      </c>
      <c r="G352" s="11">
        <v>0</v>
      </c>
    </row>
    <row r="353" spans="1:7" ht="79.5" customHeight="1">
      <c r="A353" s="43" t="s">
        <v>340</v>
      </c>
      <c r="B353" s="8" t="s">
        <v>341</v>
      </c>
      <c r="C353" s="8"/>
      <c r="D353" s="8"/>
      <c r="E353" s="83"/>
      <c r="F353" s="3"/>
      <c r="G353" s="68" t="e">
        <f>G354</f>
        <v>#REF!</v>
      </c>
    </row>
    <row r="354" spans="1:7" ht="15.75">
      <c r="A354" s="84" t="s">
        <v>337</v>
      </c>
      <c r="B354" s="42" t="s">
        <v>341</v>
      </c>
      <c r="C354" s="42" t="s">
        <v>338</v>
      </c>
      <c r="D354" s="84"/>
      <c r="E354" s="84"/>
      <c r="F354" s="2"/>
      <c r="G354" s="11" t="e">
        <f>G355</f>
        <v>#REF!</v>
      </c>
    </row>
    <row r="355" spans="1:7" ht="15.75">
      <c r="A355" s="84" t="s">
        <v>339</v>
      </c>
      <c r="B355" s="42" t="s">
        <v>341</v>
      </c>
      <c r="C355" s="42" t="s">
        <v>338</v>
      </c>
      <c r="D355" s="42" t="s">
        <v>157</v>
      </c>
      <c r="E355" s="84"/>
      <c r="F355" s="2"/>
      <c r="G355" s="11" t="e">
        <f>G356+G363+G366</f>
        <v>#REF!</v>
      </c>
    </row>
    <row r="356" spans="1:7" ht="63">
      <c r="A356" s="31" t="s">
        <v>342</v>
      </c>
      <c r="B356" s="42" t="s">
        <v>343</v>
      </c>
      <c r="C356" s="42" t="s">
        <v>338</v>
      </c>
      <c r="D356" s="42" t="s">
        <v>157</v>
      </c>
      <c r="E356" s="84"/>
      <c r="F356" s="2"/>
      <c r="G356" s="11" t="e">
        <f>G357</f>
        <v>#REF!</v>
      </c>
    </row>
    <row r="357" spans="1:7" ht="63">
      <c r="A357" s="31" t="s">
        <v>311</v>
      </c>
      <c r="B357" s="42" t="s">
        <v>343</v>
      </c>
      <c r="C357" s="42" t="s">
        <v>338</v>
      </c>
      <c r="D357" s="42" t="s">
        <v>157</v>
      </c>
      <c r="E357" s="42" t="s">
        <v>312</v>
      </c>
      <c r="F357" s="2"/>
      <c r="G357" s="11" t="e">
        <f>G358</f>
        <v>#REF!</v>
      </c>
    </row>
    <row r="358" spans="1:7" ht="15.75">
      <c r="A358" s="31" t="s">
        <v>313</v>
      </c>
      <c r="B358" s="42" t="s">
        <v>343</v>
      </c>
      <c r="C358" s="42" t="s">
        <v>338</v>
      </c>
      <c r="D358" s="42" t="s">
        <v>157</v>
      </c>
      <c r="E358" s="42" t="s">
        <v>314</v>
      </c>
      <c r="F358" s="2"/>
      <c r="G358" s="11" t="e">
        <f>#REF!</f>
        <v>#REF!</v>
      </c>
    </row>
    <row r="359" spans="1:7" ht="63" hidden="1">
      <c r="A359" s="31" t="s">
        <v>315</v>
      </c>
      <c r="B359" s="42" t="s">
        <v>662</v>
      </c>
      <c r="C359" s="42" t="s">
        <v>338</v>
      </c>
      <c r="D359" s="42" t="s">
        <v>157</v>
      </c>
      <c r="E359" s="42"/>
      <c r="F359" s="2"/>
      <c r="G359" s="11">
        <f>G360</f>
        <v>0</v>
      </c>
    </row>
    <row r="360" spans="1:7" ht="63" hidden="1">
      <c r="A360" s="31" t="s">
        <v>311</v>
      </c>
      <c r="B360" s="42" t="s">
        <v>662</v>
      </c>
      <c r="C360" s="42" t="s">
        <v>338</v>
      </c>
      <c r="D360" s="42" t="s">
        <v>157</v>
      </c>
      <c r="E360" s="42" t="s">
        <v>312</v>
      </c>
      <c r="F360" s="2"/>
      <c r="G360" s="11">
        <f>G361</f>
        <v>0</v>
      </c>
    </row>
    <row r="361" spans="1:7" ht="15.75" hidden="1">
      <c r="A361" s="31" t="s">
        <v>313</v>
      </c>
      <c r="B361" s="42" t="s">
        <v>662</v>
      </c>
      <c r="C361" s="42" t="s">
        <v>338</v>
      </c>
      <c r="D361" s="42" t="s">
        <v>157</v>
      </c>
      <c r="E361" s="42" t="s">
        <v>314</v>
      </c>
      <c r="F361" s="2"/>
      <c r="G361" s="11"/>
    </row>
    <row r="362" spans="1:7" ht="63" hidden="1">
      <c r="A362" s="47" t="s">
        <v>300</v>
      </c>
      <c r="B362" s="42" t="s">
        <v>662</v>
      </c>
      <c r="C362" s="42" t="s">
        <v>338</v>
      </c>
      <c r="D362" s="42" t="s">
        <v>157</v>
      </c>
      <c r="E362" s="42"/>
      <c r="F362" s="2">
        <v>903</v>
      </c>
      <c r="G362" s="11">
        <v>0</v>
      </c>
    </row>
    <row r="363" spans="1:7" ht="31.5">
      <c r="A363" s="31" t="s">
        <v>664</v>
      </c>
      <c r="B363" s="42" t="s">
        <v>345</v>
      </c>
      <c r="C363" s="42" t="s">
        <v>338</v>
      </c>
      <c r="D363" s="42" t="s">
        <v>157</v>
      </c>
      <c r="E363" s="42"/>
      <c r="F363" s="2"/>
      <c r="G363" s="11" t="e">
        <f>G364</f>
        <v>#REF!</v>
      </c>
    </row>
    <row r="364" spans="1:7" ht="71.25" customHeight="1">
      <c r="A364" s="31" t="s">
        <v>311</v>
      </c>
      <c r="B364" s="42" t="s">
        <v>345</v>
      </c>
      <c r="C364" s="42" t="s">
        <v>338</v>
      </c>
      <c r="D364" s="42" t="s">
        <v>157</v>
      </c>
      <c r="E364" s="42" t="s">
        <v>312</v>
      </c>
      <c r="F364" s="2"/>
      <c r="G364" s="11" t="e">
        <f>G365</f>
        <v>#REF!</v>
      </c>
    </row>
    <row r="365" spans="1:7" ht="15.75">
      <c r="A365" s="31" t="s">
        <v>313</v>
      </c>
      <c r="B365" s="42" t="s">
        <v>345</v>
      </c>
      <c r="C365" s="42" t="s">
        <v>338</v>
      </c>
      <c r="D365" s="42" t="s">
        <v>157</v>
      </c>
      <c r="E365" s="42" t="s">
        <v>314</v>
      </c>
      <c r="F365" s="2"/>
      <c r="G365" s="11" t="e">
        <f>#REF!</f>
        <v>#REF!</v>
      </c>
    </row>
    <row r="366" spans="1:7" ht="31.5">
      <c r="A366" s="31" t="s">
        <v>346</v>
      </c>
      <c r="B366" s="42" t="s">
        <v>347</v>
      </c>
      <c r="C366" s="42" t="s">
        <v>338</v>
      </c>
      <c r="D366" s="42" t="s">
        <v>157</v>
      </c>
      <c r="E366" s="42"/>
      <c r="F366" s="2"/>
      <c r="G366" s="11" t="e">
        <f>G367</f>
        <v>#REF!</v>
      </c>
    </row>
    <row r="367" spans="1:7" ht="63">
      <c r="A367" s="31" t="s">
        <v>311</v>
      </c>
      <c r="B367" s="42" t="s">
        <v>347</v>
      </c>
      <c r="C367" s="42" t="s">
        <v>338</v>
      </c>
      <c r="D367" s="42" t="s">
        <v>157</v>
      </c>
      <c r="E367" s="42" t="s">
        <v>312</v>
      </c>
      <c r="F367" s="2"/>
      <c r="G367" s="11" t="e">
        <f>G368</f>
        <v>#REF!</v>
      </c>
    </row>
    <row r="368" spans="1:7" ht="15.75">
      <c r="A368" s="31" t="s">
        <v>313</v>
      </c>
      <c r="B368" s="42" t="s">
        <v>347</v>
      </c>
      <c r="C368" s="42" t="s">
        <v>338</v>
      </c>
      <c r="D368" s="42" t="s">
        <v>157</v>
      </c>
      <c r="E368" s="42" t="s">
        <v>314</v>
      </c>
      <c r="F368" s="2"/>
      <c r="G368" s="11" t="e">
        <f>#REF!</f>
        <v>#REF!</v>
      </c>
    </row>
    <row r="369" spans="1:7" ht="63">
      <c r="A369" s="47" t="s">
        <v>300</v>
      </c>
      <c r="B369" s="42" t="s">
        <v>341</v>
      </c>
      <c r="C369" s="42" t="s">
        <v>338</v>
      </c>
      <c r="D369" s="42" t="s">
        <v>157</v>
      </c>
      <c r="E369" s="42"/>
      <c r="F369" s="2">
        <v>903</v>
      </c>
      <c r="G369" s="11" t="e">
        <f>G353</f>
        <v>#REF!</v>
      </c>
    </row>
    <row r="370" spans="1:7" ht="31.5" hidden="1">
      <c r="A370" s="31" t="s">
        <v>323</v>
      </c>
      <c r="B370" s="42" t="s">
        <v>663</v>
      </c>
      <c r="C370" s="42" t="s">
        <v>338</v>
      </c>
      <c r="D370" s="42" t="s">
        <v>157</v>
      </c>
      <c r="E370" s="42"/>
      <c r="F370" s="2"/>
      <c r="G370" s="11">
        <f>G371</f>
        <v>0</v>
      </c>
    </row>
    <row r="371" spans="1:7" ht="63" hidden="1">
      <c r="A371" s="31" t="s">
        <v>311</v>
      </c>
      <c r="B371" s="42" t="s">
        <v>663</v>
      </c>
      <c r="C371" s="42" t="s">
        <v>338</v>
      </c>
      <c r="D371" s="42" t="s">
        <v>157</v>
      </c>
      <c r="E371" s="42" t="s">
        <v>312</v>
      </c>
      <c r="F371" s="2"/>
      <c r="G371" s="11">
        <f>G372</f>
        <v>0</v>
      </c>
    </row>
    <row r="372" spans="1:7" ht="15.75" hidden="1">
      <c r="A372" s="31" t="s">
        <v>313</v>
      </c>
      <c r="B372" s="42" t="s">
        <v>663</v>
      </c>
      <c r="C372" s="42" t="s">
        <v>338</v>
      </c>
      <c r="D372" s="42" t="s">
        <v>157</v>
      </c>
      <c r="E372" s="42" t="s">
        <v>314</v>
      </c>
      <c r="F372" s="2"/>
      <c r="G372" s="11"/>
    </row>
    <row r="373" spans="1:7" ht="63" hidden="1">
      <c r="A373" s="47" t="s">
        <v>300</v>
      </c>
      <c r="B373" s="42" t="s">
        <v>663</v>
      </c>
      <c r="C373" s="42" t="s">
        <v>338</v>
      </c>
      <c r="D373" s="42" t="s">
        <v>157</v>
      </c>
      <c r="E373" s="42"/>
      <c r="F373" s="2">
        <v>903</v>
      </c>
      <c r="G373" s="11">
        <v>0</v>
      </c>
    </row>
    <row r="374" spans="1:7" ht="63">
      <c r="A374" s="43" t="s">
        <v>351</v>
      </c>
      <c r="B374" s="8" t="s">
        <v>352</v>
      </c>
      <c r="C374" s="8"/>
      <c r="D374" s="8"/>
      <c r="E374" s="8"/>
      <c r="F374" s="86"/>
      <c r="G374" s="68" t="e">
        <f>G375</f>
        <v>#REF!</v>
      </c>
    </row>
    <row r="375" spans="1:7" ht="15.75">
      <c r="A375" s="84" t="s">
        <v>337</v>
      </c>
      <c r="B375" s="42" t="s">
        <v>352</v>
      </c>
      <c r="C375" s="42" t="s">
        <v>338</v>
      </c>
      <c r="D375" s="42"/>
      <c r="E375" s="8"/>
      <c r="F375" s="86"/>
      <c r="G375" s="11" t="e">
        <f>G376</f>
        <v>#REF!</v>
      </c>
    </row>
    <row r="376" spans="1:7" ht="15.75">
      <c r="A376" s="84" t="s">
        <v>339</v>
      </c>
      <c r="B376" s="42" t="s">
        <v>352</v>
      </c>
      <c r="C376" s="42" t="s">
        <v>338</v>
      </c>
      <c r="D376" s="42" t="s">
        <v>157</v>
      </c>
      <c r="E376" s="8"/>
      <c r="F376" s="86"/>
      <c r="G376" s="11" t="e">
        <f>G377+G396+G401+G380</f>
        <v>#REF!</v>
      </c>
    </row>
    <row r="377" spans="1:7" ht="63">
      <c r="A377" s="31" t="s">
        <v>342</v>
      </c>
      <c r="B377" s="42" t="s">
        <v>353</v>
      </c>
      <c r="C377" s="42" t="s">
        <v>338</v>
      </c>
      <c r="D377" s="42" t="s">
        <v>157</v>
      </c>
      <c r="E377" s="42"/>
      <c r="F377" s="85"/>
      <c r="G377" s="11" t="e">
        <f>G378</f>
        <v>#REF!</v>
      </c>
    </row>
    <row r="378" spans="1:7" ht="63">
      <c r="A378" s="31" t="s">
        <v>311</v>
      </c>
      <c r="B378" s="42" t="s">
        <v>353</v>
      </c>
      <c r="C378" s="42" t="s">
        <v>338</v>
      </c>
      <c r="D378" s="42" t="s">
        <v>157</v>
      </c>
      <c r="E378" s="42" t="s">
        <v>312</v>
      </c>
      <c r="F378" s="85"/>
      <c r="G378" s="11" t="e">
        <f>G379</f>
        <v>#REF!</v>
      </c>
    </row>
    <row r="379" spans="1:7" ht="15.75">
      <c r="A379" s="31" t="s">
        <v>313</v>
      </c>
      <c r="B379" s="42" t="s">
        <v>353</v>
      </c>
      <c r="C379" s="42" t="s">
        <v>338</v>
      </c>
      <c r="D379" s="42" t="s">
        <v>157</v>
      </c>
      <c r="E379" s="42" t="s">
        <v>314</v>
      </c>
      <c r="F379" s="85"/>
      <c r="G379" s="7" t="e">
        <f>#REF!</f>
        <v>#REF!</v>
      </c>
    </row>
    <row r="380" spans="1:7" ht="63">
      <c r="A380" s="31" t="s">
        <v>315</v>
      </c>
      <c r="B380" s="42" t="s">
        <v>356</v>
      </c>
      <c r="C380" s="42" t="s">
        <v>338</v>
      </c>
      <c r="D380" s="42" t="s">
        <v>157</v>
      </c>
      <c r="E380" s="42"/>
      <c r="F380" s="85"/>
      <c r="G380" s="11" t="e">
        <f>G381</f>
        <v>#REF!</v>
      </c>
    </row>
    <row r="381" spans="1:7" ht="63">
      <c r="A381" s="31" t="s">
        <v>311</v>
      </c>
      <c r="B381" s="42" t="s">
        <v>356</v>
      </c>
      <c r="C381" s="42" t="s">
        <v>338</v>
      </c>
      <c r="D381" s="42" t="s">
        <v>157</v>
      </c>
      <c r="E381" s="42" t="s">
        <v>312</v>
      </c>
      <c r="F381" s="85"/>
      <c r="G381" s="11" t="e">
        <f>G382</f>
        <v>#REF!</v>
      </c>
    </row>
    <row r="382" spans="1:7" ht="15.75">
      <c r="A382" s="31" t="s">
        <v>313</v>
      </c>
      <c r="B382" s="42" t="s">
        <v>356</v>
      </c>
      <c r="C382" s="42" t="s">
        <v>338</v>
      </c>
      <c r="D382" s="42" t="s">
        <v>157</v>
      </c>
      <c r="E382" s="42" t="s">
        <v>314</v>
      </c>
      <c r="F382" s="85"/>
      <c r="G382" s="11" t="e">
        <f>#REF!</f>
        <v>#REF!</v>
      </c>
    </row>
    <row r="383" spans="1:7" ht="63" hidden="1">
      <c r="A383" s="47" t="s">
        <v>300</v>
      </c>
      <c r="B383" s="42" t="s">
        <v>710</v>
      </c>
      <c r="C383" s="42" t="s">
        <v>338</v>
      </c>
      <c r="D383" s="42" t="s">
        <v>157</v>
      </c>
      <c r="E383" s="42"/>
      <c r="F383" s="2">
        <v>903</v>
      </c>
      <c r="G383" s="11" t="e">
        <f>G380</f>
        <v>#REF!</v>
      </c>
    </row>
    <row r="384" spans="1:7" ht="47.25" hidden="1">
      <c r="A384" s="26" t="s">
        <v>317</v>
      </c>
      <c r="B384" s="42" t="s">
        <v>357</v>
      </c>
      <c r="C384" s="42" t="s">
        <v>338</v>
      </c>
      <c r="D384" s="42" t="s">
        <v>157</v>
      </c>
      <c r="E384" s="42"/>
      <c r="F384" s="85"/>
      <c r="G384" s="11">
        <f>G385</f>
        <v>0</v>
      </c>
    </row>
    <row r="385" spans="1:7" ht="63" hidden="1">
      <c r="A385" s="31" t="s">
        <v>311</v>
      </c>
      <c r="B385" s="42" t="s">
        <v>357</v>
      </c>
      <c r="C385" s="42" t="s">
        <v>338</v>
      </c>
      <c r="D385" s="42" t="s">
        <v>157</v>
      </c>
      <c r="E385" s="42" t="s">
        <v>312</v>
      </c>
      <c r="F385" s="85"/>
      <c r="G385" s="11">
        <f>G386</f>
        <v>0</v>
      </c>
    </row>
    <row r="386" spans="1:7" ht="35.25" customHeight="1" hidden="1">
      <c r="A386" s="31" t="s">
        <v>313</v>
      </c>
      <c r="B386" s="42" t="s">
        <v>357</v>
      </c>
      <c r="C386" s="42" t="s">
        <v>338</v>
      </c>
      <c r="D386" s="42" t="s">
        <v>157</v>
      </c>
      <c r="E386" s="42" t="s">
        <v>314</v>
      </c>
      <c r="F386" s="85"/>
      <c r="G386" s="11"/>
    </row>
    <row r="387" spans="1:7" ht="63" hidden="1">
      <c r="A387" s="47" t="s">
        <v>300</v>
      </c>
      <c r="B387" s="42" t="s">
        <v>357</v>
      </c>
      <c r="C387" s="42" t="s">
        <v>338</v>
      </c>
      <c r="D387" s="42" t="s">
        <v>157</v>
      </c>
      <c r="E387" s="42"/>
      <c r="F387" s="2">
        <v>903</v>
      </c>
      <c r="G387" s="11">
        <f>G384</f>
        <v>0</v>
      </c>
    </row>
    <row r="388" spans="1:7" ht="31.5" hidden="1">
      <c r="A388" s="31" t="s">
        <v>711</v>
      </c>
      <c r="B388" s="42" t="s">
        <v>358</v>
      </c>
      <c r="C388" s="42" t="s">
        <v>338</v>
      </c>
      <c r="D388" s="42" t="s">
        <v>157</v>
      </c>
      <c r="E388" s="42"/>
      <c r="F388" s="85"/>
      <c r="G388" s="11">
        <f>G389</f>
        <v>0</v>
      </c>
    </row>
    <row r="389" spans="1:7" ht="63" hidden="1">
      <c r="A389" s="31" t="s">
        <v>311</v>
      </c>
      <c r="B389" s="42" t="s">
        <v>358</v>
      </c>
      <c r="C389" s="42" t="s">
        <v>338</v>
      </c>
      <c r="D389" s="42" t="s">
        <v>157</v>
      </c>
      <c r="E389" s="42" t="s">
        <v>312</v>
      </c>
      <c r="F389" s="85"/>
      <c r="G389" s="11">
        <f>G390</f>
        <v>0</v>
      </c>
    </row>
    <row r="390" spans="1:7" ht="15.75" hidden="1">
      <c r="A390" s="31" t="s">
        <v>313</v>
      </c>
      <c r="B390" s="42" t="s">
        <v>358</v>
      </c>
      <c r="C390" s="42" t="s">
        <v>338</v>
      </c>
      <c r="D390" s="42" t="s">
        <v>157</v>
      </c>
      <c r="E390" s="42" t="s">
        <v>314</v>
      </c>
      <c r="F390" s="85"/>
      <c r="G390" s="11"/>
    </row>
    <row r="391" spans="1:7" ht="63" hidden="1">
      <c r="A391" s="47" t="s">
        <v>300</v>
      </c>
      <c r="B391" s="42" t="s">
        <v>358</v>
      </c>
      <c r="C391" s="42" t="s">
        <v>338</v>
      </c>
      <c r="D391" s="42" t="s">
        <v>157</v>
      </c>
      <c r="E391" s="42"/>
      <c r="F391" s="2">
        <v>903</v>
      </c>
      <c r="G391" s="11">
        <f>G388</f>
        <v>0</v>
      </c>
    </row>
    <row r="392" spans="1:7" ht="31.5" hidden="1">
      <c r="A392" s="31" t="s">
        <v>323</v>
      </c>
      <c r="B392" s="42" t="s">
        <v>665</v>
      </c>
      <c r="C392" s="42" t="s">
        <v>338</v>
      </c>
      <c r="D392" s="42" t="s">
        <v>157</v>
      </c>
      <c r="E392" s="42"/>
      <c r="F392" s="85"/>
      <c r="G392" s="11">
        <f>G393</f>
        <v>0</v>
      </c>
    </row>
    <row r="393" spans="1:7" ht="63" hidden="1">
      <c r="A393" s="31" t="s">
        <v>311</v>
      </c>
      <c r="B393" s="42" t="s">
        <v>665</v>
      </c>
      <c r="C393" s="42" t="s">
        <v>338</v>
      </c>
      <c r="D393" s="42" t="s">
        <v>157</v>
      </c>
      <c r="E393" s="42" t="s">
        <v>312</v>
      </c>
      <c r="F393" s="85"/>
      <c r="G393" s="11">
        <f>G394</f>
        <v>0</v>
      </c>
    </row>
    <row r="394" spans="1:7" ht="15.75" hidden="1">
      <c r="A394" s="31" t="s">
        <v>313</v>
      </c>
      <c r="B394" s="42" t="s">
        <v>665</v>
      </c>
      <c r="C394" s="42" t="s">
        <v>338</v>
      </c>
      <c r="D394" s="42" t="s">
        <v>157</v>
      </c>
      <c r="E394" s="42" t="s">
        <v>314</v>
      </c>
      <c r="F394" s="85"/>
      <c r="G394" s="11"/>
    </row>
    <row r="395" spans="1:7" ht="63" hidden="1">
      <c r="A395" s="47" t="s">
        <v>300</v>
      </c>
      <c r="B395" s="42" t="s">
        <v>665</v>
      </c>
      <c r="C395" s="42" t="s">
        <v>338</v>
      </c>
      <c r="D395" s="42" t="s">
        <v>157</v>
      </c>
      <c r="E395" s="42"/>
      <c r="F395" s="2">
        <v>903</v>
      </c>
      <c r="G395" s="11">
        <f>G392</f>
        <v>0</v>
      </c>
    </row>
    <row r="396" spans="1:7" ht="31.5">
      <c r="A396" s="87" t="s">
        <v>712</v>
      </c>
      <c r="B396" s="42" t="s">
        <v>355</v>
      </c>
      <c r="C396" s="42" t="s">
        <v>338</v>
      </c>
      <c r="D396" s="42" t="s">
        <v>157</v>
      </c>
      <c r="E396" s="42"/>
      <c r="F396" s="2"/>
      <c r="G396" s="11" t="e">
        <f>G397+G399</f>
        <v>#REF!</v>
      </c>
    </row>
    <row r="397" spans="1:7" ht="47.25" hidden="1">
      <c r="A397" s="31" t="s">
        <v>170</v>
      </c>
      <c r="B397" s="42" t="s">
        <v>355</v>
      </c>
      <c r="C397" s="42" t="s">
        <v>338</v>
      </c>
      <c r="D397" s="42" t="s">
        <v>157</v>
      </c>
      <c r="E397" s="42" t="s">
        <v>171</v>
      </c>
      <c r="F397" s="2"/>
      <c r="G397" s="11">
        <f>G398</f>
        <v>0</v>
      </c>
    </row>
    <row r="398" spans="1:7" ht="47.25" hidden="1">
      <c r="A398" s="31" t="s">
        <v>172</v>
      </c>
      <c r="B398" s="42" t="s">
        <v>355</v>
      </c>
      <c r="C398" s="42" t="s">
        <v>338</v>
      </c>
      <c r="D398" s="42" t="s">
        <v>157</v>
      </c>
      <c r="E398" s="42" t="s">
        <v>173</v>
      </c>
      <c r="F398" s="2"/>
      <c r="G398" s="11">
        <v>0</v>
      </c>
    </row>
    <row r="399" spans="1:7" ht="62.25" customHeight="1">
      <c r="A399" s="31" t="s">
        <v>311</v>
      </c>
      <c r="B399" s="42" t="s">
        <v>355</v>
      </c>
      <c r="C399" s="42" t="s">
        <v>338</v>
      </c>
      <c r="D399" s="42" t="s">
        <v>157</v>
      </c>
      <c r="E399" s="42" t="s">
        <v>312</v>
      </c>
      <c r="F399" s="2"/>
      <c r="G399" s="11" t="e">
        <f>G400</f>
        <v>#REF!</v>
      </c>
    </row>
    <row r="400" spans="1:7" ht="15.75">
      <c r="A400" s="31" t="s">
        <v>313</v>
      </c>
      <c r="B400" s="42" t="s">
        <v>355</v>
      </c>
      <c r="C400" s="42" t="s">
        <v>338</v>
      </c>
      <c r="D400" s="42" t="s">
        <v>157</v>
      </c>
      <c r="E400" s="42" t="s">
        <v>314</v>
      </c>
      <c r="F400" s="2"/>
      <c r="G400" s="11" t="e">
        <f>#REF!</f>
        <v>#REF!</v>
      </c>
    </row>
    <row r="401" spans="1:7" ht="15.75">
      <c r="A401" s="26" t="s">
        <v>744</v>
      </c>
      <c r="B401" s="21" t="s">
        <v>745</v>
      </c>
      <c r="C401" s="42" t="s">
        <v>338</v>
      </c>
      <c r="D401" s="42" t="s">
        <v>157</v>
      </c>
      <c r="E401" s="42"/>
      <c r="F401" s="2"/>
      <c r="G401" s="11" t="e">
        <f>G402</f>
        <v>#REF!</v>
      </c>
    </row>
    <row r="402" spans="1:7" ht="63">
      <c r="A402" s="26" t="s">
        <v>311</v>
      </c>
      <c r="B402" s="21" t="s">
        <v>745</v>
      </c>
      <c r="C402" s="42" t="s">
        <v>338</v>
      </c>
      <c r="D402" s="42" t="s">
        <v>157</v>
      </c>
      <c r="E402" s="42" t="s">
        <v>312</v>
      </c>
      <c r="F402" s="2"/>
      <c r="G402" s="11" t="e">
        <f>G403</f>
        <v>#REF!</v>
      </c>
    </row>
    <row r="403" spans="1:7" ht="15.75">
      <c r="A403" s="26" t="s">
        <v>313</v>
      </c>
      <c r="B403" s="21" t="s">
        <v>745</v>
      </c>
      <c r="C403" s="42" t="s">
        <v>338</v>
      </c>
      <c r="D403" s="42" t="s">
        <v>157</v>
      </c>
      <c r="E403" s="42" t="s">
        <v>314</v>
      </c>
      <c r="F403" s="2"/>
      <c r="G403" s="11" t="e">
        <f>#REF!</f>
        <v>#REF!</v>
      </c>
    </row>
    <row r="404" spans="1:7" ht="63">
      <c r="A404" s="47" t="s">
        <v>300</v>
      </c>
      <c r="B404" s="42" t="s">
        <v>352</v>
      </c>
      <c r="C404" s="42" t="s">
        <v>338</v>
      </c>
      <c r="D404" s="42" t="s">
        <v>157</v>
      </c>
      <c r="E404" s="42"/>
      <c r="F404" s="2">
        <v>903</v>
      </c>
      <c r="G404" s="11" t="e">
        <f>G374</f>
        <v>#REF!</v>
      </c>
    </row>
    <row r="405" spans="1:7" ht="47.25" hidden="1">
      <c r="A405" s="70" t="s">
        <v>360</v>
      </c>
      <c r="B405" s="42" t="s">
        <v>361</v>
      </c>
      <c r="C405" s="42" t="s">
        <v>338</v>
      </c>
      <c r="D405" s="42" t="s">
        <v>157</v>
      </c>
      <c r="E405" s="42"/>
      <c r="F405" s="2"/>
      <c r="G405" s="11">
        <f>G406</f>
        <v>0</v>
      </c>
    </row>
    <row r="406" spans="1:7" ht="63" hidden="1">
      <c r="A406" s="31" t="s">
        <v>311</v>
      </c>
      <c r="B406" s="42" t="s">
        <v>361</v>
      </c>
      <c r="C406" s="42" t="s">
        <v>338</v>
      </c>
      <c r="D406" s="42" t="s">
        <v>157</v>
      </c>
      <c r="E406" s="42" t="s">
        <v>312</v>
      </c>
      <c r="F406" s="2"/>
      <c r="G406" s="11"/>
    </row>
    <row r="407" spans="1:7" ht="15.75" hidden="1">
      <c r="A407" s="31" t="s">
        <v>313</v>
      </c>
      <c r="B407" s="42" t="s">
        <v>361</v>
      </c>
      <c r="C407" s="42" t="s">
        <v>338</v>
      </c>
      <c r="D407" s="42" t="s">
        <v>157</v>
      </c>
      <c r="E407" s="42" t="s">
        <v>314</v>
      </c>
      <c r="F407" s="2"/>
      <c r="G407" s="11"/>
    </row>
    <row r="408" spans="1:7" ht="63" hidden="1">
      <c r="A408" s="47" t="s">
        <v>300</v>
      </c>
      <c r="B408" s="42" t="s">
        <v>361</v>
      </c>
      <c r="C408" s="42" t="s">
        <v>338</v>
      </c>
      <c r="D408" s="42" t="s">
        <v>157</v>
      </c>
      <c r="E408" s="42"/>
      <c r="F408" s="2">
        <v>903</v>
      </c>
      <c r="G408" s="11">
        <f>G407</f>
        <v>0</v>
      </c>
    </row>
    <row r="409" spans="1:7" ht="78.75">
      <c r="A409" s="43" t="s">
        <v>362</v>
      </c>
      <c r="B409" s="8" t="s">
        <v>363</v>
      </c>
      <c r="C409" s="83"/>
      <c r="D409" s="83"/>
      <c r="E409" s="83"/>
      <c r="F409" s="83"/>
      <c r="G409" s="68" t="e">
        <f>G410</f>
        <v>#REF!</v>
      </c>
    </row>
    <row r="410" spans="1:7" ht="15.75">
      <c r="A410" s="84" t="s">
        <v>337</v>
      </c>
      <c r="B410" s="42" t="s">
        <v>363</v>
      </c>
      <c r="C410" s="42" t="s">
        <v>338</v>
      </c>
      <c r="D410" s="84"/>
      <c r="E410" s="84"/>
      <c r="F410" s="84"/>
      <c r="G410" s="11" t="e">
        <f>G411</f>
        <v>#REF!</v>
      </c>
    </row>
    <row r="411" spans="1:7" ht="15.75">
      <c r="A411" s="84" t="s">
        <v>339</v>
      </c>
      <c r="B411" s="42" t="s">
        <v>363</v>
      </c>
      <c r="C411" s="42" t="s">
        <v>338</v>
      </c>
      <c r="D411" s="42" t="s">
        <v>157</v>
      </c>
      <c r="E411" s="84"/>
      <c r="F411" s="84"/>
      <c r="G411" s="11" t="e">
        <f>G412</f>
        <v>#REF!</v>
      </c>
    </row>
    <row r="412" spans="1:7" ht="63">
      <c r="A412" s="31" t="s">
        <v>364</v>
      </c>
      <c r="B412" s="42" t="s">
        <v>365</v>
      </c>
      <c r="C412" s="42" t="s">
        <v>338</v>
      </c>
      <c r="D412" s="42" t="s">
        <v>157</v>
      </c>
      <c r="E412" s="84"/>
      <c r="F412" s="84"/>
      <c r="G412" s="11" t="e">
        <f>G413</f>
        <v>#REF!</v>
      </c>
    </row>
    <row r="413" spans="1:7" ht="63">
      <c r="A413" s="26" t="s">
        <v>311</v>
      </c>
      <c r="B413" s="42" t="s">
        <v>365</v>
      </c>
      <c r="C413" s="42" t="s">
        <v>338</v>
      </c>
      <c r="D413" s="42" t="s">
        <v>157</v>
      </c>
      <c r="E413" s="42" t="s">
        <v>312</v>
      </c>
      <c r="F413" s="84"/>
      <c r="G413" s="11" t="e">
        <f>G414</f>
        <v>#REF!</v>
      </c>
    </row>
    <row r="414" spans="1:7" ht="15.75">
      <c r="A414" s="26" t="s">
        <v>313</v>
      </c>
      <c r="B414" s="42" t="s">
        <v>365</v>
      </c>
      <c r="C414" s="42" t="s">
        <v>338</v>
      </c>
      <c r="D414" s="42" t="s">
        <v>157</v>
      </c>
      <c r="E414" s="42" t="s">
        <v>314</v>
      </c>
      <c r="F414" s="84"/>
      <c r="G414" s="11" t="e">
        <f>#REF!</f>
        <v>#REF!</v>
      </c>
    </row>
    <row r="415" spans="1:7" ht="63" hidden="1">
      <c r="A415" s="47" t="s">
        <v>713</v>
      </c>
      <c r="B415" s="42" t="s">
        <v>365</v>
      </c>
      <c r="C415" s="42" t="s">
        <v>338</v>
      </c>
      <c r="D415" s="42" t="s">
        <v>157</v>
      </c>
      <c r="E415" s="42"/>
      <c r="F415" s="84"/>
      <c r="G415" s="11">
        <f>G416</f>
        <v>0</v>
      </c>
    </row>
    <row r="416" spans="1:7" ht="63" hidden="1">
      <c r="A416" s="31" t="s">
        <v>311</v>
      </c>
      <c r="B416" s="42" t="s">
        <v>365</v>
      </c>
      <c r="C416" s="42" t="s">
        <v>338</v>
      </c>
      <c r="D416" s="42" t="s">
        <v>157</v>
      </c>
      <c r="E416" s="42" t="s">
        <v>312</v>
      </c>
      <c r="F416" s="84"/>
      <c r="G416" s="11">
        <f>G417</f>
        <v>0</v>
      </c>
    </row>
    <row r="417" spans="1:7" ht="15.75" hidden="1">
      <c r="A417" s="31" t="s">
        <v>313</v>
      </c>
      <c r="B417" s="42" t="s">
        <v>365</v>
      </c>
      <c r="C417" s="42" t="s">
        <v>338</v>
      </c>
      <c r="D417" s="42" t="s">
        <v>157</v>
      </c>
      <c r="E417" s="42" t="s">
        <v>314</v>
      </c>
      <c r="F417" s="84"/>
      <c r="G417" s="11"/>
    </row>
    <row r="418" spans="1:7" ht="63">
      <c r="A418" s="47" t="s">
        <v>300</v>
      </c>
      <c r="B418" s="42" t="s">
        <v>363</v>
      </c>
      <c r="C418" s="42" t="s">
        <v>338</v>
      </c>
      <c r="D418" s="42" t="s">
        <v>157</v>
      </c>
      <c r="E418" s="84"/>
      <c r="F418" s="2">
        <v>903</v>
      </c>
      <c r="G418" s="11" t="e">
        <f>G409</f>
        <v>#REF!</v>
      </c>
    </row>
    <row r="419" spans="1:7" ht="63">
      <c r="A419" s="43" t="s">
        <v>582</v>
      </c>
      <c r="B419" s="8" t="s">
        <v>583</v>
      </c>
      <c r="C419" s="2"/>
      <c r="D419" s="2"/>
      <c r="E419" s="2"/>
      <c r="F419" s="2"/>
      <c r="G419" s="68" t="e">
        <f>G420+G433</f>
        <v>#REF!</v>
      </c>
    </row>
    <row r="420" spans="1:7" ht="78.75">
      <c r="A420" s="43" t="s">
        <v>584</v>
      </c>
      <c r="B420" s="8" t="s">
        <v>585</v>
      </c>
      <c r="C420" s="8"/>
      <c r="D420" s="8"/>
      <c r="E420" s="3"/>
      <c r="F420" s="3"/>
      <c r="G420" s="68" t="e">
        <f>G421</f>
        <v>#REF!</v>
      </c>
    </row>
    <row r="421" spans="1:7" ht="15.75">
      <c r="A421" s="84" t="s">
        <v>430</v>
      </c>
      <c r="B421" s="42" t="s">
        <v>585</v>
      </c>
      <c r="C421" s="42" t="s">
        <v>273</v>
      </c>
      <c r="D421" s="42"/>
      <c r="E421" s="2"/>
      <c r="F421" s="2"/>
      <c r="G421" s="11" t="e">
        <f>G422</f>
        <v>#REF!</v>
      </c>
    </row>
    <row r="422" spans="1:7" ht="15.75">
      <c r="A422" s="84" t="s">
        <v>581</v>
      </c>
      <c r="B422" s="42" t="s">
        <v>585</v>
      </c>
      <c r="C422" s="42" t="s">
        <v>273</v>
      </c>
      <c r="D422" s="42" t="s">
        <v>254</v>
      </c>
      <c r="E422" s="2"/>
      <c r="F422" s="2"/>
      <c r="G422" s="11" t="e">
        <f>G423+G426+G429</f>
        <v>#REF!</v>
      </c>
    </row>
    <row r="423" spans="1:7" ht="31.5">
      <c r="A423" s="26" t="s">
        <v>586</v>
      </c>
      <c r="B423" s="21" t="s">
        <v>587</v>
      </c>
      <c r="C423" s="42" t="s">
        <v>273</v>
      </c>
      <c r="D423" s="42" t="s">
        <v>254</v>
      </c>
      <c r="E423" s="2"/>
      <c r="F423" s="2"/>
      <c r="G423" s="11" t="e">
        <f>G424</f>
        <v>#REF!</v>
      </c>
    </row>
    <row r="424" spans="1:7" ht="51" customHeight="1">
      <c r="A424" s="26" t="s">
        <v>170</v>
      </c>
      <c r="B424" s="21" t="s">
        <v>587</v>
      </c>
      <c r="C424" s="42" t="s">
        <v>273</v>
      </c>
      <c r="D424" s="42" t="s">
        <v>254</v>
      </c>
      <c r="E424" s="2">
        <v>200</v>
      </c>
      <c r="F424" s="2"/>
      <c r="G424" s="11" t="e">
        <f>G425</f>
        <v>#REF!</v>
      </c>
    </row>
    <row r="425" spans="1:7" ht="47.25">
      <c r="A425" s="26" t="s">
        <v>172</v>
      </c>
      <c r="B425" s="21" t="s">
        <v>587</v>
      </c>
      <c r="C425" s="42" t="s">
        <v>273</v>
      </c>
      <c r="D425" s="42" t="s">
        <v>254</v>
      </c>
      <c r="E425" s="2">
        <v>240</v>
      </c>
      <c r="F425" s="2"/>
      <c r="G425" s="11" t="e">
        <f>#REF!</f>
        <v>#REF!</v>
      </c>
    </row>
    <row r="426" spans="1:7" ht="31.5" customHeight="1">
      <c r="A426" s="26" t="s">
        <v>588</v>
      </c>
      <c r="B426" s="21" t="s">
        <v>589</v>
      </c>
      <c r="C426" s="42" t="s">
        <v>273</v>
      </c>
      <c r="D426" s="42" t="s">
        <v>254</v>
      </c>
      <c r="E426" s="2"/>
      <c r="F426" s="2"/>
      <c r="G426" s="11" t="e">
        <f>G427</f>
        <v>#REF!</v>
      </c>
    </row>
    <row r="427" spans="1:7" ht="47.25">
      <c r="A427" s="26" t="s">
        <v>170</v>
      </c>
      <c r="B427" s="21" t="s">
        <v>589</v>
      </c>
      <c r="C427" s="42" t="s">
        <v>273</v>
      </c>
      <c r="D427" s="42" t="s">
        <v>254</v>
      </c>
      <c r="E427" s="2">
        <v>200</v>
      </c>
      <c r="F427" s="2"/>
      <c r="G427" s="11" t="e">
        <f>G428</f>
        <v>#REF!</v>
      </c>
    </row>
    <row r="428" spans="1:7" ht="47.25">
      <c r="A428" s="26" t="s">
        <v>172</v>
      </c>
      <c r="B428" s="21" t="s">
        <v>589</v>
      </c>
      <c r="C428" s="42" t="s">
        <v>273</v>
      </c>
      <c r="D428" s="42" t="s">
        <v>254</v>
      </c>
      <c r="E428" s="2">
        <v>240</v>
      </c>
      <c r="F428" s="2"/>
      <c r="G428" s="11" t="e">
        <f>#REF!</f>
        <v>#REF!</v>
      </c>
    </row>
    <row r="429" spans="1:7" ht="31.5">
      <c r="A429" s="26" t="s">
        <v>590</v>
      </c>
      <c r="B429" s="21" t="s">
        <v>591</v>
      </c>
      <c r="C429" s="42" t="s">
        <v>273</v>
      </c>
      <c r="D429" s="42" t="s">
        <v>254</v>
      </c>
      <c r="E429" s="2"/>
      <c r="F429" s="2"/>
      <c r="G429" s="11" t="e">
        <f>G430</f>
        <v>#REF!</v>
      </c>
    </row>
    <row r="430" spans="1:7" ht="47.25">
      <c r="A430" s="26" t="s">
        <v>170</v>
      </c>
      <c r="B430" s="21" t="s">
        <v>591</v>
      </c>
      <c r="C430" s="42" t="s">
        <v>273</v>
      </c>
      <c r="D430" s="42" t="s">
        <v>254</v>
      </c>
      <c r="E430" s="2">
        <v>200</v>
      </c>
      <c r="F430" s="2"/>
      <c r="G430" s="11" t="e">
        <f>G431</f>
        <v>#REF!</v>
      </c>
    </row>
    <row r="431" spans="1:7" ht="47.25">
      <c r="A431" s="26" t="s">
        <v>172</v>
      </c>
      <c r="B431" s="21" t="s">
        <v>591</v>
      </c>
      <c r="C431" s="42" t="s">
        <v>273</v>
      </c>
      <c r="D431" s="42" t="s">
        <v>254</v>
      </c>
      <c r="E431" s="2">
        <v>240</v>
      </c>
      <c r="F431" s="2"/>
      <c r="G431" s="11" t="e">
        <f>#REF!</f>
        <v>#REF!</v>
      </c>
    </row>
    <row r="432" spans="1:7" ht="47.25">
      <c r="A432" s="47" t="s">
        <v>681</v>
      </c>
      <c r="B432" s="42" t="s">
        <v>585</v>
      </c>
      <c r="C432" s="42" t="s">
        <v>273</v>
      </c>
      <c r="D432" s="42" t="s">
        <v>254</v>
      </c>
      <c r="E432" s="2"/>
      <c r="F432" s="2">
        <v>908</v>
      </c>
      <c r="G432" s="11" t="e">
        <f>G420</f>
        <v>#REF!</v>
      </c>
    </row>
    <row r="433" spans="1:7" ht="63">
      <c r="A433" s="24" t="s">
        <v>592</v>
      </c>
      <c r="B433" s="8" t="s">
        <v>593</v>
      </c>
      <c r="C433" s="8"/>
      <c r="D433" s="8"/>
      <c r="E433" s="3"/>
      <c r="F433" s="3"/>
      <c r="G433" s="68" t="e">
        <f>G434</f>
        <v>#REF!</v>
      </c>
    </row>
    <row r="434" spans="1:7" ht="15.75">
      <c r="A434" s="84" t="s">
        <v>430</v>
      </c>
      <c r="B434" s="42" t="s">
        <v>593</v>
      </c>
      <c r="C434" s="42" t="s">
        <v>273</v>
      </c>
      <c r="D434" s="42"/>
      <c r="E434" s="2"/>
      <c r="F434" s="2"/>
      <c r="G434" s="11" t="e">
        <f>G435</f>
        <v>#REF!</v>
      </c>
    </row>
    <row r="435" spans="1:7" ht="15.75">
      <c r="A435" s="84" t="s">
        <v>581</v>
      </c>
      <c r="B435" s="42" t="s">
        <v>593</v>
      </c>
      <c r="C435" s="42" t="s">
        <v>273</v>
      </c>
      <c r="D435" s="42" t="s">
        <v>254</v>
      </c>
      <c r="E435" s="2"/>
      <c r="F435" s="2"/>
      <c r="G435" s="11" t="e">
        <f>G436+G441+G444+G447</f>
        <v>#REF!</v>
      </c>
    </row>
    <row r="436" spans="1:7" ht="31.5">
      <c r="A436" s="26" t="s">
        <v>590</v>
      </c>
      <c r="B436" s="21" t="s">
        <v>594</v>
      </c>
      <c r="C436" s="42" t="s">
        <v>273</v>
      </c>
      <c r="D436" s="42" t="s">
        <v>254</v>
      </c>
      <c r="E436" s="2"/>
      <c r="F436" s="2"/>
      <c r="G436" s="11" t="e">
        <f>G437+G439</f>
        <v>#REF!</v>
      </c>
    </row>
    <row r="437" spans="1:7" ht="110.25">
      <c r="A437" s="26" t="s">
        <v>166</v>
      </c>
      <c r="B437" s="21" t="s">
        <v>594</v>
      </c>
      <c r="C437" s="42" t="s">
        <v>273</v>
      </c>
      <c r="D437" s="42" t="s">
        <v>254</v>
      </c>
      <c r="E437" s="2">
        <v>100</v>
      </c>
      <c r="F437" s="2"/>
      <c r="G437" s="11" t="e">
        <f>G438</f>
        <v>#REF!</v>
      </c>
    </row>
    <row r="438" spans="1:7" ht="31.5">
      <c r="A438" s="48" t="s">
        <v>381</v>
      </c>
      <c r="B438" s="21" t="s">
        <v>594</v>
      </c>
      <c r="C438" s="42" t="s">
        <v>273</v>
      </c>
      <c r="D438" s="42" t="s">
        <v>254</v>
      </c>
      <c r="E438" s="2">
        <v>110</v>
      </c>
      <c r="F438" s="2"/>
      <c r="G438" s="11" t="e">
        <f>#REF!</f>
        <v>#REF!</v>
      </c>
    </row>
    <row r="439" spans="1:7" ht="47.25">
      <c r="A439" s="26" t="s">
        <v>170</v>
      </c>
      <c r="B439" s="21" t="s">
        <v>594</v>
      </c>
      <c r="C439" s="42" t="s">
        <v>273</v>
      </c>
      <c r="D439" s="42" t="s">
        <v>254</v>
      </c>
      <c r="E439" s="2">
        <v>200</v>
      </c>
      <c r="F439" s="2"/>
      <c r="G439" s="11" t="e">
        <f>G440</f>
        <v>#REF!</v>
      </c>
    </row>
    <row r="440" spans="1:7" ht="47.25">
      <c r="A440" s="26" t="s">
        <v>172</v>
      </c>
      <c r="B440" s="21" t="s">
        <v>594</v>
      </c>
      <c r="C440" s="42" t="s">
        <v>273</v>
      </c>
      <c r="D440" s="42" t="s">
        <v>254</v>
      </c>
      <c r="E440" s="2">
        <v>240</v>
      </c>
      <c r="F440" s="2"/>
      <c r="G440" s="11" t="e">
        <f>#REF!</f>
        <v>#REF!</v>
      </c>
    </row>
    <row r="441" spans="1:7" ht="15.75">
      <c r="A441" s="26" t="s">
        <v>595</v>
      </c>
      <c r="B441" s="21" t="s">
        <v>596</v>
      </c>
      <c r="C441" s="42" t="s">
        <v>273</v>
      </c>
      <c r="D441" s="42" t="s">
        <v>254</v>
      </c>
      <c r="E441" s="2"/>
      <c r="F441" s="2"/>
      <c r="G441" s="11" t="e">
        <f>G442</f>
        <v>#REF!</v>
      </c>
    </row>
    <row r="442" spans="1:7" ht="47.25">
      <c r="A442" s="26" t="s">
        <v>170</v>
      </c>
      <c r="B442" s="21" t="s">
        <v>596</v>
      </c>
      <c r="C442" s="42" t="s">
        <v>273</v>
      </c>
      <c r="D442" s="42" t="s">
        <v>254</v>
      </c>
      <c r="E442" s="2">
        <v>200</v>
      </c>
      <c r="F442" s="2"/>
      <c r="G442" s="11" t="e">
        <f>G443</f>
        <v>#REF!</v>
      </c>
    </row>
    <row r="443" spans="1:7" ht="47.25">
      <c r="A443" s="26" t="s">
        <v>172</v>
      </c>
      <c r="B443" s="21" t="s">
        <v>596</v>
      </c>
      <c r="C443" s="42" t="s">
        <v>273</v>
      </c>
      <c r="D443" s="42" t="s">
        <v>254</v>
      </c>
      <c r="E443" s="2">
        <v>240</v>
      </c>
      <c r="F443" s="2"/>
      <c r="G443" s="11" t="e">
        <f>#REF!</f>
        <v>#REF!</v>
      </c>
    </row>
    <row r="444" spans="1:7" ht="63">
      <c r="A444" s="119" t="s">
        <v>597</v>
      </c>
      <c r="B444" s="21" t="s">
        <v>598</v>
      </c>
      <c r="C444" s="42" t="s">
        <v>273</v>
      </c>
      <c r="D444" s="42" t="s">
        <v>254</v>
      </c>
      <c r="E444" s="2"/>
      <c r="F444" s="2"/>
      <c r="G444" s="11" t="e">
        <f>G445</f>
        <v>#REF!</v>
      </c>
    </row>
    <row r="445" spans="1:7" ht="47.25">
      <c r="A445" s="26" t="s">
        <v>170</v>
      </c>
      <c r="B445" s="21" t="s">
        <v>598</v>
      </c>
      <c r="C445" s="42" t="s">
        <v>273</v>
      </c>
      <c r="D445" s="42" t="s">
        <v>254</v>
      </c>
      <c r="E445" s="2">
        <v>200</v>
      </c>
      <c r="F445" s="2"/>
      <c r="G445" s="11" t="e">
        <f>G446</f>
        <v>#REF!</v>
      </c>
    </row>
    <row r="446" spans="1:7" ht="47.25">
      <c r="A446" s="26" t="s">
        <v>172</v>
      </c>
      <c r="B446" s="21" t="s">
        <v>598</v>
      </c>
      <c r="C446" s="42" t="s">
        <v>273</v>
      </c>
      <c r="D446" s="42" t="s">
        <v>254</v>
      </c>
      <c r="E446" s="2">
        <v>240</v>
      </c>
      <c r="F446" s="2"/>
      <c r="G446" s="11" t="e">
        <f>#REF!</f>
        <v>#REF!</v>
      </c>
    </row>
    <row r="447" spans="1:7" ht="31.5">
      <c r="A447" s="119" t="s">
        <v>599</v>
      </c>
      <c r="B447" s="21" t="s">
        <v>600</v>
      </c>
      <c r="C447" s="42" t="s">
        <v>273</v>
      </c>
      <c r="D447" s="42" t="s">
        <v>254</v>
      </c>
      <c r="E447" s="2"/>
      <c r="F447" s="2"/>
      <c r="G447" s="11" t="e">
        <f>G448</f>
        <v>#REF!</v>
      </c>
    </row>
    <row r="448" spans="1:7" ht="47.25">
      <c r="A448" s="26" t="s">
        <v>170</v>
      </c>
      <c r="B448" s="21" t="s">
        <v>600</v>
      </c>
      <c r="C448" s="42" t="s">
        <v>273</v>
      </c>
      <c r="D448" s="42" t="s">
        <v>254</v>
      </c>
      <c r="E448" s="2">
        <v>200</v>
      </c>
      <c r="F448" s="2"/>
      <c r="G448" s="11" t="e">
        <f>G449</f>
        <v>#REF!</v>
      </c>
    </row>
    <row r="449" spans="1:7" ht="47.25">
      <c r="A449" s="26" t="s">
        <v>172</v>
      </c>
      <c r="B449" s="21" t="s">
        <v>600</v>
      </c>
      <c r="C449" s="42" t="s">
        <v>273</v>
      </c>
      <c r="D449" s="42" t="s">
        <v>254</v>
      </c>
      <c r="E449" s="2">
        <v>240</v>
      </c>
      <c r="F449" s="2"/>
      <c r="G449" s="11" t="e">
        <f>#REF!</f>
        <v>#REF!</v>
      </c>
    </row>
    <row r="450" spans="1:7" ht="47.25">
      <c r="A450" s="47" t="s">
        <v>681</v>
      </c>
      <c r="B450" s="21" t="s">
        <v>593</v>
      </c>
      <c r="C450" s="42" t="s">
        <v>273</v>
      </c>
      <c r="D450" s="42" t="s">
        <v>254</v>
      </c>
      <c r="E450" s="2"/>
      <c r="F450" s="2">
        <v>908</v>
      </c>
      <c r="G450" s="11" t="e">
        <f>G433</f>
        <v>#REF!</v>
      </c>
    </row>
    <row r="451" spans="1:7" ht="78.75">
      <c r="A451" s="36" t="s">
        <v>220</v>
      </c>
      <c r="B451" s="194" t="s">
        <v>221</v>
      </c>
      <c r="C451" s="8"/>
      <c r="D451" s="8"/>
      <c r="E451" s="8"/>
      <c r="F451" s="3"/>
      <c r="G451" s="68" t="e">
        <f>G452</f>
        <v>#REF!</v>
      </c>
    </row>
    <row r="452" spans="1:7" ht="15.75">
      <c r="A452" s="26" t="s">
        <v>156</v>
      </c>
      <c r="B452" s="6" t="s">
        <v>221</v>
      </c>
      <c r="C452" s="42" t="s">
        <v>157</v>
      </c>
      <c r="D452" s="42"/>
      <c r="E452" s="42"/>
      <c r="F452" s="2"/>
      <c r="G452" s="11" t="e">
        <f>G453</f>
        <v>#REF!</v>
      </c>
    </row>
    <row r="453" spans="1:7" ht="31.5">
      <c r="A453" s="26" t="s">
        <v>178</v>
      </c>
      <c r="B453" s="32" t="s">
        <v>221</v>
      </c>
      <c r="C453" s="42" t="s">
        <v>157</v>
      </c>
      <c r="D453" s="42" t="s">
        <v>179</v>
      </c>
      <c r="E453" s="42"/>
      <c r="F453" s="2"/>
      <c r="G453" s="11" t="e">
        <f>G454</f>
        <v>#REF!</v>
      </c>
    </row>
    <row r="454" spans="1:7" ht="47.25">
      <c r="A454" s="31" t="s">
        <v>196</v>
      </c>
      <c r="B454" s="21" t="s">
        <v>222</v>
      </c>
      <c r="C454" s="42" t="s">
        <v>157</v>
      </c>
      <c r="D454" s="42" t="s">
        <v>179</v>
      </c>
      <c r="E454" s="42"/>
      <c r="F454" s="2"/>
      <c r="G454" s="11" t="e">
        <f>G455</f>
        <v>#REF!</v>
      </c>
    </row>
    <row r="455" spans="1:7" ht="47.25">
      <c r="A455" s="31" t="s">
        <v>170</v>
      </c>
      <c r="B455" s="21" t="s">
        <v>222</v>
      </c>
      <c r="C455" s="42" t="s">
        <v>157</v>
      </c>
      <c r="D455" s="42" t="s">
        <v>179</v>
      </c>
      <c r="E455" s="42" t="s">
        <v>184</v>
      </c>
      <c r="F455" s="2"/>
      <c r="G455" s="11" t="e">
        <f>G456</f>
        <v>#REF!</v>
      </c>
    </row>
    <row r="456" spans="1:7" ht="78.75">
      <c r="A456" s="31" t="s">
        <v>223</v>
      </c>
      <c r="B456" s="21" t="s">
        <v>222</v>
      </c>
      <c r="C456" s="42" t="s">
        <v>157</v>
      </c>
      <c r="D456" s="42" t="s">
        <v>179</v>
      </c>
      <c r="E456" s="42" t="s">
        <v>199</v>
      </c>
      <c r="F456" s="2"/>
      <c r="G456" s="11" t="e">
        <f>#REF!</f>
        <v>#REF!</v>
      </c>
    </row>
    <row r="457" spans="1:7" ht="31.5">
      <c r="A457" s="31" t="s">
        <v>187</v>
      </c>
      <c r="B457" s="32" t="s">
        <v>221</v>
      </c>
      <c r="C457" s="42" t="s">
        <v>157</v>
      </c>
      <c r="D457" s="42" t="s">
        <v>179</v>
      </c>
      <c r="E457" s="42"/>
      <c r="F457" s="2">
        <v>902</v>
      </c>
      <c r="G457" s="11" t="e">
        <f>G451</f>
        <v>#REF!</v>
      </c>
    </row>
    <row r="458" spans="1:7" ht="94.5">
      <c r="A458" s="43" t="s">
        <v>714</v>
      </c>
      <c r="B458" s="8" t="s">
        <v>558</v>
      </c>
      <c r="C458" s="8"/>
      <c r="D458" s="8"/>
      <c r="E458" s="83"/>
      <c r="F458" s="3"/>
      <c r="G458" s="68" t="e">
        <f>G459</f>
        <v>#REF!</v>
      </c>
    </row>
    <row r="459" spans="1:7" ht="15.75">
      <c r="A459" s="31" t="s">
        <v>430</v>
      </c>
      <c r="B459" s="42" t="s">
        <v>558</v>
      </c>
      <c r="C459" s="42" t="s">
        <v>273</v>
      </c>
      <c r="D459" s="42"/>
      <c r="E459" s="84"/>
      <c r="F459" s="2"/>
      <c r="G459" s="11" t="e">
        <f>G460</f>
        <v>#REF!</v>
      </c>
    </row>
    <row r="460" spans="1:7" ht="15.75">
      <c r="A460" s="31" t="s">
        <v>557</v>
      </c>
      <c r="B460" s="42" t="s">
        <v>558</v>
      </c>
      <c r="C460" s="42" t="s">
        <v>273</v>
      </c>
      <c r="D460" s="42" t="s">
        <v>252</v>
      </c>
      <c r="E460" s="84"/>
      <c r="F460" s="2"/>
      <c r="G460" s="11" t="e">
        <f>G465+G468+G471+G474+G477+G480+G483</f>
        <v>#REF!</v>
      </c>
    </row>
    <row r="461" spans="1:7" ht="63" hidden="1">
      <c r="A461" s="37" t="s">
        <v>559</v>
      </c>
      <c r="B461" s="21" t="s">
        <v>560</v>
      </c>
      <c r="C461" s="42" t="s">
        <v>273</v>
      </c>
      <c r="D461" s="42" t="s">
        <v>252</v>
      </c>
      <c r="E461" s="84"/>
      <c r="F461" s="2"/>
      <c r="G461" s="11">
        <f>G462</f>
        <v>0</v>
      </c>
    </row>
    <row r="462" spans="1:7" ht="47.25" hidden="1">
      <c r="A462" s="31" t="s">
        <v>170</v>
      </c>
      <c r="B462" s="21" t="s">
        <v>560</v>
      </c>
      <c r="C462" s="42" t="s">
        <v>273</v>
      </c>
      <c r="D462" s="42" t="s">
        <v>252</v>
      </c>
      <c r="E462" s="42" t="s">
        <v>171</v>
      </c>
      <c r="F462" s="2"/>
      <c r="G462" s="11">
        <f>G463</f>
        <v>0</v>
      </c>
    </row>
    <row r="463" spans="1:7" ht="47.25" hidden="1">
      <c r="A463" s="31" t="s">
        <v>172</v>
      </c>
      <c r="B463" s="21" t="s">
        <v>560</v>
      </c>
      <c r="C463" s="42" t="s">
        <v>273</v>
      </c>
      <c r="D463" s="42" t="s">
        <v>252</v>
      </c>
      <c r="E463" s="42" t="s">
        <v>173</v>
      </c>
      <c r="F463" s="2"/>
      <c r="G463" s="11"/>
    </row>
    <row r="464" spans="1:7" ht="47.25" hidden="1">
      <c r="A464" s="47" t="s">
        <v>681</v>
      </c>
      <c r="B464" s="21" t="s">
        <v>560</v>
      </c>
      <c r="C464" s="42"/>
      <c r="D464" s="42"/>
      <c r="E464" s="42"/>
      <c r="F464" s="2">
        <v>908</v>
      </c>
      <c r="G464" s="11">
        <f>G461</f>
        <v>0</v>
      </c>
    </row>
    <row r="465" spans="1:7" ht="15.75">
      <c r="A465" s="119" t="s">
        <v>561</v>
      </c>
      <c r="B465" s="21" t="s">
        <v>562</v>
      </c>
      <c r="C465" s="42" t="s">
        <v>273</v>
      </c>
      <c r="D465" s="42" t="s">
        <v>252</v>
      </c>
      <c r="E465" s="42"/>
      <c r="F465" s="2"/>
      <c r="G465" s="11" t="e">
        <f>G466</f>
        <v>#REF!</v>
      </c>
    </row>
    <row r="466" spans="1:7" ht="47.25">
      <c r="A466" s="33" t="s">
        <v>170</v>
      </c>
      <c r="B466" s="21" t="s">
        <v>562</v>
      </c>
      <c r="C466" s="42" t="s">
        <v>273</v>
      </c>
      <c r="D466" s="42" t="s">
        <v>252</v>
      </c>
      <c r="E466" s="42" t="s">
        <v>171</v>
      </c>
      <c r="F466" s="2"/>
      <c r="G466" s="11" t="e">
        <f>G467</f>
        <v>#REF!</v>
      </c>
    </row>
    <row r="467" spans="1:7" ht="47.25">
      <c r="A467" s="33" t="s">
        <v>172</v>
      </c>
      <c r="B467" s="21" t="s">
        <v>562</v>
      </c>
      <c r="C467" s="42" t="s">
        <v>273</v>
      </c>
      <c r="D467" s="42" t="s">
        <v>252</v>
      </c>
      <c r="E467" s="42" t="s">
        <v>173</v>
      </c>
      <c r="F467" s="2"/>
      <c r="G467" s="11" t="e">
        <f>#REF!</f>
        <v>#REF!</v>
      </c>
    </row>
    <row r="468" spans="1:7" ht="15.75">
      <c r="A468" s="119" t="s">
        <v>563</v>
      </c>
      <c r="B468" s="21" t="s">
        <v>564</v>
      </c>
      <c r="C468" s="42" t="s">
        <v>273</v>
      </c>
      <c r="D468" s="42" t="s">
        <v>252</v>
      </c>
      <c r="E468" s="42"/>
      <c r="F468" s="2"/>
      <c r="G468" s="11" t="e">
        <f>G469</f>
        <v>#REF!</v>
      </c>
    </row>
    <row r="469" spans="1:7" ht="47.25">
      <c r="A469" s="33" t="s">
        <v>170</v>
      </c>
      <c r="B469" s="21" t="s">
        <v>564</v>
      </c>
      <c r="C469" s="42" t="s">
        <v>273</v>
      </c>
      <c r="D469" s="42" t="s">
        <v>252</v>
      </c>
      <c r="E469" s="42" t="s">
        <v>171</v>
      </c>
      <c r="F469" s="2"/>
      <c r="G469" s="11" t="e">
        <f>G470</f>
        <v>#REF!</v>
      </c>
    </row>
    <row r="470" spans="1:7" ht="47.25">
      <c r="A470" s="33" t="s">
        <v>172</v>
      </c>
      <c r="B470" s="21" t="s">
        <v>564</v>
      </c>
      <c r="C470" s="42" t="s">
        <v>273</v>
      </c>
      <c r="D470" s="42" t="s">
        <v>252</v>
      </c>
      <c r="E470" s="42" t="s">
        <v>173</v>
      </c>
      <c r="F470" s="2"/>
      <c r="G470" s="11" t="e">
        <f>#REF!</f>
        <v>#REF!</v>
      </c>
    </row>
    <row r="471" spans="1:7" ht="15.75">
      <c r="A471" s="119" t="s">
        <v>565</v>
      </c>
      <c r="B471" s="21" t="s">
        <v>566</v>
      </c>
      <c r="C471" s="42" t="s">
        <v>273</v>
      </c>
      <c r="D471" s="42" t="s">
        <v>252</v>
      </c>
      <c r="E471" s="42"/>
      <c r="F471" s="2"/>
      <c r="G471" s="11" t="e">
        <f>G472</f>
        <v>#REF!</v>
      </c>
    </row>
    <row r="472" spans="1:7" ht="47.25">
      <c r="A472" s="33" t="s">
        <v>170</v>
      </c>
      <c r="B472" s="21" t="s">
        <v>566</v>
      </c>
      <c r="C472" s="42" t="s">
        <v>273</v>
      </c>
      <c r="D472" s="42" t="s">
        <v>252</v>
      </c>
      <c r="E472" s="42" t="s">
        <v>171</v>
      </c>
      <c r="F472" s="2"/>
      <c r="G472" s="11" t="e">
        <f>G473</f>
        <v>#REF!</v>
      </c>
    </row>
    <row r="473" spans="1:7" ht="47.25">
      <c r="A473" s="33" t="s">
        <v>172</v>
      </c>
      <c r="B473" s="21" t="s">
        <v>566</v>
      </c>
      <c r="C473" s="42" t="s">
        <v>273</v>
      </c>
      <c r="D473" s="42" t="s">
        <v>252</v>
      </c>
      <c r="E473" s="42" t="s">
        <v>173</v>
      </c>
      <c r="F473" s="2"/>
      <c r="G473" s="11" t="e">
        <f>#REF!</f>
        <v>#REF!</v>
      </c>
    </row>
    <row r="474" spans="1:7" ht="31.5">
      <c r="A474" s="119" t="s">
        <v>567</v>
      </c>
      <c r="B474" s="21" t="s">
        <v>568</v>
      </c>
      <c r="C474" s="42" t="s">
        <v>273</v>
      </c>
      <c r="D474" s="42" t="s">
        <v>252</v>
      </c>
      <c r="E474" s="42"/>
      <c r="F474" s="2"/>
      <c r="G474" s="11" t="e">
        <f>G475</f>
        <v>#REF!</v>
      </c>
    </row>
    <row r="475" spans="1:7" ht="47.25">
      <c r="A475" s="33" t="s">
        <v>170</v>
      </c>
      <c r="B475" s="21" t="s">
        <v>568</v>
      </c>
      <c r="C475" s="42" t="s">
        <v>273</v>
      </c>
      <c r="D475" s="42" t="s">
        <v>252</v>
      </c>
      <c r="E475" s="42" t="s">
        <v>171</v>
      </c>
      <c r="F475" s="2"/>
      <c r="G475" s="11" t="e">
        <f>G476</f>
        <v>#REF!</v>
      </c>
    </row>
    <row r="476" spans="1:7" ht="47.25">
      <c r="A476" s="33" t="s">
        <v>172</v>
      </c>
      <c r="B476" s="21" t="s">
        <v>568</v>
      </c>
      <c r="C476" s="42" t="s">
        <v>273</v>
      </c>
      <c r="D476" s="42" t="s">
        <v>252</v>
      </c>
      <c r="E476" s="42" t="s">
        <v>173</v>
      </c>
      <c r="F476" s="2"/>
      <c r="G476" s="11" t="e">
        <f>#REF!</f>
        <v>#REF!</v>
      </c>
    </row>
    <row r="477" spans="1:7" ht="15.75">
      <c r="A477" s="119" t="s">
        <v>569</v>
      </c>
      <c r="B477" s="21" t="s">
        <v>570</v>
      </c>
      <c r="C477" s="42" t="s">
        <v>273</v>
      </c>
      <c r="D477" s="42" t="s">
        <v>252</v>
      </c>
      <c r="E477" s="42"/>
      <c r="F477" s="2"/>
      <c r="G477" s="11" t="e">
        <f>G478</f>
        <v>#REF!</v>
      </c>
    </row>
    <row r="478" spans="1:7" ht="47.25">
      <c r="A478" s="33" t="s">
        <v>170</v>
      </c>
      <c r="B478" s="21" t="s">
        <v>570</v>
      </c>
      <c r="C478" s="42" t="s">
        <v>273</v>
      </c>
      <c r="D478" s="42" t="s">
        <v>252</v>
      </c>
      <c r="E478" s="42" t="s">
        <v>171</v>
      </c>
      <c r="F478" s="2"/>
      <c r="G478" s="11" t="e">
        <f>G479</f>
        <v>#REF!</v>
      </c>
    </row>
    <row r="479" spans="1:7" ht="47.25">
      <c r="A479" s="33" t="s">
        <v>172</v>
      </c>
      <c r="B479" s="21" t="s">
        <v>570</v>
      </c>
      <c r="C479" s="42" t="s">
        <v>273</v>
      </c>
      <c r="D479" s="42" t="s">
        <v>252</v>
      </c>
      <c r="E479" s="42" t="s">
        <v>173</v>
      </c>
      <c r="F479" s="2"/>
      <c r="G479" s="11" t="e">
        <f>#REF!</f>
        <v>#REF!</v>
      </c>
    </row>
    <row r="480" spans="1:7" ht="31.5" hidden="1">
      <c r="A480" s="117" t="s">
        <v>571</v>
      </c>
      <c r="B480" s="21" t="s">
        <v>572</v>
      </c>
      <c r="C480" s="42" t="s">
        <v>273</v>
      </c>
      <c r="D480" s="42" t="s">
        <v>252</v>
      </c>
      <c r="E480" s="42"/>
      <c r="F480" s="2"/>
      <c r="G480" s="11">
        <f>G481</f>
        <v>0</v>
      </c>
    </row>
    <row r="481" spans="1:7" ht="47.25" hidden="1">
      <c r="A481" s="33" t="s">
        <v>170</v>
      </c>
      <c r="B481" s="21" t="s">
        <v>572</v>
      </c>
      <c r="C481" s="42" t="s">
        <v>273</v>
      </c>
      <c r="D481" s="42" t="s">
        <v>252</v>
      </c>
      <c r="E481" s="42"/>
      <c r="F481" s="2"/>
      <c r="G481" s="11">
        <f>G482</f>
        <v>0</v>
      </c>
    </row>
    <row r="482" spans="1:7" ht="47.25" hidden="1">
      <c r="A482" s="33" t="s">
        <v>172</v>
      </c>
      <c r="B482" s="21" t="s">
        <v>572</v>
      </c>
      <c r="C482" s="42" t="s">
        <v>273</v>
      </c>
      <c r="D482" s="42" t="s">
        <v>252</v>
      </c>
      <c r="E482" s="42"/>
      <c r="F482" s="2"/>
      <c r="G482" s="11"/>
    </row>
    <row r="483" spans="1:7" ht="31.5">
      <c r="A483" s="117" t="s">
        <v>573</v>
      </c>
      <c r="B483" s="21" t="s">
        <v>574</v>
      </c>
      <c r="C483" s="42" t="s">
        <v>273</v>
      </c>
      <c r="D483" s="42" t="s">
        <v>252</v>
      </c>
      <c r="E483" s="42"/>
      <c r="F483" s="2"/>
      <c r="G483" s="11" t="e">
        <f>G484</f>
        <v>#REF!</v>
      </c>
    </row>
    <row r="484" spans="1:7" ht="47.25">
      <c r="A484" s="26" t="s">
        <v>170</v>
      </c>
      <c r="B484" s="21" t="s">
        <v>574</v>
      </c>
      <c r="C484" s="42" t="s">
        <v>273</v>
      </c>
      <c r="D484" s="42" t="s">
        <v>252</v>
      </c>
      <c r="E484" s="2">
        <v>200</v>
      </c>
      <c r="F484" s="88"/>
      <c r="G484" s="7" t="e">
        <f>G485</f>
        <v>#REF!</v>
      </c>
    </row>
    <row r="485" spans="1:7" ht="47.25">
      <c r="A485" s="26" t="s">
        <v>172</v>
      </c>
      <c r="B485" s="21" t="s">
        <v>574</v>
      </c>
      <c r="C485" s="42" t="s">
        <v>273</v>
      </c>
      <c r="D485" s="42" t="s">
        <v>252</v>
      </c>
      <c r="E485" s="2">
        <v>240</v>
      </c>
      <c r="F485" s="88"/>
      <c r="G485" s="7" t="e">
        <f>#REF!</f>
        <v>#REF!</v>
      </c>
    </row>
    <row r="486" spans="1:7" ht="47.25">
      <c r="A486" s="47" t="s">
        <v>681</v>
      </c>
      <c r="B486" s="21" t="s">
        <v>558</v>
      </c>
      <c r="C486" s="42"/>
      <c r="D486" s="42"/>
      <c r="E486" s="2"/>
      <c r="F486" s="2">
        <v>908</v>
      </c>
      <c r="G486" s="7" t="e">
        <f>G458</f>
        <v>#REF!</v>
      </c>
    </row>
    <row r="487" spans="1:7" ht="63">
      <c r="A487" s="24" t="s">
        <v>373</v>
      </c>
      <c r="B487" s="25" t="s">
        <v>374</v>
      </c>
      <c r="C487" s="8"/>
      <c r="D487" s="8"/>
      <c r="E487" s="3"/>
      <c r="F487" s="3"/>
      <c r="G487" s="4" t="e">
        <f>G488+G499</f>
        <v>#REF!</v>
      </c>
    </row>
    <row r="488" spans="1:7" ht="15.75">
      <c r="A488" s="26" t="s">
        <v>302</v>
      </c>
      <c r="B488" s="21" t="s">
        <v>374</v>
      </c>
      <c r="C488" s="42" t="s">
        <v>303</v>
      </c>
      <c r="D488" s="42"/>
      <c r="E488" s="2"/>
      <c r="F488" s="2"/>
      <c r="G488" s="7" t="e">
        <f>G489</f>
        <v>#REF!</v>
      </c>
    </row>
    <row r="489" spans="1:7" ht="31.5">
      <c r="A489" s="26" t="s">
        <v>334</v>
      </c>
      <c r="B489" s="21" t="s">
        <v>374</v>
      </c>
      <c r="C489" s="42" t="s">
        <v>303</v>
      </c>
      <c r="D489" s="42" t="s">
        <v>258</v>
      </c>
      <c r="E489" s="2"/>
      <c r="F489" s="2"/>
      <c r="G489" s="7" t="e">
        <f>G490+G493</f>
        <v>#REF!</v>
      </c>
    </row>
    <row r="490" spans="1:7" ht="47.25">
      <c r="A490" s="26" t="s">
        <v>375</v>
      </c>
      <c r="B490" s="21" t="s">
        <v>376</v>
      </c>
      <c r="C490" s="42" t="s">
        <v>303</v>
      </c>
      <c r="D490" s="42" t="s">
        <v>258</v>
      </c>
      <c r="E490" s="2"/>
      <c r="F490" s="2"/>
      <c r="G490" s="7" t="e">
        <f>G491</f>
        <v>#REF!</v>
      </c>
    </row>
    <row r="491" spans="1:7" ht="47.25">
      <c r="A491" s="26" t="s">
        <v>170</v>
      </c>
      <c r="B491" s="21" t="s">
        <v>376</v>
      </c>
      <c r="C491" s="42" t="s">
        <v>303</v>
      </c>
      <c r="D491" s="42" t="s">
        <v>258</v>
      </c>
      <c r="E491" s="2">
        <v>200</v>
      </c>
      <c r="F491" s="2"/>
      <c r="G491" s="7" t="e">
        <f>G492</f>
        <v>#REF!</v>
      </c>
    </row>
    <row r="492" spans="1:7" ht="47.25">
      <c r="A492" s="26" t="s">
        <v>172</v>
      </c>
      <c r="B492" s="21" t="s">
        <v>376</v>
      </c>
      <c r="C492" s="42" t="s">
        <v>303</v>
      </c>
      <c r="D492" s="42" t="s">
        <v>258</v>
      </c>
      <c r="E492" s="2">
        <v>240</v>
      </c>
      <c r="F492" s="2"/>
      <c r="G492" s="7" t="e">
        <f>#REF!</f>
        <v>#REF!</v>
      </c>
    </row>
    <row r="493" spans="1:7" ht="78.75">
      <c r="A493" s="26" t="s">
        <v>516</v>
      </c>
      <c r="B493" s="21" t="s">
        <v>517</v>
      </c>
      <c r="C493" s="42" t="s">
        <v>303</v>
      </c>
      <c r="D493" s="42" t="s">
        <v>258</v>
      </c>
      <c r="E493" s="2"/>
      <c r="F493" s="2"/>
      <c r="G493" s="7" t="e">
        <f>G494+G496</f>
        <v>#REF!</v>
      </c>
    </row>
    <row r="494" spans="1:7" ht="110.25">
      <c r="A494" s="26" t="s">
        <v>166</v>
      </c>
      <c r="B494" s="21" t="s">
        <v>517</v>
      </c>
      <c r="C494" s="42" t="s">
        <v>303</v>
      </c>
      <c r="D494" s="42" t="s">
        <v>258</v>
      </c>
      <c r="E494" s="2">
        <v>100</v>
      </c>
      <c r="F494" s="2"/>
      <c r="G494" s="7" t="e">
        <f>G495</f>
        <v>#REF!</v>
      </c>
    </row>
    <row r="495" spans="1:7" ht="31.5">
      <c r="A495" s="26" t="s">
        <v>381</v>
      </c>
      <c r="B495" s="21" t="s">
        <v>517</v>
      </c>
      <c r="C495" s="42" t="s">
        <v>303</v>
      </c>
      <c r="D495" s="42" t="s">
        <v>258</v>
      </c>
      <c r="E495" s="2">
        <v>110</v>
      </c>
      <c r="F495" s="2"/>
      <c r="G495" s="7" t="e">
        <f>#REF!</f>
        <v>#REF!</v>
      </c>
    </row>
    <row r="496" spans="1:7" ht="47.25">
      <c r="A496" s="26" t="s">
        <v>170</v>
      </c>
      <c r="B496" s="21" t="s">
        <v>517</v>
      </c>
      <c r="C496" s="42" t="s">
        <v>303</v>
      </c>
      <c r="D496" s="42" t="s">
        <v>258</v>
      </c>
      <c r="E496" s="2">
        <v>200</v>
      </c>
      <c r="F496" s="2"/>
      <c r="G496" s="7" t="e">
        <f>G497</f>
        <v>#REF!</v>
      </c>
    </row>
    <row r="497" spans="1:7" ht="47.25">
      <c r="A497" s="26" t="s">
        <v>172</v>
      </c>
      <c r="B497" s="21" t="s">
        <v>517</v>
      </c>
      <c r="C497" s="42" t="s">
        <v>303</v>
      </c>
      <c r="D497" s="42" t="s">
        <v>258</v>
      </c>
      <c r="E497" s="2">
        <v>240</v>
      </c>
      <c r="F497" s="2"/>
      <c r="G497" s="7" t="e">
        <f>#REF!</f>
        <v>#REF!</v>
      </c>
    </row>
    <row r="498" spans="1:7" ht="47.25">
      <c r="A498" s="31" t="s">
        <v>443</v>
      </c>
      <c r="B498" s="21" t="s">
        <v>374</v>
      </c>
      <c r="C498" s="42" t="s">
        <v>303</v>
      </c>
      <c r="D498" s="42" t="s">
        <v>258</v>
      </c>
      <c r="E498" s="2"/>
      <c r="F498" s="2">
        <v>906</v>
      </c>
      <c r="G498" s="7" t="e">
        <f>G490+G493</f>
        <v>#REF!</v>
      </c>
    </row>
    <row r="499" spans="1:7" ht="15.75">
      <c r="A499" s="84" t="s">
        <v>337</v>
      </c>
      <c r="B499" s="21" t="s">
        <v>374</v>
      </c>
      <c r="C499" s="42" t="s">
        <v>338</v>
      </c>
      <c r="D499" s="42"/>
      <c r="E499" s="2"/>
      <c r="F499" s="2"/>
      <c r="G499" s="7" t="e">
        <f>G500</f>
        <v>#REF!</v>
      </c>
    </row>
    <row r="500" spans="1:7" ht="31.5">
      <c r="A500" s="26" t="s">
        <v>372</v>
      </c>
      <c r="B500" s="21" t="s">
        <v>374</v>
      </c>
      <c r="C500" s="42" t="s">
        <v>338</v>
      </c>
      <c r="D500" s="42" t="s">
        <v>189</v>
      </c>
      <c r="E500" s="2"/>
      <c r="F500" s="2"/>
      <c r="G500" s="7" t="e">
        <f>G501+G504+G507</f>
        <v>#REF!</v>
      </c>
    </row>
    <row r="501" spans="1:7" ht="47.25" hidden="1">
      <c r="A501" s="26" t="s">
        <v>375</v>
      </c>
      <c r="B501" s="21" t="s">
        <v>376</v>
      </c>
      <c r="C501" s="42" t="s">
        <v>338</v>
      </c>
      <c r="D501" s="42" t="s">
        <v>189</v>
      </c>
      <c r="E501" s="2"/>
      <c r="F501" s="2"/>
      <c r="G501" s="7" t="e">
        <f>G502</f>
        <v>#REF!</v>
      </c>
    </row>
    <row r="502" spans="1:7" ht="47.25" hidden="1">
      <c r="A502" s="26" t="s">
        <v>170</v>
      </c>
      <c r="B502" s="21" t="s">
        <v>376</v>
      </c>
      <c r="C502" s="42" t="s">
        <v>338</v>
      </c>
      <c r="D502" s="42" t="s">
        <v>189</v>
      </c>
      <c r="E502" s="2">
        <v>200</v>
      </c>
      <c r="F502" s="2"/>
      <c r="G502" s="7" t="e">
        <f>G503</f>
        <v>#REF!</v>
      </c>
    </row>
    <row r="503" spans="1:7" ht="47.25" hidden="1">
      <c r="A503" s="26" t="s">
        <v>172</v>
      </c>
      <c r="B503" s="21" t="s">
        <v>376</v>
      </c>
      <c r="C503" s="42" t="s">
        <v>338</v>
      </c>
      <c r="D503" s="42" t="s">
        <v>189</v>
      </c>
      <c r="E503" s="2">
        <v>240</v>
      </c>
      <c r="F503" s="2"/>
      <c r="G503" s="7" t="e">
        <f>#REF!</f>
        <v>#REF!</v>
      </c>
    </row>
    <row r="504" spans="1:7" ht="31.5">
      <c r="A504" s="26" t="s">
        <v>377</v>
      </c>
      <c r="B504" s="21" t="s">
        <v>378</v>
      </c>
      <c r="C504" s="42" t="s">
        <v>338</v>
      </c>
      <c r="D504" s="42" t="s">
        <v>189</v>
      </c>
      <c r="E504" s="2"/>
      <c r="F504" s="2"/>
      <c r="G504" s="7" t="e">
        <f>G505</f>
        <v>#REF!</v>
      </c>
    </row>
    <row r="505" spans="1:7" ht="47.25">
      <c r="A505" s="26" t="s">
        <v>170</v>
      </c>
      <c r="B505" s="21" t="s">
        <v>378</v>
      </c>
      <c r="C505" s="42" t="s">
        <v>338</v>
      </c>
      <c r="D505" s="42" t="s">
        <v>189</v>
      </c>
      <c r="E505" s="2">
        <v>200</v>
      </c>
      <c r="F505" s="2"/>
      <c r="G505" s="7" t="e">
        <f>G506</f>
        <v>#REF!</v>
      </c>
    </row>
    <row r="506" spans="1:7" ht="47.25">
      <c r="A506" s="26" t="s">
        <v>172</v>
      </c>
      <c r="B506" s="21" t="s">
        <v>378</v>
      </c>
      <c r="C506" s="42" t="s">
        <v>338</v>
      </c>
      <c r="D506" s="42" t="s">
        <v>189</v>
      </c>
      <c r="E506" s="2">
        <v>240</v>
      </c>
      <c r="F506" s="2"/>
      <c r="G506" s="7" t="e">
        <f>#REF!</f>
        <v>#REF!</v>
      </c>
    </row>
    <row r="507" spans="1:7" ht="47.25">
      <c r="A507" s="26" t="s">
        <v>740</v>
      </c>
      <c r="B507" s="21" t="s">
        <v>741</v>
      </c>
      <c r="C507" s="42" t="s">
        <v>338</v>
      </c>
      <c r="D507" s="42" t="s">
        <v>189</v>
      </c>
      <c r="E507" s="2"/>
      <c r="F507" s="2"/>
      <c r="G507" s="7" t="e">
        <f>G508</f>
        <v>#REF!</v>
      </c>
    </row>
    <row r="508" spans="1:7" ht="47.25">
      <c r="A508" s="26" t="s">
        <v>170</v>
      </c>
      <c r="B508" s="21" t="s">
        <v>741</v>
      </c>
      <c r="C508" s="42" t="s">
        <v>338</v>
      </c>
      <c r="D508" s="42" t="s">
        <v>189</v>
      </c>
      <c r="E508" s="2">
        <v>200</v>
      </c>
      <c r="F508" s="2"/>
      <c r="G508" s="7" t="e">
        <f>G509</f>
        <v>#REF!</v>
      </c>
    </row>
    <row r="509" spans="1:7" ht="47.25">
      <c r="A509" s="26" t="s">
        <v>172</v>
      </c>
      <c r="B509" s="21" t="s">
        <v>741</v>
      </c>
      <c r="C509" s="42" t="s">
        <v>338</v>
      </c>
      <c r="D509" s="42" t="s">
        <v>189</v>
      </c>
      <c r="E509" s="2">
        <v>240</v>
      </c>
      <c r="F509" s="2"/>
      <c r="G509" s="7" t="e">
        <f>#REF!</f>
        <v>#REF!</v>
      </c>
    </row>
    <row r="510" spans="1:7" ht="63">
      <c r="A510" s="47" t="s">
        <v>300</v>
      </c>
      <c r="B510" s="21" t="s">
        <v>374</v>
      </c>
      <c r="C510" s="42" t="s">
        <v>338</v>
      </c>
      <c r="D510" s="42" t="s">
        <v>189</v>
      </c>
      <c r="E510" s="2"/>
      <c r="F510" s="2">
        <v>903</v>
      </c>
      <c r="G510" s="7" t="e">
        <f>G499</f>
        <v>#REF!</v>
      </c>
    </row>
    <row r="511" spans="1:7" ht="78.75">
      <c r="A511" s="43" t="s">
        <v>777</v>
      </c>
      <c r="B511" s="25" t="s">
        <v>775</v>
      </c>
      <c r="C511" s="8"/>
      <c r="D511" s="8"/>
      <c r="E511" s="3"/>
      <c r="F511" s="3"/>
      <c r="G511" s="4" t="e">
        <f>G512+G521</f>
        <v>#REF!</v>
      </c>
    </row>
    <row r="512" spans="1:9" s="142" customFormat="1" ht="15.75">
      <c r="A512" s="31" t="s">
        <v>156</v>
      </c>
      <c r="B512" s="21" t="s">
        <v>775</v>
      </c>
      <c r="C512" s="42" t="s">
        <v>157</v>
      </c>
      <c r="D512" s="42"/>
      <c r="E512" s="2"/>
      <c r="F512" s="2"/>
      <c r="G512" s="7" t="e">
        <f>G513</f>
        <v>#REF!</v>
      </c>
      <c r="I512" s="143"/>
    </row>
    <row r="513" spans="1:9" s="142" customFormat="1" ht="31.5">
      <c r="A513" s="31" t="s">
        <v>178</v>
      </c>
      <c r="B513" s="21" t="s">
        <v>775</v>
      </c>
      <c r="C513" s="42" t="s">
        <v>157</v>
      </c>
      <c r="D513" s="42" t="s">
        <v>179</v>
      </c>
      <c r="E513" s="2"/>
      <c r="F513" s="2"/>
      <c r="G513" s="7" t="e">
        <f>G514+G517</f>
        <v>#REF!</v>
      </c>
      <c r="I513" s="143"/>
    </row>
    <row r="514" spans="1:7" ht="47.25">
      <c r="A514" s="33" t="s">
        <v>196</v>
      </c>
      <c r="B514" s="21" t="s">
        <v>783</v>
      </c>
      <c r="C514" s="42" t="s">
        <v>157</v>
      </c>
      <c r="D514" s="42" t="s">
        <v>179</v>
      </c>
      <c r="E514" s="2"/>
      <c r="F514" s="2"/>
      <c r="G514" s="7" t="e">
        <f>G515</f>
        <v>#REF!</v>
      </c>
    </row>
    <row r="515" spans="1:7" ht="47.25">
      <c r="A515" s="26" t="s">
        <v>170</v>
      </c>
      <c r="B515" s="21" t="s">
        <v>783</v>
      </c>
      <c r="C515" s="42" t="s">
        <v>157</v>
      </c>
      <c r="D515" s="42" t="s">
        <v>179</v>
      </c>
      <c r="E515" s="2">
        <v>200</v>
      </c>
      <c r="F515" s="2"/>
      <c r="G515" s="7" t="e">
        <f>G516</f>
        <v>#REF!</v>
      </c>
    </row>
    <row r="516" spans="1:7" ht="47.25">
      <c r="A516" s="26" t="s">
        <v>172</v>
      </c>
      <c r="B516" s="21" t="s">
        <v>783</v>
      </c>
      <c r="C516" s="42" t="s">
        <v>157</v>
      </c>
      <c r="D516" s="42" t="s">
        <v>179</v>
      </c>
      <c r="E516" s="2">
        <v>240</v>
      </c>
      <c r="F516" s="2"/>
      <c r="G516" s="7" t="e">
        <f>#REF!</f>
        <v>#REF!</v>
      </c>
    </row>
    <row r="517" spans="1:7" ht="66" customHeight="1" hidden="1">
      <c r="A517" s="31"/>
      <c r="B517" s="21" t="s">
        <v>776</v>
      </c>
      <c r="C517" s="42" t="s">
        <v>157</v>
      </c>
      <c r="D517" s="42" t="s">
        <v>179</v>
      </c>
      <c r="E517" s="2"/>
      <c r="F517" s="2"/>
      <c r="G517" s="7" t="e">
        <f>G518</f>
        <v>#REF!</v>
      </c>
    </row>
    <row r="518" spans="1:7" ht="47.25" hidden="1">
      <c r="A518" s="26" t="s">
        <v>170</v>
      </c>
      <c r="B518" s="21" t="s">
        <v>776</v>
      </c>
      <c r="C518" s="42" t="s">
        <v>157</v>
      </c>
      <c r="D518" s="42" t="s">
        <v>179</v>
      </c>
      <c r="E518" s="2">
        <v>200</v>
      </c>
      <c r="F518" s="2"/>
      <c r="G518" s="7" t="e">
        <f>G519</f>
        <v>#REF!</v>
      </c>
    </row>
    <row r="519" spans="1:7" ht="47.25" hidden="1">
      <c r="A519" s="26" t="s">
        <v>172</v>
      </c>
      <c r="B519" s="21" t="s">
        <v>776</v>
      </c>
      <c r="C519" s="42" t="s">
        <v>157</v>
      </c>
      <c r="D519" s="42" t="s">
        <v>179</v>
      </c>
      <c r="E519" s="2">
        <v>240</v>
      </c>
      <c r="F519" s="2"/>
      <c r="G519" s="7" t="e">
        <f>#REF!</f>
        <v>#REF!</v>
      </c>
    </row>
    <row r="520" spans="1:7" ht="31.5">
      <c r="A520" s="31" t="s">
        <v>187</v>
      </c>
      <c r="B520" s="21" t="s">
        <v>775</v>
      </c>
      <c r="C520" s="42" t="s">
        <v>157</v>
      </c>
      <c r="D520" s="42" t="s">
        <v>179</v>
      </c>
      <c r="E520" s="2"/>
      <c r="F520" s="2">
        <v>902</v>
      </c>
      <c r="G520" s="7" t="e">
        <f>G511</f>
        <v>#REF!</v>
      </c>
    </row>
    <row r="521" spans="1:9" s="142" customFormat="1" ht="15.75">
      <c r="A521" s="26" t="s">
        <v>337</v>
      </c>
      <c r="B521" s="21" t="s">
        <v>775</v>
      </c>
      <c r="C521" s="42" t="s">
        <v>338</v>
      </c>
      <c r="D521" s="42"/>
      <c r="E521" s="2"/>
      <c r="F521" s="2"/>
      <c r="G521" s="7" t="e">
        <f>G522</f>
        <v>#REF!</v>
      </c>
      <c r="I521" s="143"/>
    </row>
    <row r="522" spans="1:7" ht="31.5">
      <c r="A522" s="43" t="s">
        <v>372</v>
      </c>
      <c r="B522" s="21" t="s">
        <v>775</v>
      </c>
      <c r="C522" s="42" t="s">
        <v>338</v>
      </c>
      <c r="D522" s="42" t="s">
        <v>189</v>
      </c>
      <c r="E522" s="2"/>
      <c r="F522" s="2"/>
      <c r="G522" s="7" t="e">
        <f>G523</f>
        <v>#REF!</v>
      </c>
    </row>
    <row r="523" spans="1:7" ht="47.25">
      <c r="A523" s="33" t="s">
        <v>196</v>
      </c>
      <c r="B523" s="21" t="s">
        <v>783</v>
      </c>
      <c r="C523" s="42" t="s">
        <v>338</v>
      </c>
      <c r="D523" s="42" t="s">
        <v>189</v>
      </c>
      <c r="E523" s="2"/>
      <c r="F523" s="2"/>
      <c r="G523" s="7" t="e">
        <f>G524</f>
        <v>#REF!</v>
      </c>
    </row>
    <row r="524" spans="1:7" ht="47.25">
      <c r="A524" s="26" t="s">
        <v>170</v>
      </c>
      <c r="B524" s="21" t="s">
        <v>783</v>
      </c>
      <c r="C524" s="42" t="s">
        <v>338</v>
      </c>
      <c r="D524" s="42" t="s">
        <v>189</v>
      </c>
      <c r="E524" s="2">
        <v>200</v>
      </c>
      <c r="F524" s="2"/>
      <c r="G524" s="7" t="e">
        <f>G525</f>
        <v>#REF!</v>
      </c>
    </row>
    <row r="525" spans="1:7" ht="47.25">
      <c r="A525" s="26" t="s">
        <v>172</v>
      </c>
      <c r="B525" s="21" t="s">
        <v>783</v>
      </c>
      <c r="C525" s="42" t="s">
        <v>338</v>
      </c>
      <c r="D525" s="42" t="s">
        <v>189</v>
      </c>
      <c r="E525" s="2">
        <v>240</v>
      </c>
      <c r="F525" s="2"/>
      <c r="G525" s="7" t="e">
        <f>#REF!</f>
        <v>#REF!</v>
      </c>
    </row>
    <row r="526" spans="1:7" ht="63">
      <c r="A526" s="47" t="s">
        <v>300</v>
      </c>
      <c r="B526" s="21" t="s">
        <v>775</v>
      </c>
      <c r="C526" s="42" t="s">
        <v>338</v>
      </c>
      <c r="D526" s="42" t="s">
        <v>189</v>
      </c>
      <c r="E526" s="2"/>
      <c r="F526" s="2">
        <v>903</v>
      </c>
      <c r="G526" s="7" t="e">
        <f>G522</f>
        <v>#REF!</v>
      </c>
    </row>
    <row r="527" spans="1:7" ht="78.75">
      <c r="A527" s="24" t="s">
        <v>779</v>
      </c>
      <c r="B527" s="25" t="s">
        <v>781</v>
      </c>
      <c r="C527" s="8"/>
      <c r="D527" s="8"/>
      <c r="E527" s="3"/>
      <c r="F527" s="3"/>
      <c r="G527" s="4" t="e">
        <f>G528</f>
        <v>#REF!</v>
      </c>
    </row>
    <row r="528" spans="1:7" ht="15.75">
      <c r="A528" s="26" t="s">
        <v>430</v>
      </c>
      <c r="B528" s="21" t="s">
        <v>781</v>
      </c>
      <c r="C528" s="42" t="s">
        <v>273</v>
      </c>
      <c r="D528" s="42"/>
      <c r="E528" s="2"/>
      <c r="F528" s="2"/>
      <c r="G528" s="7" t="e">
        <f>G529</f>
        <v>#REF!</v>
      </c>
    </row>
    <row r="529" spans="1:7" ht="15.75">
      <c r="A529" s="26" t="s">
        <v>581</v>
      </c>
      <c r="B529" s="21" t="s">
        <v>781</v>
      </c>
      <c r="C529" s="42" t="s">
        <v>273</v>
      </c>
      <c r="D529" s="42" t="s">
        <v>254</v>
      </c>
      <c r="E529" s="2"/>
      <c r="F529" s="2"/>
      <c r="G529" s="7" t="e">
        <f>G530</f>
        <v>#REF!</v>
      </c>
    </row>
    <row r="530" spans="1:7" ht="31.5">
      <c r="A530" s="147" t="s">
        <v>780</v>
      </c>
      <c r="B530" s="21" t="s">
        <v>782</v>
      </c>
      <c r="C530" s="42" t="s">
        <v>273</v>
      </c>
      <c r="D530" s="42" t="s">
        <v>254</v>
      </c>
      <c r="E530" s="2"/>
      <c r="F530" s="2"/>
      <c r="G530" s="7" t="e">
        <f>G531</f>
        <v>#REF!</v>
      </c>
    </row>
    <row r="531" spans="1:7" ht="47.25">
      <c r="A531" s="26" t="s">
        <v>170</v>
      </c>
      <c r="B531" s="21" t="s">
        <v>782</v>
      </c>
      <c r="C531" s="42" t="s">
        <v>273</v>
      </c>
      <c r="D531" s="42" t="s">
        <v>254</v>
      </c>
      <c r="E531" s="2">
        <v>200</v>
      </c>
      <c r="F531" s="2"/>
      <c r="G531" s="7" t="e">
        <f>G532</f>
        <v>#REF!</v>
      </c>
    </row>
    <row r="532" spans="1:7" ht="47.25">
      <c r="A532" s="26" t="s">
        <v>172</v>
      </c>
      <c r="B532" s="21" t="s">
        <v>782</v>
      </c>
      <c r="C532" s="42" t="s">
        <v>273</v>
      </c>
      <c r="D532" s="42" t="s">
        <v>254</v>
      </c>
      <c r="E532" s="2">
        <v>240</v>
      </c>
      <c r="F532" s="2"/>
      <c r="G532" s="7" t="e">
        <f>#REF!</f>
        <v>#REF!</v>
      </c>
    </row>
    <row r="533" spans="1:7" ht="47.25">
      <c r="A533" s="47" t="s">
        <v>681</v>
      </c>
      <c r="B533" s="21" t="s">
        <v>781</v>
      </c>
      <c r="C533" s="42" t="s">
        <v>273</v>
      </c>
      <c r="D533" s="42" t="s">
        <v>254</v>
      </c>
      <c r="E533" s="2"/>
      <c r="F533" s="2">
        <v>908</v>
      </c>
      <c r="G533" s="7" t="e">
        <f>G527</f>
        <v>#REF!</v>
      </c>
    </row>
    <row r="534" spans="1:7" ht="15.75">
      <c r="A534" s="83" t="s">
        <v>715</v>
      </c>
      <c r="B534" s="83"/>
      <c r="C534" s="83"/>
      <c r="D534" s="89"/>
      <c r="E534" s="89"/>
      <c r="F534" s="89"/>
      <c r="G534" s="141" t="e">
        <f>G10+G19+G102+G217+G224+G242+G249+G271+G326+G409+G419+G451+G458+G487+G511+G527</f>
        <v>#REF!</v>
      </c>
    </row>
  </sheetData>
  <mergeCells count="1">
    <mergeCell ref="A5:G5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90" zoomScaleNormal="90" workbookViewId="0" topLeftCell="A1">
      <selection activeCell="H4" sqref="H4:I4"/>
    </sheetView>
  </sheetViews>
  <sheetFormatPr defaultColWidth="9.140625" defaultRowHeight="15"/>
  <cols>
    <col min="1" max="1" width="33.28125" style="0" customWidth="1"/>
    <col min="2" max="2" width="7.7109375" style="0" customWidth="1"/>
    <col min="4" max="4" width="8.00390625" style="0" customWidth="1"/>
    <col min="5" max="5" width="15.8515625" style="0" customWidth="1"/>
    <col min="7" max="7" width="16.8515625" style="0" customWidth="1"/>
    <col min="8" max="9" width="16.8515625" style="299" customWidth="1"/>
  </cols>
  <sheetData>
    <row r="1" spans="1:9" ht="18.75" customHeight="1">
      <c r="A1" s="381"/>
      <c r="B1" s="381"/>
      <c r="C1" s="381"/>
      <c r="D1" s="13"/>
      <c r="E1" s="299"/>
      <c r="F1" s="299"/>
      <c r="G1" s="281"/>
      <c r="H1" s="386" t="s">
        <v>1118</v>
      </c>
      <c r="I1" s="386"/>
    </row>
    <row r="2" spans="1:9" ht="18.75" customHeight="1">
      <c r="A2" s="381"/>
      <c r="B2" s="381"/>
      <c r="C2" s="381"/>
      <c r="D2" s="13"/>
      <c r="E2" s="299"/>
      <c r="F2" s="299"/>
      <c r="G2" s="281"/>
      <c r="H2" s="360" t="s">
        <v>1127</v>
      </c>
      <c r="I2" s="360"/>
    </row>
    <row r="3" spans="1:9" ht="15.75">
      <c r="A3" s="13"/>
      <c r="B3" s="13"/>
      <c r="C3" s="13"/>
      <c r="D3" s="13"/>
      <c r="E3" s="13"/>
      <c r="F3" s="13"/>
      <c r="G3" s="73"/>
      <c r="H3" s="361" t="s">
        <v>1117</v>
      </c>
      <c r="I3" s="361"/>
    </row>
    <row r="4" spans="1:9" s="299" customFormat="1" ht="18.75" customHeight="1">
      <c r="A4" s="13"/>
      <c r="B4" s="13"/>
      <c r="C4" s="13"/>
      <c r="D4" s="13"/>
      <c r="E4" s="13"/>
      <c r="F4" s="13"/>
      <c r="G4" s="73"/>
      <c r="H4" s="386" t="s">
        <v>1128</v>
      </c>
      <c r="I4" s="386"/>
    </row>
    <row r="5" spans="1:9" s="299" customFormat="1" ht="18.75" customHeight="1">
      <c r="A5" s="13"/>
      <c r="B5" s="13"/>
      <c r="C5" s="13"/>
      <c r="D5" s="13"/>
      <c r="E5" s="13"/>
      <c r="F5" s="13"/>
      <c r="G5" s="73"/>
      <c r="H5" s="386" t="s">
        <v>1116</v>
      </c>
      <c r="I5" s="386"/>
    </row>
    <row r="6" spans="1:9" s="299" customFormat="1" ht="18.75">
      <c r="A6" s="13"/>
      <c r="B6" s="13"/>
      <c r="C6" s="13"/>
      <c r="D6" s="13"/>
      <c r="E6" s="13"/>
      <c r="F6" s="13"/>
      <c r="G6" s="73"/>
      <c r="H6" s="73"/>
      <c r="I6" s="312"/>
    </row>
    <row r="7" spans="1:9" ht="15" customHeight="1">
      <c r="A7" s="385" t="s">
        <v>1085</v>
      </c>
      <c r="B7" s="385"/>
      <c r="C7" s="385"/>
      <c r="D7" s="385"/>
      <c r="E7" s="385"/>
      <c r="F7" s="385"/>
      <c r="G7" s="385"/>
      <c r="H7" s="385"/>
      <c r="I7" s="385"/>
    </row>
    <row r="8" spans="1:9" ht="15" customHeight="1">
      <c r="A8" s="385"/>
      <c r="B8" s="385"/>
      <c r="C8" s="385"/>
      <c r="D8" s="385"/>
      <c r="E8" s="385"/>
      <c r="F8" s="385"/>
      <c r="G8" s="385"/>
      <c r="H8" s="385"/>
      <c r="I8" s="385"/>
    </row>
    <row r="9" spans="1:9" ht="15.75">
      <c r="A9" s="13"/>
      <c r="B9" s="13"/>
      <c r="C9" s="13"/>
      <c r="D9" s="13"/>
      <c r="E9" s="90"/>
      <c r="F9" s="90"/>
      <c r="G9" s="76"/>
      <c r="H9" s="76"/>
      <c r="I9" s="76"/>
    </row>
    <row r="10" spans="1:9" ht="45">
      <c r="A10" s="91" t="s">
        <v>632</v>
      </c>
      <c r="B10" s="91" t="s">
        <v>679</v>
      </c>
      <c r="C10" s="91" t="s">
        <v>676</v>
      </c>
      <c r="D10" s="91" t="s">
        <v>677</v>
      </c>
      <c r="E10" s="91" t="s">
        <v>675</v>
      </c>
      <c r="F10" s="91" t="s">
        <v>678</v>
      </c>
      <c r="G10" s="200" t="s">
        <v>1074</v>
      </c>
      <c r="H10" s="200" t="s">
        <v>1087</v>
      </c>
      <c r="I10" s="200" t="s">
        <v>1075</v>
      </c>
    </row>
    <row r="11" spans="1:11" ht="95.25" customHeight="1" hidden="1">
      <c r="A11" s="377" t="s">
        <v>993</v>
      </c>
      <c r="B11" s="377"/>
      <c r="C11" s="377"/>
      <c r="D11" s="377"/>
      <c r="E11" s="377"/>
      <c r="F11" s="377"/>
      <c r="G11" s="92">
        <f>G13</f>
        <v>0</v>
      </c>
      <c r="H11" s="92">
        <f aca="true" t="shared" si="0" ref="H11">H13</f>
        <v>0</v>
      </c>
      <c r="I11" s="92" t="e">
        <f>H11/G11*100</f>
        <v>#DIV/0!</v>
      </c>
      <c r="K11" s="284"/>
    </row>
    <row r="12" spans="1:9" ht="78.75" hidden="1">
      <c r="A12" s="5" t="s">
        <v>716</v>
      </c>
      <c r="B12" s="5">
        <v>903</v>
      </c>
      <c r="C12" s="5"/>
      <c r="D12" s="5"/>
      <c r="E12" s="5"/>
      <c r="F12" s="5"/>
      <c r="G12" s="92">
        <f>G13</f>
        <v>0</v>
      </c>
      <c r="H12" s="92">
        <f aca="true" t="shared" si="1" ref="H12:I13">H13</f>
        <v>0</v>
      </c>
      <c r="I12" s="92">
        <f t="shared" si="1"/>
        <v>0</v>
      </c>
    </row>
    <row r="13" spans="1:9" ht="31.5" hidden="1">
      <c r="A13" s="24" t="s">
        <v>304</v>
      </c>
      <c r="B13" s="6">
        <v>903</v>
      </c>
      <c r="C13" s="42" t="s">
        <v>303</v>
      </c>
      <c r="D13" s="42"/>
      <c r="E13" s="42"/>
      <c r="F13" s="42"/>
      <c r="G13" s="93">
        <f>G14</f>
        <v>0</v>
      </c>
      <c r="H13" s="93">
        <f t="shared" si="1"/>
        <v>0</v>
      </c>
      <c r="I13" s="93">
        <f t="shared" si="1"/>
        <v>0</v>
      </c>
    </row>
    <row r="14" spans="1:9" ht="63" hidden="1">
      <c r="A14" s="26" t="s">
        <v>305</v>
      </c>
      <c r="B14" s="6">
        <v>903</v>
      </c>
      <c r="C14" s="42" t="s">
        <v>303</v>
      </c>
      <c r="D14" s="42" t="s">
        <v>254</v>
      </c>
      <c r="E14" s="21" t="s">
        <v>306</v>
      </c>
      <c r="F14" s="21"/>
      <c r="G14" s="93">
        <f>G16</f>
        <v>0</v>
      </c>
      <c r="H14" s="93">
        <f aca="true" t="shared" si="2" ref="H14:I14">H16</f>
        <v>0</v>
      </c>
      <c r="I14" s="93">
        <f t="shared" si="2"/>
        <v>0</v>
      </c>
    </row>
    <row r="15" spans="1:9" ht="78.75" hidden="1">
      <c r="A15" s="26" t="s">
        <v>307</v>
      </c>
      <c r="B15" s="6">
        <v>903</v>
      </c>
      <c r="C15" s="42" t="s">
        <v>303</v>
      </c>
      <c r="D15" s="42" t="s">
        <v>254</v>
      </c>
      <c r="E15" s="21" t="s">
        <v>308</v>
      </c>
      <c r="F15" s="21"/>
      <c r="G15" s="93">
        <f>G16</f>
        <v>0</v>
      </c>
      <c r="H15" s="93">
        <f aca="true" t="shared" si="3" ref="H15:I17">H16</f>
        <v>0</v>
      </c>
      <c r="I15" s="93">
        <f t="shared" si="3"/>
        <v>0</v>
      </c>
    </row>
    <row r="16" spans="1:9" ht="47.25" hidden="1">
      <c r="A16" s="279" t="s">
        <v>983</v>
      </c>
      <c r="B16" s="6">
        <v>903</v>
      </c>
      <c r="C16" s="42" t="s">
        <v>303</v>
      </c>
      <c r="D16" s="42" t="s">
        <v>254</v>
      </c>
      <c r="E16" s="21" t="s">
        <v>984</v>
      </c>
      <c r="F16" s="21"/>
      <c r="G16" s="93">
        <f>G17</f>
        <v>0</v>
      </c>
      <c r="H16" s="93">
        <f t="shared" si="3"/>
        <v>0</v>
      </c>
      <c r="I16" s="93">
        <f t="shared" si="3"/>
        <v>0</v>
      </c>
    </row>
    <row r="17" spans="1:9" ht="31.5" hidden="1">
      <c r="A17" s="26" t="s">
        <v>287</v>
      </c>
      <c r="B17" s="6">
        <v>903</v>
      </c>
      <c r="C17" s="42" t="s">
        <v>303</v>
      </c>
      <c r="D17" s="42" t="s">
        <v>254</v>
      </c>
      <c r="E17" s="21" t="s">
        <v>984</v>
      </c>
      <c r="F17" s="21" t="s">
        <v>288</v>
      </c>
      <c r="G17" s="93">
        <f>G18</f>
        <v>0</v>
      </c>
      <c r="H17" s="93">
        <f t="shared" si="3"/>
        <v>0</v>
      </c>
      <c r="I17" s="93">
        <f t="shared" si="3"/>
        <v>0</v>
      </c>
    </row>
    <row r="18" spans="1:9" ht="47.25" hidden="1">
      <c r="A18" s="26" t="s">
        <v>387</v>
      </c>
      <c r="B18" s="6">
        <v>903</v>
      </c>
      <c r="C18" s="42" t="s">
        <v>303</v>
      </c>
      <c r="D18" s="42" t="s">
        <v>254</v>
      </c>
      <c r="E18" s="21" t="s">
        <v>984</v>
      </c>
      <c r="F18" s="21" t="s">
        <v>388</v>
      </c>
      <c r="G18" s="93"/>
      <c r="H18" s="93"/>
      <c r="I18" s="93"/>
    </row>
    <row r="19" spans="1:9" ht="64.5" customHeight="1" hidden="1">
      <c r="A19" s="382" t="s">
        <v>894</v>
      </c>
      <c r="B19" s="383"/>
      <c r="C19" s="383"/>
      <c r="D19" s="383"/>
      <c r="E19" s="383"/>
      <c r="F19" s="384"/>
      <c r="G19" s="92">
        <f aca="true" t="shared" si="4" ref="G19:I26">G20</f>
        <v>0</v>
      </c>
      <c r="H19" s="92">
        <f t="shared" si="4"/>
        <v>0</v>
      </c>
      <c r="I19" s="92">
        <f t="shared" si="4"/>
        <v>0</v>
      </c>
    </row>
    <row r="20" spans="1:9" ht="50.25" customHeight="1" hidden="1">
      <c r="A20" s="229" t="s">
        <v>187</v>
      </c>
      <c r="B20" s="229">
        <v>902</v>
      </c>
      <c r="C20" s="229"/>
      <c r="D20" s="229"/>
      <c r="E20" s="229"/>
      <c r="F20" s="229"/>
      <c r="G20" s="92">
        <f t="shared" si="4"/>
        <v>0</v>
      </c>
      <c r="H20" s="92">
        <f t="shared" si="4"/>
        <v>0</v>
      </c>
      <c r="I20" s="92">
        <f t="shared" si="4"/>
        <v>0</v>
      </c>
    </row>
    <row r="21" spans="1:9" ht="15.75" hidden="1">
      <c r="A21" s="24" t="s">
        <v>282</v>
      </c>
      <c r="B21" s="20">
        <v>902</v>
      </c>
      <c r="C21" s="25" t="s">
        <v>283</v>
      </c>
      <c r="D21" s="25"/>
      <c r="E21" s="25"/>
      <c r="F21" s="25"/>
      <c r="G21" s="92">
        <f t="shared" si="4"/>
        <v>0</v>
      </c>
      <c r="H21" s="92">
        <f t="shared" si="4"/>
        <v>0</v>
      </c>
      <c r="I21" s="92">
        <f t="shared" si="4"/>
        <v>0</v>
      </c>
    </row>
    <row r="22" spans="1:9" ht="15.75" hidden="1">
      <c r="A22" s="24" t="s">
        <v>284</v>
      </c>
      <c r="B22" s="20">
        <v>902</v>
      </c>
      <c r="C22" s="25" t="s">
        <v>283</v>
      </c>
      <c r="D22" s="25" t="s">
        <v>157</v>
      </c>
      <c r="E22" s="25"/>
      <c r="F22" s="25"/>
      <c r="G22" s="92">
        <f t="shared" si="4"/>
        <v>0</v>
      </c>
      <c r="H22" s="92">
        <f t="shared" si="4"/>
        <v>0</v>
      </c>
      <c r="I22" s="92">
        <f t="shared" si="4"/>
        <v>0</v>
      </c>
    </row>
    <row r="23" spans="1:9" ht="15.75" hidden="1">
      <c r="A23" s="26" t="s">
        <v>160</v>
      </c>
      <c r="B23" s="17">
        <v>902</v>
      </c>
      <c r="C23" s="21" t="s">
        <v>283</v>
      </c>
      <c r="D23" s="21" t="s">
        <v>157</v>
      </c>
      <c r="E23" s="21" t="s">
        <v>161</v>
      </c>
      <c r="F23" s="21"/>
      <c r="G23" s="93">
        <f t="shared" si="4"/>
        <v>0</v>
      </c>
      <c r="H23" s="93">
        <f t="shared" si="4"/>
        <v>0</v>
      </c>
      <c r="I23" s="93">
        <f t="shared" si="4"/>
        <v>0</v>
      </c>
    </row>
    <row r="24" spans="1:9" ht="31.5" hidden="1">
      <c r="A24" s="26" t="s">
        <v>180</v>
      </c>
      <c r="B24" s="17">
        <v>902</v>
      </c>
      <c r="C24" s="21" t="s">
        <v>283</v>
      </c>
      <c r="D24" s="21" t="s">
        <v>157</v>
      </c>
      <c r="E24" s="21" t="s">
        <v>181</v>
      </c>
      <c r="F24" s="21"/>
      <c r="G24" s="93">
        <f t="shared" si="4"/>
        <v>0</v>
      </c>
      <c r="H24" s="93">
        <f t="shared" si="4"/>
        <v>0</v>
      </c>
      <c r="I24" s="93">
        <f t="shared" si="4"/>
        <v>0</v>
      </c>
    </row>
    <row r="25" spans="1:9" ht="31.5" hidden="1">
      <c r="A25" s="26" t="s">
        <v>285</v>
      </c>
      <c r="B25" s="17">
        <v>902</v>
      </c>
      <c r="C25" s="21" t="s">
        <v>283</v>
      </c>
      <c r="D25" s="21" t="s">
        <v>157</v>
      </c>
      <c r="E25" s="21" t="s">
        <v>286</v>
      </c>
      <c r="F25" s="21"/>
      <c r="G25" s="93">
        <f t="shared" si="4"/>
        <v>0</v>
      </c>
      <c r="H25" s="93">
        <f t="shared" si="4"/>
        <v>0</v>
      </c>
      <c r="I25" s="93">
        <f t="shared" si="4"/>
        <v>0</v>
      </c>
    </row>
    <row r="26" spans="1:9" ht="31.5" hidden="1">
      <c r="A26" s="26" t="s">
        <v>287</v>
      </c>
      <c r="B26" s="17">
        <v>902</v>
      </c>
      <c r="C26" s="21" t="s">
        <v>283</v>
      </c>
      <c r="D26" s="21" t="s">
        <v>157</v>
      </c>
      <c r="E26" s="21" t="s">
        <v>286</v>
      </c>
      <c r="F26" s="21" t="s">
        <v>288</v>
      </c>
      <c r="G26" s="93">
        <f t="shared" si="4"/>
        <v>0</v>
      </c>
      <c r="H26" s="93">
        <f t="shared" si="4"/>
        <v>0</v>
      </c>
      <c r="I26" s="93">
        <f t="shared" si="4"/>
        <v>0</v>
      </c>
    </row>
    <row r="27" spans="1:9" ht="63" hidden="1">
      <c r="A27" s="26" t="s">
        <v>289</v>
      </c>
      <c r="B27" s="17">
        <v>902</v>
      </c>
      <c r="C27" s="21" t="s">
        <v>283</v>
      </c>
      <c r="D27" s="21" t="s">
        <v>157</v>
      </c>
      <c r="E27" s="21" t="s">
        <v>286</v>
      </c>
      <c r="F27" s="21" t="s">
        <v>388</v>
      </c>
      <c r="G27" s="93"/>
      <c r="H27" s="93"/>
      <c r="I27" s="93"/>
    </row>
    <row r="28" spans="1:9" ht="60" customHeight="1">
      <c r="A28" s="378" t="s">
        <v>717</v>
      </c>
      <c r="B28" s="379"/>
      <c r="C28" s="379"/>
      <c r="D28" s="379"/>
      <c r="E28" s="379"/>
      <c r="F28" s="380"/>
      <c r="G28" s="92">
        <f>G29</f>
        <v>1610.7</v>
      </c>
      <c r="H28" s="92">
        <f aca="true" t="shared" si="5" ref="H28">H29</f>
        <v>833.9</v>
      </c>
      <c r="I28" s="92">
        <f aca="true" t="shared" si="6" ref="I28:I50">H28/G28*100</f>
        <v>51.77252126404669</v>
      </c>
    </row>
    <row r="29" spans="1:9" ht="78.75">
      <c r="A29" s="5" t="s">
        <v>716</v>
      </c>
      <c r="B29" s="5">
        <v>903</v>
      </c>
      <c r="C29" s="5"/>
      <c r="D29" s="5"/>
      <c r="E29" s="5"/>
      <c r="F29" s="5"/>
      <c r="G29" s="92">
        <f>G30+G35</f>
        <v>1610.7</v>
      </c>
      <c r="H29" s="92">
        <f aca="true" t="shared" si="7" ref="H29">H30+H35</f>
        <v>833.9</v>
      </c>
      <c r="I29" s="92">
        <f t="shared" si="6"/>
        <v>51.77252126404669</v>
      </c>
    </row>
    <row r="30" spans="1:9" ht="15.75">
      <c r="A30" s="64" t="s">
        <v>302</v>
      </c>
      <c r="B30" s="276">
        <v>903</v>
      </c>
      <c r="C30" s="8" t="s">
        <v>303</v>
      </c>
      <c r="D30" s="42"/>
      <c r="E30" s="276"/>
      <c r="F30" s="276"/>
      <c r="G30" s="92">
        <f>G31</f>
        <v>25</v>
      </c>
      <c r="H30" s="92">
        <f aca="true" t="shared" si="8" ref="H30:H33">H31</f>
        <v>25</v>
      </c>
      <c r="I30" s="92">
        <f t="shared" si="6"/>
        <v>100</v>
      </c>
    </row>
    <row r="31" spans="1:9" ht="31.5">
      <c r="A31" s="47" t="s">
        <v>506</v>
      </c>
      <c r="B31" s="6">
        <v>903</v>
      </c>
      <c r="C31" s="42" t="s">
        <v>303</v>
      </c>
      <c r="D31" s="42" t="s">
        <v>303</v>
      </c>
      <c r="E31" s="276"/>
      <c r="F31" s="276"/>
      <c r="G31" s="93">
        <f>G32</f>
        <v>25</v>
      </c>
      <c r="H31" s="93">
        <f t="shared" si="8"/>
        <v>25</v>
      </c>
      <c r="I31" s="93">
        <f t="shared" si="6"/>
        <v>100</v>
      </c>
    </row>
    <row r="32" spans="1:9" ht="47.25">
      <c r="A32" s="31" t="s">
        <v>384</v>
      </c>
      <c r="B32" s="6">
        <v>903</v>
      </c>
      <c r="C32" s="42" t="s">
        <v>303</v>
      </c>
      <c r="D32" s="42" t="s">
        <v>303</v>
      </c>
      <c r="E32" s="42" t="s">
        <v>385</v>
      </c>
      <c r="F32" s="42"/>
      <c r="G32" s="93">
        <f>G33</f>
        <v>25</v>
      </c>
      <c r="H32" s="93">
        <f t="shared" si="8"/>
        <v>25</v>
      </c>
      <c r="I32" s="93">
        <f t="shared" si="6"/>
        <v>100</v>
      </c>
    </row>
    <row r="33" spans="1:9" ht="31.5">
      <c r="A33" s="31" t="s">
        <v>287</v>
      </c>
      <c r="B33" s="6">
        <v>903</v>
      </c>
      <c r="C33" s="42" t="s">
        <v>303</v>
      </c>
      <c r="D33" s="42" t="s">
        <v>303</v>
      </c>
      <c r="E33" s="42" t="s">
        <v>386</v>
      </c>
      <c r="F33" s="42" t="s">
        <v>288</v>
      </c>
      <c r="G33" s="93">
        <f>G34</f>
        <v>25</v>
      </c>
      <c r="H33" s="93">
        <f t="shared" si="8"/>
        <v>25</v>
      </c>
      <c r="I33" s="93">
        <f t="shared" si="6"/>
        <v>100</v>
      </c>
    </row>
    <row r="34" spans="1:9" ht="47.25">
      <c r="A34" s="31" t="s">
        <v>387</v>
      </c>
      <c r="B34" s="6">
        <v>903</v>
      </c>
      <c r="C34" s="42" t="s">
        <v>303</v>
      </c>
      <c r="D34" s="42" t="s">
        <v>303</v>
      </c>
      <c r="E34" s="42" t="s">
        <v>386</v>
      </c>
      <c r="F34" s="42" t="s">
        <v>388</v>
      </c>
      <c r="G34" s="93">
        <f>'Прил.№4 ведомств.'!G368</f>
        <v>25</v>
      </c>
      <c r="H34" s="93">
        <f>'Прил.№4 ведомств.'!H368</f>
        <v>25</v>
      </c>
      <c r="I34" s="93">
        <f t="shared" si="6"/>
        <v>100</v>
      </c>
    </row>
    <row r="35" spans="1:9" ht="15.75">
      <c r="A35" s="286" t="s">
        <v>282</v>
      </c>
      <c r="B35" s="9" t="s">
        <v>685</v>
      </c>
      <c r="C35" s="9" t="s">
        <v>283</v>
      </c>
      <c r="D35" s="10"/>
      <c r="E35" s="10"/>
      <c r="F35" s="10"/>
      <c r="G35" s="287">
        <f>G36</f>
        <v>1585.7</v>
      </c>
      <c r="H35" s="287">
        <f aca="true" t="shared" si="9" ref="H35:H36">H36</f>
        <v>808.9</v>
      </c>
      <c r="I35" s="92">
        <f t="shared" si="6"/>
        <v>51.01217128082235</v>
      </c>
    </row>
    <row r="36" spans="1:9" ht="31.5">
      <c r="A36" s="31" t="s">
        <v>291</v>
      </c>
      <c r="B36" s="6">
        <v>903</v>
      </c>
      <c r="C36" s="42" t="s">
        <v>283</v>
      </c>
      <c r="D36" s="42" t="s">
        <v>254</v>
      </c>
      <c r="E36" s="42"/>
      <c r="F36" s="42"/>
      <c r="G36" s="93">
        <f>G37</f>
        <v>1585.7</v>
      </c>
      <c r="H36" s="93">
        <f t="shared" si="9"/>
        <v>808.9</v>
      </c>
      <c r="I36" s="93">
        <f t="shared" si="6"/>
        <v>51.01217128082235</v>
      </c>
    </row>
    <row r="37" spans="1:9" ht="78.75">
      <c r="A37" s="31" t="s">
        <v>718</v>
      </c>
      <c r="B37" s="6">
        <v>903</v>
      </c>
      <c r="C37" s="42" t="s">
        <v>283</v>
      </c>
      <c r="D37" s="42" t="s">
        <v>254</v>
      </c>
      <c r="E37" s="42" t="s">
        <v>383</v>
      </c>
      <c r="F37" s="42"/>
      <c r="G37" s="93">
        <f>G38+G42+G46</f>
        <v>1585.7</v>
      </c>
      <c r="H37" s="93">
        <f aca="true" t="shared" si="10" ref="H37">H38+H42+H46</f>
        <v>808.9</v>
      </c>
      <c r="I37" s="93">
        <f t="shared" si="6"/>
        <v>51.01217128082235</v>
      </c>
    </row>
    <row r="38" spans="1:9" ht="63">
      <c r="A38" s="47" t="s">
        <v>687</v>
      </c>
      <c r="B38" s="6">
        <v>903</v>
      </c>
      <c r="C38" s="42" t="s">
        <v>283</v>
      </c>
      <c r="D38" s="42" t="s">
        <v>254</v>
      </c>
      <c r="E38" s="42" t="s">
        <v>395</v>
      </c>
      <c r="F38" s="42"/>
      <c r="G38" s="93">
        <f>G39</f>
        <v>420</v>
      </c>
      <c r="H38" s="93">
        <f aca="true" t="shared" si="11" ref="H38:H40">H39</f>
        <v>200</v>
      </c>
      <c r="I38" s="93">
        <f t="shared" si="6"/>
        <v>47.61904761904761</v>
      </c>
    </row>
    <row r="39" spans="1:9" ht="47.25">
      <c r="A39" s="31" t="s">
        <v>196</v>
      </c>
      <c r="B39" s="6">
        <v>903</v>
      </c>
      <c r="C39" s="42" t="s">
        <v>283</v>
      </c>
      <c r="D39" s="42" t="s">
        <v>254</v>
      </c>
      <c r="E39" s="42" t="s">
        <v>396</v>
      </c>
      <c r="F39" s="42"/>
      <c r="G39" s="93">
        <f>G40</f>
        <v>420</v>
      </c>
      <c r="H39" s="93">
        <f t="shared" si="11"/>
        <v>200</v>
      </c>
      <c r="I39" s="93">
        <f t="shared" si="6"/>
        <v>47.61904761904761</v>
      </c>
    </row>
    <row r="40" spans="1:9" ht="31.5">
      <c r="A40" s="31" t="s">
        <v>287</v>
      </c>
      <c r="B40" s="6">
        <v>903</v>
      </c>
      <c r="C40" s="42" t="s">
        <v>283</v>
      </c>
      <c r="D40" s="42" t="s">
        <v>254</v>
      </c>
      <c r="E40" s="42" t="s">
        <v>396</v>
      </c>
      <c r="F40" s="42" t="s">
        <v>288</v>
      </c>
      <c r="G40" s="93">
        <f>G41</f>
        <v>420</v>
      </c>
      <c r="H40" s="93">
        <f t="shared" si="11"/>
        <v>200</v>
      </c>
      <c r="I40" s="93">
        <f t="shared" si="6"/>
        <v>47.61904761904761</v>
      </c>
    </row>
    <row r="41" spans="1:9" ht="47.25">
      <c r="A41" s="31" t="s">
        <v>387</v>
      </c>
      <c r="B41" s="95">
        <v>903</v>
      </c>
      <c r="C41" s="42" t="s">
        <v>283</v>
      </c>
      <c r="D41" s="42" t="s">
        <v>254</v>
      </c>
      <c r="E41" s="42" t="s">
        <v>396</v>
      </c>
      <c r="F41" s="96" t="s">
        <v>388</v>
      </c>
      <c r="G41" s="93">
        <f>'Прил.№4 ведомств.'!G557</f>
        <v>420</v>
      </c>
      <c r="H41" s="93">
        <f>'Прил.№4 ведомств.'!H557</f>
        <v>200</v>
      </c>
      <c r="I41" s="93">
        <f t="shared" si="6"/>
        <v>47.61904761904761</v>
      </c>
    </row>
    <row r="42" spans="1:9" ht="31.5">
      <c r="A42" s="47" t="s">
        <v>689</v>
      </c>
      <c r="B42" s="6">
        <v>903</v>
      </c>
      <c r="C42" s="42" t="s">
        <v>283</v>
      </c>
      <c r="D42" s="42" t="s">
        <v>254</v>
      </c>
      <c r="E42" s="42" t="s">
        <v>398</v>
      </c>
      <c r="F42" s="42"/>
      <c r="G42" s="85">
        <f>G43</f>
        <v>915.7</v>
      </c>
      <c r="H42" s="85">
        <f aca="true" t="shared" si="12" ref="H42:H44">H43</f>
        <v>450.9</v>
      </c>
      <c r="I42" s="93">
        <f t="shared" si="6"/>
        <v>49.24101780058971</v>
      </c>
    </row>
    <row r="43" spans="1:9" ht="47.25">
      <c r="A43" s="31" t="s">
        <v>196</v>
      </c>
      <c r="B43" s="6">
        <v>903</v>
      </c>
      <c r="C43" s="97" t="s">
        <v>283</v>
      </c>
      <c r="D43" s="97" t="s">
        <v>254</v>
      </c>
      <c r="E43" s="42" t="s">
        <v>399</v>
      </c>
      <c r="F43" s="97"/>
      <c r="G43" s="85">
        <f>G44</f>
        <v>915.7</v>
      </c>
      <c r="H43" s="85">
        <f t="shared" si="12"/>
        <v>450.9</v>
      </c>
      <c r="I43" s="93">
        <f t="shared" si="6"/>
        <v>49.24101780058971</v>
      </c>
    </row>
    <row r="44" spans="1:9" ht="31.5">
      <c r="A44" s="31" t="s">
        <v>287</v>
      </c>
      <c r="B44" s="6">
        <v>903</v>
      </c>
      <c r="C44" s="42" t="s">
        <v>283</v>
      </c>
      <c r="D44" s="42" t="s">
        <v>254</v>
      </c>
      <c r="E44" s="42" t="s">
        <v>399</v>
      </c>
      <c r="F44" s="42" t="s">
        <v>288</v>
      </c>
      <c r="G44" s="85">
        <f>G45</f>
        <v>915.7</v>
      </c>
      <c r="H44" s="85">
        <f t="shared" si="12"/>
        <v>450.9</v>
      </c>
      <c r="I44" s="93">
        <f t="shared" si="6"/>
        <v>49.24101780058971</v>
      </c>
    </row>
    <row r="45" spans="1:9" ht="47.25">
      <c r="A45" s="31" t="s">
        <v>387</v>
      </c>
      <c r="B45" s="6">
        <v>903</v>
      </c>
      <c r="C45" s="42" t="s">
        <v>283</v>
      </c>
      <c r="D45" s="42" t="s">
        <v>254</v>
      </c>
      <c r="E45" s="42" t="s">
        <v>399</v>
      </c>
      <c r="F45" s="42" t="s">
        <v>388</v>
      </c>
      <c r="G45" s="85">
        <f>'Прил.№4 ведомств.'!G563</f>
        <v>915.7</v>
      </c>
      <c r="H45" s="85">
        <f>'Прил.№4 ведомств.'!H563</f>
        <v>450.9</v>
      </c>
      <c r="I45" s="93">
        <f t="shared" si="6"/>
        <v>49.24101780058971</v>
      </c>
    </row>
    <row r="46" spans="1:9" ht="47.25">
      <c r="A46" s="31" t="s">
        <v>400</v>
      </c>
      <c r="B46" s="66">
        <v>903</v>
      </c>
      <c r="C46" s="97" t="s">
        <v>283</v>
      </c>
      <c r="D46" s="97" t="s">
        <v>254</v>
      </c>
      <c r="E46" s="97" t="s">
        <v>401</v>
      </c>
      <c r="F46" s="97"/>
      <c r="G46" s="93">
        <f>G47</f>
        <v>250</v>
      </c>
      <c r="H46" s="93">
        <f aca="true" t="shared" si="13" ref="H46:H48">H47</f>
        <v>158</v>
      </c>
      <c r="I46" s="93">
        <f t="shared" si="6"/>
        <v>63.2</v>
      </c>
    </row>
    <row r="47" spans="1:9" ht="47.25">
      <c r="A47" s="31" t="s">
        <v>196</v>
      </c>
      <c r="B47" s="6">
        <v>903</v>
      </c>
      <c r="C47" s="97" t="s">
        <v>283</v>
      </c>
      <c r="D47" s="97" t="s">
        <v>254</v>
      </c>
      <c r="E47" s="97" t="s">
        <v>402</v>
      </c>
      <c r="F47" s="97"/>
      <c r="G47" s="93">
        <f>G48</f>
        <v>250</v>
      </c>
      <c r="H47" s="93">
        <f t="shared" si="13"/>
        <v>158</v>
      </c>
      <c r="I47" s="93">
        <f t="shared" si="6"/>
        <v>63.2</v>
      </c>
    </row>
    <row r="48" spans="1:9" ht="31.5">
      <c r="A48" s="31" t="s">
        <v>287</v>
      </c>
      <c r="B48" s="6">
        <v>903</v>
      </c>
      <c r="C48" s="97" t="s">
        <v>283</v>
      </c>
      <c r="D48" s="97" t="s">
        <v>254</v>
      </c>
      <c r="E48" s="97" t="s">
        <v>402</v>
      </c>
      <c r="F48" s="97" t="s">
        <v>288</v>
      </c>
      <c r="G48" s="93">
        <f>G49</f>
        <v>250</v>
      </c>
      <c r="H48" s="93">
        <f t="shared" si="13"/>
        <v>158</v>
      </c>
      <c r="I48" s="93">
        <f t="shared" si="6"/>
        <v>63.2</v>
      </c>
    </row>
    <row r="49" spans="1:9" ht="47.25">
      <c r="A49" s="31" t="s">
        <v>387</v>
      </c>
      <c r="B49" s="6">
        <v>903</v>
      </c>
      <c r="C49" s="97" t="s">
        <v>283</v>
      </c>
      <c r="D49" s="97" t="s">
        <v>254</v>
      </c>
      <c r="E49" s="97" t="s">
        <v>402</v>
      </c>
      <c r="F49" s="97" t="s">
        <v>388</v>
      </c>
      <c r="G49" s="98">
        <f>'Прил.№4 ведомств.'!G567</f>
        <v>250</v>
      </c>
      <c r="H49" s="98">
        <f>'Прил.№4 ведомств.'!H567</f>
        <v>158</v>
      </c>
      <c r="I49" s="93">
        <f t="shared" si="6"/>
        <v>63.2</v>
      </c>
    </row>
    <row r="50" spans="1:9" ht="15.75">
      <c r="A50" s="43" t="s">
        <v>715</v>
      </c>
      <c r="B50" s="43"/>
      <c r="C50" s="99"/>
      <c r="D50" s="99"/>
      <c r="E50" s="99"/>
      <c r="F50" s="99"/>
      <c r="G50" s="100">
        <f>G28+G11</f>
        <v>1610.7</v>
      </c>
      <c r="H50" s="100">
        <f aca="true" t="shared" si="14" ref="H50">H28+H11</f>
        <v>833.9</v>
      </c>
      <c r="I50" s="92">
        <f t="shared" si="6"/>
        <v>51.77252126404669</v>
      </c>
    </row>
  </sheetData>
  <mergeCells count="10">
    <mergeCell ref="A11:F11"/>
    <mergeCell ref="A28:F28"/>
    <mergeCell ref="A1:C2"/>
    <mergeCell ref="A19:F19"/>
    <mergeCell ref="A7:I8"/>
    <mergeCell ref="H4:I4"/>
    <mergeCell ref="H5:I5"/>
    <mergeCell ref="H3:I3"/>
    <mergeCell ref="H2:I2"/>
    <mergeCell ref="H1:I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view="pageBreakPreview" zoomScale="93" zoomScaleSheetLayoutView="93" workbookViewId="0" topLeftCell="A1">
      <selection activeCell="Q12" sqref="Q12"/>
    </sheetView>
  </sheetViews>
  <sheetFormatPr defaultColWidth="9.140625" defaultRowHeight="15"/>
  <cols>
    <col min="1" max="1" width="32.28125" style="0" customWidth="1"/>
    <col min="2" max="2" width="51.7109375" style="0" customWidth="1"/>
    <col min="3" max="3" width="12.57421875" style="0" hidden="1" customWidth="1"/>
    <col min="4" max="4" width="11.28125" style="0" hidden="1" customWidth="1"/>
    <col min="5" max="5" width="10.57421875" style="0" hidden="1" customWidth="1"/>
    <col min="6" max="6" width="10.140625" style="0" hidden="1" customWidth="1"/>
    <col min="7" max="9" width="9.28125" style="0" hidden="1" customWidth="1"/>
    <col min="10" max="10" width="18.140625" style="0" customWidth="1"/>
    <col min="11" max="11" width="17.57421875" style="299" customWidth="1"/>
    <col min="12" max="12" width="21.00390625" style="299" hidden="1" customWidth="1"/>
  </cols>
  <sheetData>
    <row r="1" spans="1:11" ht="15.75">
      <c r="A1" s="13"/>
      <c r="B1" s="299"/>
      <c r="C1" s="299"/>
      <c r="D1" s="299"/>
      <c r="E1" s="299"/>
      <c r="F1" s="299"/>
      <c r="G1" s="299"/>
      <c r="H1" s="299"/>
      <c r="I1" s="299"/>
      <c r="J1" s="60" t="s">
        <v>1131</v>
      </c>
      <c r="K1" s="60"/>
    </row>
    <row r="2" spans="1:11" ht="15.75">
      <c r="A2" s="13"/>
      <c r="B2" s="13"/>
      <c r="C2" s="299"/>
      <c r="D2" s="299"/>
      <c r="E2" s="299"/>
      <c r="F2" s="299"/>
      <c r="G2" s="299"/>
      <c r="H2" s="299"/>
      <c r="I2" s="299"/>
      <c r="J2" s="151" t="s">
        <v>1130</v>
      </c>
      <c r="K2" s="151"/>
    </row>
    <row r="3" spans="1:11" ht="15.75">
      <c r="A3" s="13"/>
      <c r="B3" s="13"/>
      <c r="C3" s="13"/>
      <c r="D3" s="299"/>
      <c r="E3" s="299"/>
      <c r="F3" s="299"/>
      <c r="G3" s="299"/>
      <c r="H3" s="299"/>
      <c r="I3" s="299"/>
      <c r="J3" s="341" t="s">
        <v>1129</v>
      </c>
      <c r="K3" s="341"/>
    </row>
    <row r="4" spans="1:11" s="299" customFormat="1" ht="15.75">
      <c r="A4" s="13"/>
      <c r="B4" s="13"/>
      <c r="C4" s="13"/>
      <c r="J4" s="151" t="s">
        <v>1128</v>
      </c>
      <c r="K4" s="151"/>
    </row>
    <row r="5" spans="1:11" s="299" customFormat="1" ht="15.75">
      <c r="A5" s="13"/>
      <c r="B5" s="13"/>
      <c r="C5" s="13"/>
      <c r="J5" s="151" t="s">
        <v>1123</v>
      </c>
      <c r="K5" s="151"/>
    </row>
    <row r="6" spans="1:10" ht="15.75">
      <c r="A6" s="13"/>
      <c r="B6" s="13"/>
      <c r="C6" s="13"/>
      <c r="D6" s="299"/>
      <c r="E6" s="299"/>
      <c r="F6" s="299"/>
      <c r="G6" s="299"/>
      <c r="H6" s="299"/>
      <c r="I6" s="299"/>
      <c r="J6" s="299"/>
    </row>
    <row r="7" spans="1:12" ht="16.5">
      <c r="A7" s="359" t="s">
        <v>1132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</row>
    <row r="8" spans="1:12" ht="16.5">
      <c r="A8" s="359" t="s">
        <v>1088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</row>
    <row r="9" spans="1:12" ht="15.75">
      <c r="A9" s="13"/>
      <c r="B9" s="13"/>
      <c r="J9" s="101"/>
      <c r="K9" s="101"/>
      <c r="L9" s="101"/>
    </row>
    <row r="10" spans="1:12" ht="51" customHeight="1">
      <c r="A10" s="91" t="s">
        <v>719</v>
      </c>
      <c r="B10" s="91" t="s">
        <v>720</v>
      </c>
      <c r="C10" s="91" t="s">
        <v>855</v>
      </c>
      <c r="D10" s="77" t="s">
        <v>819</v>
      </c>
      <c r="E10" s="77" t="s">
        <v>820</v>
      </c>
      <c r="F10" s="77" t="s">
        <v>930</v>
      </c>
      <c r="G10" s="201" t="s">
        <v>847</v>
      </c>
      <c r="H10" s="201" t="s">
        <v>848</v>
      </c>
      <c r="I10" s="201" t="s">
        <v>849</v>
      </c>
      <c r="J10" s="200" t="s">
        <v>1089</v>
      </c>
      <c r="K10" s="200" t="s">
        <v>1090</v>
      </c>
      <c r="L10" s="200" t="s">
        <v>1075</v>
      </c>
    </row>
    <row r="11" spans="1:12" ht="15.75">
      <c r="A11" s="91">
        <v>1</v>
      </c>
      <c r="B11" s="91">
        <v>2</v>
      </c>
      <c r="C11" s="91">
        <v>3</v>
      </c>
      <c r="D11" s="77">
        <v>4</v>
      </c>
      <c r="E11" s="77">
        <v>5</v>
      </c>
      <c r="F11" s="77">
        <v>6</v>
      </c>
      <c r="G11" s="77">
        <v>7</v>
      </c>
      <c r="H11" s="77">
        <v>8</v>
      </c>
      <c r="I11" s="77">
        <v>9</v>
      </c>
      <c r="J11" s="77">
        <v>3</v>
      </c>
      <c r="K11" s="77">
        <v>4</v>
      </c>
      <c r="L11" s="77">
        <v>5</v>
      </c>
    </row>
    <row r="12" spans="1:12" ht="33">
      <c r="A12" s="102" t="s">
        <v>721</v>
      </c>
      <c r="B12" s="103" t="s">
        <v>722</v>
      </c>
      <c r="C12" s="104" t="e">
        <f>C13-C15</f>
        <v>#REF!</v>
      </c>
      <c r="D12" s="104">
        <f>D13-D15</f>
        <v>2034.1</v>
      </c>
      <c r="E12" s="104" t="e">
        <f>E13-E15</f>
        <v>#REF!</v>
      </c>
      <c r="F12" s="225" t="e">
        <f aca="true" t="shared" si="0" ref="F12:F17">C12</f>
        <v>#REF!</v>
      </c>
      <c r="G12" s="104">
        <f>G13-G15</f>
        <v>0</v>
      </c>
      <c r="H12" s="104">
        <f>H13-H15</f>
        <v>0</v>
      </c>
      <c r="I12" s="104">
        <f>I13-I15</f>
        <v>0</v>
      </c>
      <c r="J12" s="104">
        <f>J13-J15</f>
        <v>59872.57999999996</v>
      </c>
      <c r="K12" s="104">
        <f>K13-K15</f>
        <v>-9026.231239999885</v>
      </c>
      <c r="L12" s="104"/>
    </row>
    <row r="13" spans="1:12" ht="31.5">
      <c r="A13" s="105" t="s">
        <v>723</v>
      </c>
      <c r="B13" s="106" t="s">
        <v>724</v>
      </c>
      <c r="C13" s="68">
        <f>C14</f>
        <v>59703</v>
      </c>
      <c r="D13" s="68">
        <f>D14</f>
        <v>2034.1</v>
      </c>
      <c r="E13" s="68">
        <f>E14</f>
        <v>57668.9</v>
      </c>
      <c r="F13" s="225">
        <f t="shared" si="0"/>
        <v>59703</v>
      </c>
      <c r="G13" s="224">
        <f>G14</f>
        <v>0</v>
      </c>
      <c r="H13" s="224">
        <f>H14</f>
        <v>0</v>
      </c>
      <c r="I13" s="224">
        <f>I14</f>
        <v>0</v>
      </c>
      <c r="J13" s="223">
        <f>J14</f>
        <v>59872.6</v>
      </c>
      <c r="K13" s="223">
        <f>K14</f>
        <v>59872.6</v>
      </c>
      <c r="L13" s="223"/>
    </row>
    <row r="14" spans="1:12" ht="31.5">
      <c r="A14" s="107" t="s">
        <v>725</v>
      </c>
      <c r="B14" s="108" t="s">
        <v>726</v>
      </c>
      <c r="C14" s="109">
        <v>59703</v>
      </c>
      <c r="D14" s="109">
        <v>2034.1</v>
      </c>
      <c r="E14" s="109">
        <f>C14-D14</f>
        <v>57668.9</v>
      </c>
      <c r="F14" s="223">
        <f t="shared" si="0"/>
        <v>59703</v>
      </c>
      <c r="G14" s="224">
        <v>0</v>
      </c>
      <c r="H14" s="224">
        <v>0</v>
      </c>
      <c r="I14" s="224">
        <v>0</v>
      </c>
      <c r="J14" s="253">
        <v>59872.6</v>
      </c>
      <c r="K14" s="253">
        <v>59872.6</v>
      </c>
      <c r="L14" s="253"/>
    </row>
    <row r="15" spans="1:12" ht="31.5">
      <c r="A15" s="105" t="s">
        <v>727</v>
      </c>
      <c r="B15" s="106" t="s">
        <v>728</v>
      </c>
      <c r="C15" s="68" t="e">
        <f>C16</f>
        <v>#REF!</v>
      </c>
      <c r="D15" s="68">
        <f>D16</f>
        <v>0</v>
      </c>
      <c r="E15" s="68" t="e">
        <f>E16</f>
        <v>#REF!</v>
      </c>
      <c r="F15" s="225" t="e">
        <f t="shared" si="0"/>
        <v>#REF!</v>
      </c>
      <c r="G15" s="104">
        <f>G16</f>
        <v>0</v>
      </c>
      <c r="H15" s="104">
        <f>H16</f>
        <v>0</v>
      </c>
      <c r="I15" s="104">
        <f>I16</f>
        <v>0</v>
      </c>
      <c r="J15" s="104">
        <f>J16</f>
        <v>0.020000000040454324</v>
      </c>
      <c r="K15" s="104">
        <f aca="true" t="shared" si="1" ref="K15">K16</f>
        <v>68898.83123999988</v>
      </c>
      <c r="L15" s="104"/>
    </row>
    <row r="16" spans="1:12" ht="31.5">
      <c r="A16" s="107" t="s">
        <v>729</v>
      </c>
      <c r="B16" s="108" t="s">
        <v>730</v>
      </c>
      <c r="C16" s="109" t="e">
        <f>C13+C22</f>
        <v>#REF!</v>
      </c>
      <c r="D16" s="109"/>
      <c r="E16" s="109" t="e">
        <f>E13+E22</f>
        <v>#REF!</v>
      </c>
      <c r="F16" s="223" t="e">
        <f t="shared" si="0"/>
        <v>#REF!</v>
      </c>
      <c r="G16" s="224">
        <v>0</v>
      </c>
      <c r="H16" s="224">
        <v>0</v>
      </c>
      <c r="I16" s="224">
        <v>0</v>
      </c>
      <c r="J16" s="253">
        <f>J14+J22</f>
        <v>0.020000000040454324</v>
      </c>
      <c r="K16" s="253">
        <f>K14+K22</f>
        <v>68898.83123999988</v>
      </c>
      <c r="L16" s="253"/>
    </row>
    <row r="17" spans="1:12" ht="16.5">
      <c r="A17" s="105" t="s">
        <v>715</v>
      </c>
      <c r="B17" s="108"/>
      <c r="C17" s="4" t="e">
        <f>C14-C16</f>
        <v>#REF!</v>
      </c>
      <c r="D17" s="4">
        <f>D14-D16</f>
        <v>2034.1</v>
      </c>
      <c r="E17" s="4" t="e">
        <f>E14-E16</f>
        <v>#REF!</v>
      </c>
      <c r="F17" s="225" t="e">
        <f t="shared" si="0"/>
        <v>#REF!</v>
      </c>
      <c r="G17" s="222">
        <f>G14-G16</f>
        <v>0</v>
      </c>
      <c r="H17" s="222">
        <f>H14-H16</f>
        <v>0</v>
      </c>
      <c r="I17" s="222">
        <f>I14-I16</f>
        <v>0</v>
      </c>
      <c r="J17" s="222">
        <f>J14-J16</f>
        <v>59872.57999999996</v>
      </c>
      <c r="K17" s="222">
        <f>K14-K16</f>
        <v>-9026.231239999885</v>
      </c>
      <c r="L17" s="222">
        <f>K17/J17*100</f>
        <v>-15.075734568311388</v>
      </c>
    </row>
    <row r="20" spans="2:12" ht="15">
      <c r="B20" t="s">
        <v>731</v>
      </c>
      <c r="C20" s="23" t="e">
        <f>'прил.№1 доходы'!C166</f>
        <v>#REF!</v>
      </c>
      <c r="D20">
        <v>201909.8</v>
      </c>
      <c r="E20" s="23" t="e">
        <f>C20-D20</f>
        <v>#REF!</v>
      </c>
      <c r="F20" s="23" t="e">
        <f>'прил.№1 доходы'!E166</f>
        <v>#REF!</v>
      </c>
      <c r="G20" t="e">
        <f>'прил.№1 доходы'!F166</f>
        <v>#REF!</v>
      </c>
      <c r="H20" t="e">
        <f>'прил.№1 доходы'!G166</f>
        <v>#REF!</v>
      </c>
      <c r="I20" t="e">
        <f>'прил.№1 доходы'!H166</f>
        <v>#REF!</v>
      </c>
      <c r="J20" s="321">
        <f>'прил.№1 доходы'!I166</f>
        <v>715443.3400000001</v>
      </c>
      <c r="K20" s="321">
        <f>'прил.№1 доходы'!J166</f>
        <v>580637.5312399999</v>
      </c>
      <c r="L20" s="321">
        <f>'прил.№1 доходы'!K166</f>
        <v>81.15772399810163</v>
      </c>
    </row>
    <row r="21" spans="2:12" ht="15">
      <c r="B21" t="s">
        <v>732</v>
      </c>
      <c r="C21" s="23" t="e">
        <f>'прил.№2 Рд,пр'!D52</f>
        <v>#REF!</v>
      </c>
      <c r="D21">
        <f>D20+3210</f>
        <v>205119.8</v>
      </c>
      <c r="E21" s="23" t="e">
        <f>C21-D21</f>
        <v>#REF!</v>
      </c>
      <c r="F21" s="23" t="e">
        <f>'прил.№2 Рд,пр'!E52</f>
        <v>#REF!</v>
      </c>
      <c r="G21" t="e">
        <f>'прил.№2 Рд,пр'!F52</f>
        <v>#REF!</v>
      </c>
      <c r="H21" t="e">
        <f>'прил.№2 Рд,пр'!G52</f>
        <v>#REF!</v>
      </c>
      <c r="I21" t="e">
        <f>'прил.№2 Рд,пр'!H52</f>
        <v>#REF!</v>
      </c>
      <c r="J21" s="321">
        <f>'прил.№2 Рд,пр'!I52</f>
        <v>775315.92</v>
      </c>
      <c r="K21" s="321">
        <f>'прил.№2 Рд,пр'!J52</f>
        <v>571611.3</v>
      </c>
      <c r="L21" s="321">
        <f>'прил.№2 Рд,пр'!K52</f>
        <v>73.72624310358545</v>
      </c>
    </row>
    <row r="22" spans="2:12" ht="15">
      <c r="B22" t="s">
        <v>733</v>
      </c>
      <c r="C22" s="23" t="e">
        <f aca="true" t="shared" si="2" ref="C22:J22">C20-C21</f>
        <v>#REF!</v>
      </c>
      <c r="D22" s="23">
        <f t="shared" si="2"/>
        <v>-3210</v>
      </c>
      <c r="E22" s="23" t="e">
        <f t="shared" si="2"/>
        <v>#REF!</v>
      </c>
      <c r="F22" s="23" t="e">
        <f t="shared" si="2"/>
        <v>#REF!</v>
      </c>
      <c r="G22" t="e">
        <f t="shared" si="2"/>
        <v>#REF!</v>
      </c>
      <c r="H22" t="e">
        <f t="shared" si="2"/>
        <v>#REF!</v>
      </c>
      <c r="I22" t="e">
        <f t="shared" si="2"/>
        <v>#REF!</v>
      </c>
      <c r="J22" s="321">
        <f t="shared" si="2"/>
        <v>-59872.57999999996</v>
      </c>
      <c r="K22" s="321">
        <f>K20-K21</f>
        <v>9026.231239999877</v>
      </c>
      <c r="L22" s="321">
        <f aca="true" t="shared" si="3" ref="L22">L20-L21</f>
        <v>7.431480894516184</v>
      </c>
    </row>
  </sheetData>
  <mergeCells count="2">
    <mergeCell ref="A7:L7"/>
    <mergeCell ref="A8:L8"/>
  </mergeCells>
  <printOptions/>
  <pageMargins left="0.25" right="0.25" top="0.75" bottom="0.75" header="0.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2019-10-21T05:07:20Z</dcterms:modified>
  <cp:category/>
  <cp:version/>
  <cp:contentType/>
  <cp:contentStatus/>
</cp:coreProperties>
</file>